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180" yWindow="-60" windowWidth="14400" windowHeight="12465" firstSheet="2" activeTab="5"/>
  </bookViews>
  <sheets>
    <sheet name="Лист4" sheetId="4" state="hidden" r:id="rId1"/>
    <sheet name="Лист5" sheetId="5" state="hidden" r:id="rId2"/>
    <sheet name="мероприятия" sheetId="6" r:id="rId3"/>
    <sheet name="ввод мощностей" sheetId="18" r:id="rId4"/>
    <sheet name="водоснабжение" sheetId="8" r:id="rId5"/>
    <sheet name="канализация" sheetId="17" r:id="rId6"/>
    <sheet name="пояснения" sheetId="15" r:id="rId7"/>
    <sheet name="за 2020год " sheetId="16" r:id="rId8"/>
    <sheet name="Лист1" sheetId="12" r:id="rId9"/>
    <sheet name="Лист2" sheetId="13" r:id="rId10"/>
  </sheets>
  <definedNames>
    <definedName name="_xlnm._FilterDatabase" localSheetId="3" hidden="1">'ввод мощностей'!$A$10:$AO$10</definedName>
    <definedName name="_xlnm._FilterDatabase" localSheetId="7" hidden="1">'за 2020год '!$A$10:$AO$10</definedName>
    <definedName name="_xlnm._FilterDatabase" localSheetId="2" hidden="1">мероприятия!$A$9:$AO$9</definedName>
    <definedName name="_xlnm._FilterDatabase" localSheetId="6" hidden="1">пояснения!$A$10:$AO$10</definedName>
    <definedName name="_xlnm.Print_Titles" localSheetId="3">'ввод мощностей'!$7:$10</definedName>
    <definedName name="_xlnm.Print_Titles" localSheetId="7">'за 2020год '!$7:$10</definedName>
    <definedName name="_xlnm.Print_Titles" localSheetId="5">канализация!$8:$10</definedName>
    <definedName name="_xlnm.Print_Titles" localSheetId="2">мероприятия!$6:$9</definedName>
    <definedName name="_xlnm.Print_Titles" localSheetId="6">пояснения!$7:$10</definedName>
    <definedName name="_xlnm.Print_Area" localSheetId="4">водоснабжение!$A$1:$M$52</definedName>
    <definedName name="_xlnm.Print_Area" localSheetId="7">'за 2020год '!$A$1:$AJ$247</definedName>
    <definedName name="_xlnm.Print_Area" localSheetId="5">канализация!$A$1:$M$48</definedName>
    <definedName name="_xlnm.Print_Area" localSheetId="6">пояснения!$A$1:$AJ$247</definedName>
  </definedNames>
  <calcPr calcId="125725"/>
</workbook>
</file>

<file path=xl/calcChain.xml><?xml version="1.0" encoding="utf-8"?>
<calcChain xmlns="http://schemas.openxmlformats.org/spreadsheetml/2006/main">
  <c r="R62" i="6"/>
  <c r="S62"/>
  <c r="T62"/>
  <c r="U62"/>
  <c r="V62"/>
  <c r="W62"/>
  <c r="X62"/>
  <c r="Y62"/>
  <c r="Z62"/>
  <c r="AA62"/>
  <c r="AB62"/>
  <c r="AC62"/>
  <c r="AD62"/>
  <c r="AE62"/>
  <c r="AF62"/>
  <c r="AG62"/>
  <c r="AH62"/>
  <c r="AI62"/>
  <c r="Q62"/>
  <c r="R73"/>
  <c r="S73"/>
  <c r="T73"/>
  <c r="U73"/>
  <c r="V73"/>
  <c r="W73"/>
  <c r="X73"/>
  <c r="Y73"/>
  <c r="AA73"/>
  <c r="AB73"/>
  <c r="AC73"/>
  <c r="AD73"/>
  <c r="Q73"/>
  <c r="Z74"/>
  <c r="Z73" s="1"/>
  <c r="AJ301"/>
  <c r="AJ299" s="1"/>
  <c r="R301"/>
  <c r="S301"/>
  <c r="T301"/>
  <c r="U301"/>
  <c r="V301"/>
  <c r="W301"/>
  <c r="X301"/>
  <c r="Y301"/>
  <c r="AA301"/>
  <c r="AB301"/>
  <c r="AC301"/>
  <c r="AD301"/>
  <c r="AE301"/>
  <c r="AF301"/>
  <c r="AG301"/>
  <c r="AH301"/>
  <c r="AI301"/>
  <c r="R299"/>
  <c r="S299"/>
  <c r="T299"/>
  <c r="U299"/>
  <c r="W299"/>
  <c r="X299"/>
  <c r="Y299"/>
  <c r="AA299"/>
  <c r="AB299"/>
  <c r="AC299"/>
  <c r="Q257"/>
  <c r="AK256"/>
  <c r="AL256"/>
  <c r="AM256"/>
  <c r="AN256"/>
  <c r="R260"/>
  <c r="R256" s="1"/>
  <c r="S260"/>
  <c r="S259" s="1"/>
  <c r="S257" s="1"/>
  <c r="T260"/>
  <c r="T256" s="1"/>
  <c r="U260"/>
  <c r="U259" s="1"/>
  <c r="U257" s="1"/>
  <c r="V260"/>
  <c r="V256" s="1"/>
  <c r="W260"/>
  <c r="W259" s="1"/>
  <c r="W257" s="1"/>
  <c r="X260"/>
  <c r="X256" s="1"/>
  <c r="Y260"/>
  <c r="Y259" s="1"/>
  <c r="AA260"/>
  <c r="AA259" s="1"/>
  <c r="AB260"/>
  <c r="AB256" s="1"/>
  <c r="AC260"/>
  <c r="AC259" s="1"/>
  <c r="AD260"/>
  <c r="AD256" s="1"/>
  <c r="AE260"/>
  <c r="AE259" s="1"/>
  <c r="AF260"/>
  <c r="AF256" s="1"/>
  <c r="AG260"/>
  <c r="AG259" s="1"/>
  <c r="AH260"/>
  <c r="AH256" s="1"/>
  <c r="AI260"/>
  <c r="AI259" s="1"/>
  <c r="AJ260"/>
  <c r="AJ256" s="1"/>
  <c r="Q260"/>
  <c r="Q256" s="1"/>
  <c r="Z261"/>
  <c r="Z260" s="1"/>
  <c r="Z256" l="1"/>
  <c r="Z259"/>
  <c r="AJ259"/>
  <c r="AH259"/>
  <c r="AF259"/>
  <c r="AD259"/>
  <c r="AB259"/>
  <c r="X259"/>
  <c r="X257" s="1"/>
  <c r="V259"/>
  <c r="V257" s="1"/>
  <c r="T259"/>
  <c r="T257" s="1"/>
  <c r="R259"/>
  <c r="R257" s="1"/>
  <c r="AI256"/>
  <c r="AG256"/>
  <c r="AE256"/>
  <c r="AC256"/>
  <c r="AA256"/>
  <c r="Y256"/>
  <c r="W256"/>
  <c r="U256"/>
  <c r="S256"/>
  <c r="Q259"/>
  <c r="Q333"/>
  <c r="Z143"/>
  <c r="AA143"/>
  <c r="AB143"/>
  <c r="AC143"/>
  <c r="Q143"/>
  <c r="R143"/>
  <c r="S143"/>
  <c r="T143"/>
  <c r="U143"/>
  <c r="V143"/>
  <c r="W143"/>
  <c r="X143"/>
  <c r="AA327"/>
  <c r="AB327"/>
  <c r="AC327"/>
  <c r="Y49"/>
  <c r="Q70" l="1"/>
  <c r="AD143" l="1"/>
  <c r="Y143"/>
  <c r="Q276"/>
  <c r="Q275" s="1"/>
  <c r="AA275"/>
  <c r="AB275"/>
  <c r="AC275"/>
  <c r="Z276"/>
  <c r="Z275" s="1"/>
  <c r="AF217"/>
  <c r="AG217"/>
  <c r="AH217"/>
  <c r="AI217"/>
  <c r="AJ217"/>
  <c r="AK217"/>
  <c r="AL217"/>
  <c r="AM217"/>
  <c r="AN217"/>
  <c r="Z204"/>
  <c r="R148" l="1"/>
  <c r="S148"/>
  <c r="T148"/>
  <c r="U148"/>
  <c r="V148"/>
  <c r="W148"/>
  <c r="X148"/>
  <c r="Q150"/>
  <c r="Q149"/>
  <c r="AA148"/>
  <c r="AB148"/>
  <c r="AC148"/>
  <c r="Z150"/>
  <c r="Z149"/>
  <c r="AD148"/>
  <c r="Y148"/>
  <c r="Z71"/>
  <c r="Z70" s="1"/>
  <c r="AA47"/>
  <c r="AB47"/>
  <c r="AC47"/>
  <c r="Z49"/>
  <c r="Z50"/>
  <c r="R47"/>
  <c r="S47"/>
  <c r="T47"/>
  <c r="U47"/>
  <c r="V47"/>
  <c r="W47"/>
  <c r="X47"/>
  <c r="Q50"/>
  <c r="Q148" l="1"/>
  <c r="Z148"/>
  <c r="Y70"/>
  <c r="AD70"/>
  <c r="AD47"/>
  <c r="Y275"/>
  <c r="Y274" s="1"/>
  <c r="AD275"/>
  <c r="Y291"/>
  <c r="AD291"/>
  <c r="Y334"/>
  <c r="AD334"/>
  <c r="Y332"/>
  <c r="AD332"/>
  <c r="M183"/>
  <c r="N183"/>
  <c r="O183"/>
  <c r="P183"/>
  <c r="L183"/>
  <c r="L259"/>
  <c r="AN342"/>
  <c r="AM342"/>
  <c r="AL342"/>
  <c r="AK342"/>
  <c r="AJ342"/>
  <c r="AI342"/>
  <c r="AH342"/>
  <c r="AG342"/>
  <c r="AF342"/>
  <c r="AE342"/>
  <c r="AD342"/>
  <c r="AC342"/>
  <c r="AB342"/>
  <c r="AA342"/>
  <c r="Z342"/>
  <c r="Y342"/>
  <c r="X342"/>
  <c r="W342"/>
  <c r="V342"/>
  <c r="U342"/>
  <c r="T342"/>
  <c r="S342"/>
  <c r="R342"/>
  <c r="Q342"/>
  <c r="P342"/>
  <c r="O342"/>
  <c r="N342"/>
  <c r="M342"/>
  <c r="L342"/>
  <c r="AN339"/>
  <c r="AN336" s="1"/>
  <c r="AM339"/>
  <c r="AM336" s="1"/>
  <c r="AL339"/>
  <c r="AL336" s="1"/>
  <c r="AK339"/>
  <c r="AK336" s="1"/>
  <c r="AJ339"/>
  <c r="AJ336" s="1"/>
  <c r="AI339"/>
  <c r="AI336" s="1"/>
  <c r="AH339"/>
  <c r="AH336" s="1"/>
  <c r="AG339"/>
  <c r="AG336" s="1"/>
  <c r="AF339"/>
  <c r="AF336" s="1"/>
  <c r="AE339"/>
  <c r="AE336" s="1"/>
  <c r="AD339"/>
  <c r="AD336" s="1"/>
  <c r="AC339"/>
  <c r="AC336" s="1"/>
  <c r="AB339"/>
  <c r="AB336" s="1"/>
  <c r="AA339"/>
  <c r="AA336" s="1"/>
  <c r="Z339"/>
  <c r="Z336" s="1"/>
  <c r="Y339"/>
  <c r="Y336" s="1"/>
  <c r="X339"/>
  <c r="X336" s="1"/>
  <c r="W339"/>
  <c r="W336" s="1"/>
  <c r="V339"/>
  <c r="V336" s="1"/>
  <c r="U339"/>
  <c r="U336" s="1"/>
  <c r="T339"/>
  <c r="T336" s="1"/>
  <c r="S339"/>
  <c r="S336" s="1"/>
  <c r="R339"/>
  <c r="R336" s="1"/>
  <c r="Q339"/>
  <c r="Q336" s="1"/>
  <c r="P339"/>
  <c r="P336" s="1"/>
  <c r="O339"/>
  <c r="O336" s="1"/>
  <c r="N339"/>
  <c r="N336" s="1"/>
  <c r="M339"/>
  <c r="M336" s="1"/>
  <c r="L339"/>
  <c r="L336" s="1"/>
  <c r="AN349"/>
  <c r="AN346" s="1"/>
  <c r="AM349"/>
  <c r="AM346" s="1"/>
  <c r="AL349"/>
  <c r="AL346" s="1"/>
  <c r="AK349"/>
  <c r="AK346" s="1"/>
  <c r="AJ349"/>
  <c r="AJ346" s="1"/>
  <c r="AI349"/>
  <c r="AI346" s="1"/>
  <c r="AH349"/>
  <c r="AH346" s="1"/>
  <c r="AG349"/>
  <c r="AG346" s="1"/>
  <c r="AF349"/>
  <c r="AF346" s="1"/>
  <c r="AE349"/>
  <c r="AE346" s="1"/>
  <c r="AD349"/>
  <c r="AD346" s="1"/>
  <c r="AC349"/>
  <c r="AC346" s="1"/>
  <c r="AB349"/>
  <c r="AB346" s="1"/>
  <c r="AA349"/>
  <c r="AA346" s="1"/>
  <c r="Z349"/>
  <c r="Z346" s="1"/>
  <c r="Y349"/>
  <c r="Y346" s="1"/>
  <c r="X349"/>
  <c r="X346" s="1"/>
  <c r="W349"/>
  <c r="W346" s="1"/>
  <c r="V349"/>
  <c r="V346" s="1"/>
  <c r="U349"/>
  <c r="U346" s="1"/>
  <c r="T349"/>
  <c r="T346" s="1"/>
  <c r="S349"/>
  <c r="S346" s="1"/>
  <c r="R349"/>
  <c r="R346" s="1"/>
  <c r="Q349"/>
  <c r="Q346" s="1"/>
  <c r="P349"/>
  <c r="P346" s="1"/>
  <c r="O349"/>
  <c r="O346" s="1"/>
  <c r="N349"/>
  <c r="N346" s="1"/>
  <c r="M349"/>
  <c r="M346" s="1"/>
  <c r="L349"/>
  <c r="L346" s="1"/>
  <c r="M322"/>
  <c r="N322"/>
  <c r="O322"/>
  <c r="P322"/>
  <c r="Q322"/>
  <c r="R322"/>
  <c r="S322"/>
  <c r="T322"/>
  <c r="U322"/>
  <c r="V322"/>
  <c r="W322"/>
  <c r="L322"/>
  <c r="L293"/>
  <c r="M293"/>
  <c r="N293"/>
  <c r="O293"/>
  <c r="L280"/>
  <c r="M280"/>
  <c r="N280"/>
  <c r="O280"/>
  <c r="P280"/>
  <c r="AJ280"/>
  <c r="AK280"/>
  <c r="AL280"/>
  <c r="M274"/>
  <c r="N274"/>
  <c r="O274"/>
  <c r="P274"/>
  <c r="Q274"/>
  <c r="R274"/>
  <c r="S274"/>
  <c r="T274"/>
  <c r="U274"/>
  <c r="V274"/>
  <c r="W274"/>
  <c r="X274"/>
  <c r="Z274"/>
  <c r="AA274"/>
  <c r="AB274"/>
  <c r="AC274"/>
  <c r="AD274"/>
  <c r="AE274"/>
  <c r="AF274"/>
  <c r="AG274"/>
  <c r="AH274"/>
  <c r="AI274"/>
  <c r="AJ274"/>
  <c r="AK274"/>
  <c r="AL274"/>
  <c r="AM274"/>
  <c r="AN274"/>
  <c r="L274"/>
  <c r="M259"/>
  <c r="M257" s="1"/>
  <c r="N259"/>
  <c r="N257" s="1"/>
  <c r="O259"/>
  <c r="O257" s="1"/>
  <c r="P259"/>
  <c r="P257" s="1"/>
  <c r="AK259"/>
  <c r="AL259"/>
  <c r="AM259"/>
  <c r="AN259"/>
  <c r="L257"/>
  <c r="M253"/>
  <c r="N253"/>
  <c r="O253"/>
  <c r="P253"/>
  <c r="Q253"/>
  <c r="R253"/>
  <c r="S253"/>
  <c r="T253"/>
  <c r="U253"/>
  <c r="V253"/>
  <c r="W253"/>
  <c r="X253"/>
  <c r="Y253"/>
  <c r="Z253"/>
  <c r="AA253"/>
  <c r="AB253"/>
  <c r="AC253"/>
  <c r="AD253"/>
  <c r="AE253"/>
  <c r="AF253"/>
  <c r="AG253"/>
  <c r="AH253"/>
  <c r="AI253"/>
  <c r="AJ253"/>
  <c r="AK253"/>
  <c r="AL253"/>
  <c r="AM253"/>
  <c r="AN253"/>
  <c r="AO253"/>
  <c r="L253"/>
  <c r="Y47" l="1"/>
  <c r="Q49"/>
  <c r="AK202"/>
  <c r="AL202"/>
  <c r="AM202"/>
  <c r="AN202"/>
  <c r="M202"/>
  <c r="N202"/>
  <c r="O202"/>
  <c r="P202"/>
  <c r="AE202"/>
  <c r="AF202"/>
  <c r="AG202"/>
  <c r="AH202"/>
  <c r="AI202"/>
  <c r="AJ202"/>
  <c r="L202"/>
  <c r="AN224"/>
  <c r="AM224"/>
  <c r="AL224"/>
  <c r="AK224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AN221"/>
  <c r="AM221"/>
  <c r="AL221"/>
  <c r="AK221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M218"/>
  <c r="N218"/>
  <c r="O218"/>
  <c r="P218"/>
  <c r="Q218"/>
  <c r="R218"/>
  <c r="S218"/>
  <c r="T218"/>
  <c r="U218"/>
  <c r="V218"/>
  <c r="W218"/>
  <c r="X218"/>
  <c r="Y218"/>
  <c r="Z218"/>
  <c r="AA218"/>
  <c r="AB218"/>
  <c r="AC218"/>
  <c r="AD218"/>
  <c r="AE218"/>
  <c r="AF218"/>
  <c r="AG218"/>
  <c r="AH218"/>
  <c r="AI218"/>
  <c r="AJ218"/>
  <c r="AK218"/>
  <c r="AL218"/>
  <c r="AM218"/>
  <c r="AN218"/>
  <c r="L218"/>
  <c r="AN163"/>
  <c r="AM163" s="1"/>
  <c r="AL163" s="1"/>
  <c r="AK163" s="1"/>
  <c r="AJ163" s="1"/>
  <c r="AI163" s="1"/>
  <c r="AH163" s="1"/>
  <c r="AG163" s="1"/>
  <c r="AF163" s="1"/>
  <c r="AE163" s="1"/>
  <c r="AD163" s="1"/>
  <c r="AC163" s="1"/>
  <c r="AB163" s="1"/>
  <c r="AA163" s="1"/>
  <c r="Z163" s="1"/>
  <c r="Y163" s="1"/>
  <c r="X163" s="1"/>
  <c r="W163" s="1"/>
  <c r="V163" s="1"/>
  <c r="U163" s="1"/>
  <c r="T163" s="1"/>
  <c r="S163" s="1"/>
  <c r="R163" s="1"/>
  <c r="Q163" s="1"/>
  <c r="P163" s="1"/>
  <c r="O163" s="1"/>
  <c r="N163" s="1"/>
  <c r="M163" s="1"/>
  <c r="L163" s="1"/>
  <c r="Z173"/>
  <c r="R173"/>
  <c r="R171" s="1"/>
  <c r="R170" s="1"/>
  <c r="Q173"/>
  <c r="Z172"/>
  <c r="Z171" s="1"/>
  <c r="Z170" s="1"/>
  <c r="T172"/>
  <c r="Q172"/>
  <c r="AD171"/>
  <c r="AD170" s="1"/>
  <c r="AC171"/>
  <c r="AC170" s="1"/>
  <c r="AB171"/>
  <c r="AB170" s="1"/>
  <c r="AA171"/>
  <c r="AA170" s="1"/>
  <c r="Y171"/>
  <c r="Y170" s="1"/>
  <c r="X171"/>
  <c r="X170" s="1"/>
  <c r="W171"/>
  <c r="V171"/>
  <c r="V170" s="1"/>
  <c r="U171"/>
  <c r="T171"/>
  <c r="T170" s="1"/>
  <c r="S171"/>
  <c r="S170" s="1"/>
  <c r="AN170"/>
  <c r="AM170"/>
  <c r="AI170"/>
  <c r="AH170"/>
  <c r="AG170"/>
  <c r="AF170"/>
  <c r="AE170"/>
  <c r="W170"/>
  <c r="U170"/>
  <c r="Q170"/>
  <c r="P170"/>
  <c r="AJ170" s="1"/>
  <c r="AK170" s="1"/>
  <c r="O170"/>
  <c r="N170"/>
  <c r="M170"/>
  <c r="L170"/>
  <c r="Z168"/>
  <c r="R168"/>
  <c r="R166" s="1"/>
  <c r="R165" s="1"/>
  <c r="Q168"/>
  <c r="Q165" s="1"/>
  <c r="Q162" s="1"/>
  <c r="Z167"/>
  <c r="T167"/>
  <c r="T166" s="1"/>
  <c r="T165" s="1"/>
  <c r="Q167"/>
  <c r="AD166"/>
  <c r="AC166"/>
  <c r="AC165" s="1"/>
  <c r="AB166"/>
  <c r="AB165" s="1"/>
  <c r="AB162" s="1"/>
  <c r="AA166"/>
  <c r="AA165" s="1"/>
  <c r="AA162" s="1"/>
  <c r="Y166"/>
  <c r="X166"/>
  <c r="X165" s="1"/>
  <c r="W166"/>
  <c r="W165" s="1"/>
  <c r="V166"/>
  <c r="V165" s="1"/>
  <c r="U166"/>
  <c r="S166"/>
  <c r="S165" s="1"/>
  <c r="AN165"/>
  <c r="AM165"/>
  <c r="AI165"/>
  <c r="AH165"/>
  <c r="AG165"/>
  <c r="AF165"/>
  <c r="AE165"/>
  <c r="AD165"/>
  <c r="Y165"/>
  <c r="U165"/>
  <c r="P165"/>
  <c r="O165"/>
  <c r="N165"/>
  <c r="M165"/>
  <c r="M162" s="1"/>
  <c r="L165"/>
  <c r="L164"/>
  <c r="J162"/>
  <c r="L161"/>
  <c r="K161"/>
  <c r="AI151"/>
  <c r="AI148" s="1"/>
  <c r="AH151"/>
  <c r="AG151"/>
  <c r="AG148" s="1"/>
  <c r="AG147" s="1"/>
  <c r="AF151"/>
  <c r="AF148" s="1"/>
  <c r="AF147" s="1"/>
  <c r="AE151"/>
  <c r="AE148" s="1"/>
  <c r="AD151"/>
  <c r="AD147" s="1"/>
  <c r="AC151"/>
  <c r="AC147" s="1"/>
  <c r="AB151"/>
  <c r="AB147" s="1"/>
  <c r="AA151"/>
  <c r="Z151"/>
  <c r="Y151"/>
  <c r="Y147" s="1"/>
  <c r="X151"/>
  <c r="W151"/>
  <c r="V151"/>
  <c r="V147" s="1"/>
  <c r="U151"/>
  <c r="U147" s="1"/>
  <c r="T151"/>
  <c r="T147" s="1"/>
  <c r="S151"/>
  <c r="R151"/>
  <c r="R147" s="1"/>
  <c r="Q151"/>
  <c r="Q147" s="1"/>
  <c r="AN147"/>
  <c r="AM147"/>
  <c r="AK147"/>
  <c r="AJ147"/>
  <c r="P147"/>
  <c r="O147"/>
  <c r="N147"/>
  <c r="M147"/>
  <c r="L147"/>
  <c r="M142"/>
  <c r="N142"/>
  <c r="O142"/>
  <c r="P142"/>
  <c r="AJ142"/>
  <c r="L142"/>
  <c r="AI146"/>
  <c r="AI143" s="1"/>
  <c r="AH146"/>
  <c r="AG146"/>
  <c r="AG143" s="1"/>
  <c r="AG142" s="1"/>
  <c r="AF146"/>
  <c r="AF143" s="1"/>
  <c r="AE146"/>
  <c r="AD146"/>
  <c r="AC146"/>
  <c r="AC142" s="1"/>
  <c r="AB146"/>
  <c r="AA146"/>
  <c r="Z146"/>
  <c r="Y146"/>
  <c r="Y142" s="1"/>
  <c r="X146"/>
  <c r="W146"/>
  <c r="V146"/>
  <c r="U146"/>
  <c r="U142" s="1"/>
  <c r="T146"/>
  <c r="S146"/>
  <c r="R146"/>
  <c r="Q146"/>
  <c r="AN142"/>
  <c r="AM142"/>
  <c r="AK142"/>
  <c r="L106"/>
  <c r="P106"/>
  <c r="AN88"/>
  <c r="AM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AE85"/>
  <c r="R85"/>
  <c r="AF85"/>
  <c r="AD85"/>
  <c r="AB85"/>
  <c r="Z85"/>
  <c r="Y85"/>
  <c r="W85"/>
  <c r="T85"/>
  <c r="S85"/>
  <c r="AN85"/>
  <c r="AM85"/>
  <c r="AI85"/>
  <c r="AH85"/>
  <c r="AG85"/>
  <c r="AC85"/>
  <c r="AA85"/>
  <c r="X85"/>
  <c r="V85"/>
  <c r="U85"/>
  <c r="Q85"/>
  <c r="P85"/>
  <c r="O85"/>
  <c r="N85"/>
  <c r="M85"/>
  <c r="L85"/>
  <c r="AL62"/>
  <c r="J77"/>
  <c r="Z72"/>
  <c r="J73"/>
  <c r="AN72"/>
  <c r="AN62" s="1"/>
  <c r="AM72"/>
  <c r="AM62" s="1"/>
  <c r="AI72"/>
  <c r="AH72"/>
  <c r="AG72"/>
  <c r="AF72"/>
  <c r="AE72"/>
  <c r="AD72"/>
  <c r="AC72"/>
  <c r="AB72"/>
  <c r="AA72"/>
  <c r="Y72"/>
  <c r="X72"/>
  <c r="W72"/>
  <c r="V72"/>
  <c r="U72"/>
  <c r="T72"/>
  <c r="S72"/>
  <c r="R72"/>
  <c r="Q72"/>
  <c r="P72"/>
  <c r="P62" s="1"/>
  <c r="O72"/>
  <c r="O62" s="1"/>
  <c r="N72"/>
  <c r="N62" s="1"/>
  <c r="M72"/>
  <c r="M62" s="1"/>
  <c r="L72"/>
  <c r="J72" s="1"/>
  <c r="L67"/>
  <c r="L61" s="1"/>
  <c r="L46"/>
  <c r="Z48"/>
  <c r="Q48"/>
  <c r="Q47" s="1"/>
  <c r="Q46" s="1"/>
  <c r="AD46"/>
  <c r="Y46"/>
  <c r="X46"/>
  <c r="AN46"/>
  <c r="AM46"/>
  <c r="AI46"/>
  <c r="AH46"/>
  <c r="AG46"/>
  <c r="AF46"/>
  <c r="AE46"/>
  <c r="AC46"/>
  <c r="AB46"/>
  <c r="AA46"/>
  <c r="W46"/>
  <c r="V46"/>
  <c r="U46"/>
  <c r="T46"/>
  <c r="S46"/>
  <c r="R46"/>
  <c r="P46"/>
  <c r="O46"/>
  <c r="N46"/>
  <c r="M46"/>
  <c r="J54"/>
  <c r="K54"/>
  <c r="T54"/>
  <c r="AL54"/>
  <c r="AM54"/>
  <c r="AN54"/>
  <c r="Q303"/>
  <c r="Z303"/>
  <c r="Z302"/>
  <c r="Z301" s="1"/>
  <c r="AE299"/>
  <c r="AF299"/>
  <c r="AG299"/>
  <c r="AH299"/>
  <c r="AI299"/>
  <c r="Q302"/>
  <c r="Q301" s="1"/>
  <c r="AD300"/>
  <c r="AD299" s="1"/>
  <c r="Q300"/>
  <c r="Q299" s="1"/>
  <c r="X272"/>
  <c r="Q272"/>
  <c r="Z272"/>
  <c r="Q217"/>
  <c r="Q183" s="1"/>
  <c r="R217"/>
  <c r="R183" s="1"/>
  <c r="S217"/>
  <c r="S183" s="1"/>
  <c r="T217"/>
  <c r="T183" s="1"/>
  <c r="U217"/>
  <c r="U183" s="1"/>
  <c r="V217"/>
  <c r="V183" s="1"/>
  <c r="W217"/>
  <c r="W183" s="1"/>
  <c r="X217"/>
  <c r="Y217"/>
  <c r="Z217"/>
  <c r="AA217"/>
  <c r="AB217"/>
  <c r="AC217"/>
  <c r="AD217"/>
  <c r="AE217"/>
  <c r="R203"/>
  <c r="R202" s="1"/>
  <c r="S203"/>
  <c r="S202" s="1"/>
  <c r="T203"/>
  <c r="T202" s="1"/>
  <c r="U203"/>
  <c r="U202" s="1"/>
  <c r="V203"/>
  <c r="V202" s="1"/>
  <c r="W203"/>
  <c r="W202" s="1"/>
  <c r="Q204"/>
  <c r="X204"/>
  <c r="Q83"/>
  <c r="AA82"/>
  <c r="AB82"/>
  <c r="AC82"/>
  <c r="AD82"/>
  <c r="Y82"/>
  <c r="Z83"/>
  <c r="X327"/>
  <c r="Y327"/>
  <c r="AD327"/>
  <c r="Z59"/>
  <c r="R57"/>
  <c r="S57"/>
  <c r="U57"/>
  <c r="V57"/>
  <c r="W57"/>
  <c r="Y57"/>
  <c r="AA57"/>
  <c r="AB57"/>
  <c r="AC57"/>
  <c r="AD57"/>
  <c r="AF57"/>
  <c r="AG57"/>
  <c r="AH57"/>
  <c r="AI57"/>
  <c r="Q59"/>
  <c r="X59"/>
  <c r="X57" s="1"/>
  <c r="BP251" i="18"/>
  <c r="BO251"/>
  <c r="BN251"/>
  <c r="BM251"/>
  <c r="BL251"/>
  <c r="BK251"/>
  <c r="BJ251"/>
  <c r="BI251"/>
  <c r="BP248"/>
  <c r="BO248"/>
  <c r="BN248"/>
  <c r="BM248"/>
  <c r="BL248"/>
  <c r="BK248"/>
  <c r="BJ248"/>
  <c r="BI248"/>
  <c r="BP236"/>
  <c r="BO236"/>
  <c r="BN236"/>
  <c r="BM236"/>
  <c r="BL236"/>
  <c r="BK236"/>
  <c r="BJ236"/>
  <c r="BI236"/>
  <c r="BP232"/>
  <c r="BO232"/>
  <c r="BN232"/>
  <c r="BM232"/>
  <c r="BL232"/>
  <c r="BK232"/>
  <c r="BJ232"/>
  <c r="BI232"/>
  <c r="BP230"/>
  <c r="BO230"/>
  <c r="BN230"/>
  <c r="BM230"/>
  <c r="BL230"/>
  <c r="BK230"/>
  <c r="BJ230"/>
  <c r="BI230"/>
  <c r="BP222"/>
  <c r="BO222"/>
  <c r="BN222"/>
  <c r="BM222"/>
  <c r="BL222"/>
  <c r="BK222"/>
  <c r="BJ222"/>
  <c r="BI222"/>
  <c r="BP214"/>
  <c r="BO214"/>
  <c r="BN214"/>
  <c r="BM214"/>
  <c r="BL214"/>
  <c r="BK214"/>
  <c r="BJ214"/>
  <c r="BI214"/>
  <c r="BP211"/>
  <c r="BO211"/>
  <c r="BN211"/>
  <c r="BM211"/>
  <c r="BL211"/>
  <c r="BK211"/>
  <c r="BJ211"/>
  <c r="BI211"/>
  <c r="BP203"/>
  <c r="BO203"/>
  <c r="BN203"/>
  <c r="BM203"/>
  <c r="BL203"/>
  <c r="BK203"/>
  <c r="BJ203"/>
  <c r="BI203"/>
  <c r="BP178"/>
  <c r="BO178"/>
  <c r="BN178"/>
  <c r="BM178"/>
  <c r="BL178"/>
  <c r="BK178"/>
  <c r="BJ178"/>
  <c r="BI178"/>
  <c r="BP165"/>
  <c r="BO165"/>
  <c r="BN165"/>
  <c r="BM165"/>
  <c r="BL165"/>
  <c r="BK165"/>
  <c r="BJ165"/>
  <c r="BI165"/>
  <c r="BP162"/>
  <c r="BO162"/>
  <c r="BN162"/>
  <c r="BM162"/>
  <c r="BP149"/>
  <c r="BO149"/>
  <c r="BN149"/>
  <c r="BM149"/>
  <c r="BL149"/>
  <c r="BK149"/>
  <c r="BJ149"/>
  <c r="BI149"/>
  <c r="BP145"/>
  <c r="BO145"/>
  <c r="BN145"/>
  <c r="BM145"/>
  <c r="BL145"/>
  <c r="BK145"/>
  <c r="BJ145"/>
  <c r="BI145"/>
  <c r="BP141"/>
  <c r="BO141"/>
  <c r="BN141"/>
  <c r="BM141"/>
  <c r="BL141"/>
  <c r="BK141"/>
  <c r="BJ141"/>
  <c r="BI141"/>
  <c r="BP126"/>
  <c r="BO126"/>
  <c r="BN126"/>
  <c r="BM126"/>
  <c r="BL126"/>
  <c r="BK126"/>
  <c r="BJ126"/>
  <c r="BI126"/>
  <c r="BP119"/>
  <c r="BO119"/>
  <c r="BN119"/>
  <c r="BM119"/>
  <c r="BL119"/>
  <c r="BK119"/>
  <c r="BJ119"/>
  <c r="BI119"/>
  <c r="BP114"/>
  <c r="BO114"/>
  <c r="BN114"/>
  <c r="BM114"/>
  <c r="BL114"/>
  <c r="BK114"/>
  <c r="BJ114"/>
  <c r="BI114"/>
  <c r="BP110"/>
  <c r="BO110"/>
  <c r="BN110"/>
  <c r="BM110"/>
  <c r="BL110"/>
  <c r="BK110"/>
  <c r="BJ110"/>
  <c r="BI110"/>
  <c r="BP102"/>
  <c r="BO102"/>
  <c r="BN102"/>
  <c r="BM102"/>
  <c r="BL102"/>
  <c r="BK102"/>
  <c r="BJ102"/>
  <c r="BI102"/>
  <c r="BP96"/>
  <c r="BO96"/>
  <c r="BN96"/>
  <c r="BM96"/>
  <c r="BL96"/>
  <c r="BK96"/>
  <c r="BJ96"/>
  <c r="BI96"/>
  <c r="BP93"/>
  <c r="BO93"/>
  <c r="BN93"/>
  <c r="BM93"/>
  <c r="BL93"/>
  <c r="BK93"/>
  <c r="BJ93"/>
  <c r="BI93"/>
  <c r="BP90"/>
  <c r="BO90"/>
  <c r="BN90"/>
  <c r="BM90"/>
  <c r="BL90"/>
  <c r="BK90"/>
  <c r="BJ90"/>
  <c r="BI90"/>
  <c r="BP87"/>
  <c r="BO87"/>
  <c r="BN87"/>
  <c r="BM87"/>
  <c r="BL87"/>
  <c r="BK87"/>
  <c r="BJ87"/>
  <c r="BI87"/>
  <c r="BP80"/>
  <c r="BO80"/>
  <c r="BN80"/>
  <c r="BM80"/>
  <c r="BL80"/>
  <c r="BK80"/>
  <c r="BJ80"/>
  <c r="BI80"/>
  <c r="BP76"/>
  <c r="BO76"/>
  <c r="BN76"/>
  <c r="BM76"/>
  <c r="BL76"/>
  <c r="BK76"/>
  <c r="BJ76"/>
  <c r="BI76"/>
  <c r="BP61"/>
  <c r="BO61"/>
  <c r="BN61"/>
  <c r="BM61"/>
  <c r="BL61"/>
  <c r="BK61"/>
  <c r="BJ61"/>
  <c r="BI61"/>
  <c r="BP51"/>
  <c r="BO51"/>
  <c r="BN51"/>
  <c r="BM51"/>
  <c r="BL51"/>
  <c r="BK51"/>
  <c r="BJ51"/>
  <c r="BI51"/>
  <c r="AG162" i="6" l="1"/>
  <c r="Z47"/>
  <c r="Z46" s="1"/>
  <c r="AN162"/>
  <c r="AL147"/>
  <c r="Z147"/>
  <c r="U162"/>
  <c r="T162"/>
  <c r="L162"/>
  <c r="P162"/>
  <c r="X147"/>
  <c r="N162"/>
  <c r="AF162"/>
  <c r="AM162"/>
  <c r="Z166"/>
  <c r="Z165" s="1"/>
  <c r="Z162" s="1"/>
  <c r="AD162"/>
  <c r="AI162"/>
  <c r="Q142"/>
  <c r="O162"/>
  <c r="X162"/>
  <c r="AC162"/>
  <c r="AH162"/>
  <c r="Y162"/>
  <c r="AE162"/>
  <c r="AH148"/>
  <c r="AH147" s="1"/>
  <c r="R162"/>
  <c r="V162"/>
  <c r="AL170"/>
  <c r="S162"/>
  <c r="W162"/>
  <c r="V142"/>
  <c r="AD142"/>
  <c r="AJ165"/>
  <c r="AJ162" s="1"/>
  <c r="AL165"/>
  <c r="W142"/>
  <c r="AE143"/>
  <c r="AE142" s="1"/>
  <c r="AF142"/>
  <c r="AB142"/>
  <c r="X142"/>
  <c r="T142"/>
  <c r="S147"/>
  <c r="W147"/>
  <c r="AA147"/>
  <c r="AE147"/>
  <c r="AI147"/>
  <c r="R142"/>
  <c r="Z142"/>
  <c r="AH143"/>
  <c r="AH142" s="1"/>
  <c r="AI142"/>
  <c r="AA142"/>
  <c r="S142"/>
  <c r="AL19"/>
  <c r="AJ88"/>
  <c r="AK88" s="1"/>
  <c r="AL85"/>
  <c r="AL88"/>
  <c r="AJ85"/>
  <c r="AK85" s="1"/>
  <c r="AM19"/>
  <c r="AN19"/>
  <c r="L62"/>
  <c r="AJ72"/>
  <c r="AJ62" s="1"/>
  <c r="Z300"/>
  <c r="Z299" s="1"/>
  <c r="AJ46"/>
  <c r="AK46" s="1"/>
  <c r="AL46"/>
  <c r="AY212" i="18"/>
  <c r="AW212"/>
  <c r="AW211" s="1"/>
  <c r="AQ212"/>
  <c r="AQ211" s="1"/>
  <c r="AP212"/>
  <c r="AP211" s="1"/>
  <c r="BG211"/>
  <c r="BF211"/>
  <c r="BE211"/>
  <c r="BD211"/>
  <c r="BC211"/>
  <c r="BB211"/>
  <c r="BA211"/>
  <c r="AZ211"/>
  <c r="AY211"/>
  <c r="AX211"/>
  <c r="AV211"/>
  <c r="AU211"/>
  <c r="AT211"/>
  <c r="AS211"/>
  <c r="AR211"/>
  <c r="AY209"/>
  <c r="AQ209"/>
  <c r="AP209"/>
  <c r="BG208"/>
  <c r="BF208"/>
  <c r="BE208"/>
  <c r="BD208"/>
  <c r="BC208"/>
  <c r="BB208"/>
  <c r="BA208"/>
  <c r="AZ208"/>
  <c r="AY208"/>
  <c r="AX208"/>
  <c r="AW208"/>
  <c r="AV208"/>
  <c r="AU208"/>
  <c r="AT208"/>
  <c r="AS208"/>
  <c r="AR208"/>
  <c r="AQ208"/>
  <c r="AP208"/>
  <c r="AY206"/>
  <c r="AY202" s="1"/>
  <c r="AY201" s="1"/>
  <c r="AW206"/>
  <c r="AP206"/>
  <c r="AY205"/>
  <c r="AW205"/>
  <c r="AP205"/>
  <c r="AY204"/>
  <c r="AW204"/>
  <c r="AP204"/>
  <c r="AY203"/>
  <c r="AQ203"/>
  <c r="AP203"/>
  <c r="BB202"/>
  <c r="BB201" s="1"/>
  <c r="BA202"/>
  <c r="BA201" s="1"/>
  <c r="AZ202"/>
  <c r="AX202"/>
  <c r="AX201" s="1"/>
  <c r="AV202"/>
  <c r="AV201" s="1"/>
  <c r="AU202"/>
  <c r="AT202"/>
  <c r="AT201" s="1"/>
  <c r="AS202"/>
  <c r="AS201" s="1"/>
  <c r="AR202"/>
  <c r="AR201" s="1"/>
  <c r="AQ202"/>
  <c r="BG201"/>
  <c r="BF201"/>
  <c r="AZ201"/>
  <c r="AU201"/>
  <c r="AQ201"/>
  <c r="AY199"/>
  <c r="AY198" s="1"/>
  <c r="AY197" s="1"/>
  <c r="AP199"/>
  <c r="AP198" s="1"/>
  <c r="AP197" s="1"/>
  <c r="BC197" s="1"/>
  <c r="BD197" s="1"/>
  <c r="BB198"/>
  <c r="BB197" s="1"/>
  <c r="BA198"/>
  <c r="BA197" s="1"/>
  <c r="AZ198"/>
  <c r="AZ197" s="1"/>
  <c r="AX198"/>
  <c r="AX197" s="1"/>
  <c r="AW198"/>
  <c r="AW197" s="1"/>
  <c r="AV198"/>
  <c r="AV197" s="1"/>
  <c r="AU198"/>
  <c r="AU197" s="1"/>
  <c r="AT198"/>
  <c r="AT197" s="1"/>
  <c r="AS198"/>
  <c r="AS197" s="1"/>
  <c r="AR198"/>
  <c r="AQ198"/>
  <c r="AQ197" s="1"/>
  <c r="BG197"/>
  <c r="BF197"/>
  <c r="AR197"/>
  <c r="AY195"/>
  <c r="AQ195"/>
  <c r="AQ194" s="1"/>
  <c r="AQ193" s="1"/>
  <c r="AP195"/>
  <c r="AX194"/>
  <c r="AX193" s="1"/>
  <c r="AW194"/>
  <c r="AW193" s="1"/>
  <c r="AV194"/>
  <c r="AV193" s="1"/>
  <c r="AU194"/>
  <c r="AU193" s="1"/>
  <c r="AT194"/>
  <c r="AT193" s="1"/>
  <c r="AS194"/>
  <c r="AS193" s="1"/>
  <c r="AR194"/>
  <c r="AR193" s="1"/>
  <c r="AP194"/>
  <c r="AP193" s="1"/>
  <c r="BC193" s="1"/>
  <c r="BD193" s="1"/>
  <c r="BG193"/>
  <c r="BF193"/>
  <c r="BB193"/>
  <c r="BA193"/>
  <c r="AZ193"/>
  <c r="AY193"/>
  <c r="BC191"/>
  <c r="BD191" s="1"/>
  <c r="BC190"/>
  <c r="BD190" s="1"/>
  <c r="AZ189"/>
  <c r="AX189"/>
  <c r="AU189"/>
  <c r="AU188" s="1"/>
  <c r="AU187" s="1"/>
  <c r="BG188"/>
  <c r="BG187" s="1"/>
  <c r="BF188"/>
  <c r="BF187" s="1"/>
  <c r="BE188"/>
  <c r="BE187" s="1"/>
  <c r="BD188"/>
  <c r="BD187" s="1"/>
  <c r="BC188"/>
  <c r="BC187" s="1"/>
  <c r="BB188"/>
  <c r="BB187" s="1"/>
  <c r="BA188"/>
  <c r="BA187" s="1"/>
  <c r="AV188"/>
  <c r="AV187" s="1"/>
  <c r="AT188"/>
  <c r="AT187" s="1"/>
  <c r="AS188"/>
  <c r="AS187" s="1"/>
  <c r="AR188"/>
  <c r="AR187" s="1"/>
  <c r="AQ188"/>
  <c r="AQ187" s="1"/>
  <c r="BL177"/>
  <c r="BJ177"/>
  <c r="BG182"/>
  <c r="BF182"/>
  <c r="BE182"/>
  <c r="BD182"/>
  <c r="BC182"/>
  <c r="BB182"/>
  <c r="BA182"/>
  <c r="AZ182"/>
  <c r="AY182"/>
  <c r="AX182"/>
  <c r="AW182"/>
  <c r="AV182"/>
  <c r="AU182"/>
  <c r="AT182"/>
  <c r="AS182"/>
  <c r="AR182"/>
  <c r="AQ182"/>
  <c r="AP182"/>
  <c r="BG180"/>
  <c r="BF180"/>
  <c r="BE180"/>
  <c r="BD180"/>
  <c r="BC180"/>
  <c r="BB180"/>
  <c r="BA180"/>
  <c r="AZ180"/>
  <c r="AY180"/>
  <c r="AX180"/>
  <c r="AW180"/>
  <c r="AV180"/>
  <c r="AU180"/>
  <c r="AT180"/>
  <c r="AS180"/>
  <c r="AR180"/>
  <c r="AQ180"/>
  <c r="AP180"/>
  <c r="BO177"/>
  <c r="BN177"/>
  <c r="BM177"/>
  <c r="BK177"/>
  <c r="BI177"/>
  <c r="BH177"/>
  <c r="BH107" s="1"/>
  <c r="AU169"/>
  <c r="AU168" s="1"/>
  <c r="AU167" s="1"/>
  <c r="AU164" s="1"/>
  <c r="AP169"/>
  <c r="BG168"/>
  <c r="BF168"/>
  <c r="BE168"/>
  <c r="BD168"/>
  <c r="BC168"/>
  <c r="BB168"/>
  <c r="BB167" s="1"/>
  <c r="BA168"/>
  <c r="BA167" s="1"/>
  <c r="AZ168"/>
  <c r="AZ167" s="1"/>
  <c r="AZ164" s="1"/>
  <c r="AY168"/>
  <c r="AY167" s="1"/>
  <c r="AY164" s="1"/>
  <c r="AX168"/>
  <c r="AX167" s="1"/>
  <c r="AX164" s="1"/>
  <c r="AW168"/>
  <c r="AW167" s="1"/>
  <c r="AW164" s="1"/>
  <c r="AV168"/>
  <c r="AV167" s="1"/>
  <c r="AV164" s="1"/>
  <c r="AT168"/>
  <c r="AT167" s="1"/>
  <c r="AT164" s="1"/>
  <c r="AS168"/>
  <c r="AS167" s="1"/>
  <c r="AS164" s="1"/>
  <c r="AR168"/>
  <c r="AR167" s="1"/>
  <c r="AR164" s="1"/>
  <c r="AQ168"/>
  <c r="AQ167" s="1"/>
  <c r="AQ164" s="1"/>
  <c r="AP168"/>
  <c r="AP167" s="1"/>
  <c r="AP164" s="1"/>
  <c r="BG167"/>
  <c r="BF167"/>
  <c r="BL164"/>
  <c r="BL162" s="1"/>
  <c r="BK164"/>
  <c r="BK162" s="1"/>
  <c r="BJ164"/>
  <c r="BJ162" s="1"/>
  <c r="BI164"/>
  <c r="BI162" s="1"/>
  <c r="BG161"/>
  <c r="BF161"/>
  <c r="BE161"/>
  <c r="BD161"/>
  <c r="BC161"/>
  <c r="BB161"/>
  <c r="BA161"/>
  <c r="AZ161"/>
  <c r="AY161"/>
  <c r="AX161"/>
  <c r="AW161"/>
  <c r="AV161"/>
  <c r="AU161"/>
  <c r="AT161"/>
  <c r="AS161"/>
  <c r="AR161"/>
  <c r="AQ161"/>
  <c r="AP161"/>
  <c r="BG159"/>
  <c r="BF159"/>
  <c r="BE159"/>
  <c r="BD159"/>
  <c r="BC159"/>
  <c r="BB159"/>
  <c r="BA159"/>
  <c r="AZ159"/>
  <c r="AY159"/>
  <c r="AX159"/>
  <c r="AW159"/>
  <c r="AV159"/>
  <c r="AU159"/>
  <c r="AT159"/>
  <c r="AS159"/>
  <c r="AR159"/>
  <c r="AQ159"/>
  <c r="AP159"/>
  <c r="AY158"/>
  <c r="AX158"/>
  <c r="AW158" s="1"/>
  <c r="AZ157"/>
  <c r="AY157" s="1"/>
  <c r="AX157"/>
  <c r="AW157" s="1"/>
  <c r="AY156"/>
  <c r="AW156"/>
  <c r="AP156"/>
  <c r="AY155"/>
  <c r="AX155"/>
  <c r="AP155" s="1"/>
  <c r="BB154"/>
  <c r="BB153" s="1"/>
  <c r="BA154"/>
  <c r="AZ154"/>
  <c r="AZ153" s="1"/>
  <c r="AV154"/>
  <c r="AV153" s="1"/>
  <c r="AU154"/>
  <c r="AU153" s="1"/>
  <c r="AT154"/>
  <c r="AT153" s="1"/>
  <c r="AS154"/>
  <c r="AS153" s="1"/>
  <c r="AR154"/>
  <c r="AR153" s="1"/>
  <c r="AQ154"/>
  <c r="AQ153" s="1"/>
  <c r="BG153"/>
  <c r="BF153"/>
  <c r="BE153"/>
  <c r="BD153"/>
  <c r="BC153"/>
  <c r="BA153"/>
  <c r="AY152"/>
  <c r="AX152"/>
  <c r="AP152" s="1"/>
  <c r="AY151"/>
  <c r="AW151"/>
  <c r="AP151"/>
  <c r="AY150"/>
  <c r="AW150"/>
  <c r="AP150"/>
  <c r="AZ149"/>
  <c r="AY149" s="1"/>
  <c r="AX149"/>
  <c r="AW149" s="1"/>
  <c r="BG148"/>
  <c r="BG147" s="1"/>
  <c r="BF148"/>
  <c r="BF147" s="1"/>
  <c r="BE148"/>
  <c r="BE147" s="1"/>
  <c r="BD148"/>
  <c r="BD147" s="1"/>
  <c r="BC148"/>
  <c r="BC147" s="1"/>
  <c r="BB148"/>
  <c r="BB147" s="1"/>
  <c r="BA148"/>
  <c r="BA147" s="1"/>
  <c r="AV148"/>
  <c r="AV147" s="1"/>
  <c r="AU148"/>
  <c r="AU147" s="1"/>
  <c r="AT148"/>
  <c r="AT147" s="1"/>
  <c r="AS148"/>
  <c r="AS147" s="1"/>
  <c r="AR148"/>
  <c r="AR147" s="1"/>
  <c r="AQ148"/>
  <c r="AQ147" s="1"/>
  <c r="BG144"/>
  <c r="BG143" s="1"/>
  <c r="BG140" s="1"/>
  <c r="BF144"/>
  <c r="BF143" s="1"/>
  <c r="BF140" s="1"/>
  <c r="BE144"/>
  <c r="BD144"/>
  <c r="BC144"/>
  <c r="BB144"/>
  <c r="BB143" s="1"/>
  <c r="BA144"/>
  <c r="BA143" s="1"/>
  <c r="AZ144"/>
  <c r="AY144"/>
  <c r="AY143" s="1"/>
  <c r="AX144"/>
  <c r="AX143" s="1"/>
  <c r="AW144"/>
  <c r="AW143" s="1"/>
  <c r="AV144"/>
  <c r="AV143" s="1"/>
  <c r="AU144"/>
  <c r="AU143" s="1"/>
  <c r="AT144"/>
  <c r="AT143" s="1"/>
  <c r="AS144"/>
  <c r="AS143" s="1"/>
  <c r="AR144"/>
  <c r="AQ144"/>
  <c r="AQ143" s="1"/>
  <c r="AP144"/>
  <c r="AP143" s="1"/>
  <c r="AZ143"/>
  <c r="AR143"/>
  <c r="BL140"/>
  <c r="BK140"/>
  <c r="BJ140"/>
  <c r="BI140"/>
  <c r="BE140"/>
  <c r="AW133"/>
  <c r="AP133"/>
  <c r="BK132"/>
  <c r="BI132"/>
  <c r="BL132" s="1"/>
  <c r="BG129"/>
  <c r="BF129"/>
  <c r="BE129"/>
  <c r="BD129"/>
  <c r="BC129"/>
  <c r="BB129"/>
  <c r="BA129"/>
  <c r="AZ129"/>
  <c r="AY129"/>
  <c r="AX129"/>
  <c r="AW129"/>
  <c r="AV129"/>
  <c r="AU129"/>
  <c r="AT129"/>
  <c r="AS129"/>
  <c r="AR129"/>
  <c r="AQ129"/>
  <c r="AP129"/>
  <c r="BG126"/>
  <c r="BF126"/>
  <c r="BE126"/>
  <c r="BD126"/>
  <c r="BC126"/>
  <c r="BB126"/>
  <c r="BA126"/>
  <c r="AZ126"/>
  <c r="AY126"/>
  <c r="AX126"/>
  <c r="AW126"/>
  <c r="AV126"/>
  <c r="AU126"/>
  <c r="AT126"/>
  <c r="AS126"/>
  <c r="AR126"/>
  <c r="AQ126"/>
  <c r="AP126"/>
  <c r="AW125"/>
  <c r="AS125"/>
  <c r="AQ125"/>
  <c r="AP125"/>
  <c r="AY124"/>
  <c r="AW124"/>
  <c r="AP124"/>
  <c r="AY123"/>
  <c r="AW123"/>
  <c r="AP123"/>
  <c r="AY122"/>
  <c r="AW122"/>
  <c r="AP122"/>
  <c r="AY121"/>
  <c r="AU121"/>
  <c r="AU119" s="1"/>
  <c r="AP121"/>
  <c r="AS120"/>
  <c r="AQ120"/>
  <c r="AP120"/>
  <c r="BG119"/>
  <c r="BF119"/>
  <c r="BE119"/>
  <c r="BD119"/>
  <c r="BC119"/>
  <c r="BB119"/>
  <c r="BA119"/>
  <c r="AZ119"/>
  <c r="AX119"/>
  <c r="AV119"/>
  <c r="AT119"/>
  <c r="AR119"/>
  <c r="BG116"/>
  <c r="BF116"/>
  <c r="BB116"/>
  <c r="BA116"/>
  <c r="AZ116"/>
  <c r="AY116"/>
  <c r="AX116"/>
  <c r="AW116"/>
  <c r="AV116"/>
  <c r="AU116"/>
  <c r="AT116"/>
  <c r="AS116"/>
  <c r="AR116"/>
  <c r="AQ116"/>
  <c r="AP116"/>
  <c r="BE116" s="1"/>
  <c r="BG114"/>
  <c r="BF114"/>
  <c r="BB114"/>
  <c r="BA114"/>
  <c r="AZ114"/>
  <c r="AY114"/>
  <c r="AX114"/>
  <c r="AW114"/>
  <c r="AV114"/>
  <c r="AU114"/>
  <c r="AT114"/>
  <c r="AS114"/>
  <c r="AR114"/>
  <c r="AQ114"/>
  <c r="AP114"/>
  <c r="BN106"/>
  <c r="BL106"/>
  <c r="BJ106"/>
  <c r="BH110"/>
  <c r="BH106" s="1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BP108"/>
  <c r="BO108"/>
  <c r="BN108"/>
  <c r="BM108"/>
  <c r="BL108"/>
  <c r="BK108"/>
  <c r="BJ108"/>
  <c r="BI108"/>
  <c r="BH108"/>
  <c r="BG108"/>
  <c r="BF108"/>
  <c r="BE108"/>
  <c r="BD108"/>
  <c r="BC108"/>
  <c r="BB108"/>
  <c r="BP106"/>
  <c r="BO106"/>
  <c r="BM106"/>
  <c r="BK106"/>
  <c r="BI106"/>
  <c r="BG101"/>
  <c r="BG98" s="1"/>
  <c r="BF101"/>
  <c r="BF98" s="1"/>
  <c r="BB101"/>
  <c r="BB98" s="1"/>
  <c r="BA101"/>
  <c r="BA98" s="1"/>
  <c r="AZ101"/>
  <c r="AY101"/>
  <c r="AY98" s="1"/>
  <c r="AX101"/>
  <c r="AX98" s="1"/>
  <c r="AW101"/>
  <c r="AW98" s="1"/>
  <c r="AV101"/>
  <c r="AV98" s="1"/>
  <c r="AU101"/>
  <c r="AU98" s="1"/>
  <c r="AT101"/>
  <c r="AT98" s="1"/>
  <c r="AS101"/>
  <c r="AS98" s="1"/>
  <c r="AR101"/>
  <c r="AR98" s="1"/>
  <c r="AQ101"/>
  <c r="AQ98" s="1"/>
  <c r="AP101"/>
  <c r="AP98" s="1"/>
  <c r="BE98"/>
  <c r="AZ98"/>
  <c r="AY94"/>
  <c r="AY93" s="1"/>
  <c r="AY92" s="1"/>
  <c r="AP94"/>
  <c r="BB93"/>
  <c r="BA93"/>
  <c r="AZ93"/>
  <c r="AX93"/>
  <c r="AW93"/>
  <c r="AV93"/>
  <c r="AU93"/>
  <c r="AT93"/>
  <c r="AS93"/>
  <c r="AR93"/>
  <c r="AQ93"/>
  <c r="AP93"/>
  <c r="BG92"/>
  <c r="BF92"/>
  <c r="BE92"/>
  <c r="BD92"/>
  <c r="BB92"/>
  <c r="BA92"/>
  <c r="AZ92"/>
  <c r="AX92"/>
  <c r="AW92"/>
  <c r="AV92"/>
  <c r="AU92"/>
  <c r="AT92"/>
  <c r="AS92"/>
  <c r="AR92"/>
  <c r="AQ92"/>
  <c r="AP92"/>
  <c r="BC92" s="1"/>
  <c r="AY90"/>
  <c r="AW90"/>
  <c r="AP90"/>
  <c r="AY89"/>
  <c r="AW89"/>
  <c r="AP89"/>
  <c r="AY88"/>
  <c r="AW88"/>
  <c r="AP88"/>
  <c r="BB87"/>
  <c r="BB86" s="1"/>
  <c r="BA87"/>
  <c r="BA86" s="1"/>
  <c r="AZ87"/>
  <c r="AZ86" s="1"/>
  <c r="AX87"/>
  <c r="AX86" s="1"/>
  <c r="AV87"/>
  <c r="AV86" s="1"/>
  <c r="AU87"/>
  <c r="AU86" s="1"/>
  <c r="AT87"/>
  <c r="AT86" s="1"/>
  <c r="AS87"/>
  <c r="AS86" s="1"/>
  <c r="AR87"/>
  <c r="AR86" s="1"/>
  <c r="AQ87"/>
  <c r="AQ86" s="1"/>
  <c r="BG86"/>
  <c r="BF86"/>
  <c r="BE86"/>
  <c r="BD86"/>
  <c r="AY85"/>
  <c r="AY84" s="1"/>
  <c r="AY83" s="1"/>
  <c r="AP85"/>
  <c r="AP84" s="1"/>
  <c r="AP83" s="1"/>
  <c r="BC83" s="1"/>
  <c r="AZ84"/>
  <c r="AZ83" s="1"/>
  <c r="AX84"/>
  <c r="AX83" s="1"/>
  <c r="AW84"/>
  <c r="AW83" s="1"/>
  <c r="AV84"/>
  <c r="AV83" s="1"/>
  <c r="AU84"/>
  <c r="AU83" s="1"/>
  <c r="AT84"/>
  <c r="AT83" s="1"/>
  <c r="AS84"/>
  <c r="AS83" s="1"/>
  <c r="AR84"/>
  <c r="AR83" s="1"/>
  <c r="AQ84"/>
  <c r="AQ83" s="1"/>
  <c r="BG83"/>
  <c r="BF83"/>
  <c r="BE83"/>
  <c r="BD83"/>
  <c r="BB83"/>
  <c r="BA83"/>
  <c r="BG81"/>
  <c r="BF81"/>
  <c r="BE81"/>
  <c r="BD81"/>
  <c r="BC81"/>
  <c r="BB81"/>
  <c r="BA81"/>
  <c r="AZ81"/>
  <c r="AY81"/>
  <c r="AX81"/>
  <c r="AW81"/>
  <c r="AV81"/>
  <c r="AU81"/>
  <c r="AT81"/>
  <c r="AS81"/>
  <c r="AR81"/>
  <c r="AQ81"/>
  <c r="AP81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BC78"/>
  <c r="BD78" s="1"/>
  <c r="AP76"/>
  <c r="AP75" s="1"/>
  <c r="AP74" s="1"/>
  <c r="BC74" s="1"/>
  <c r="AZ75"/>
  <c r="AZ74" s="1"/>
  <c r="AY75"/>
  <c r="AY74" s="1"/>
  <c r="AX75"/>
  <c r="AX74" s="1"/>
  <c r="AW75"/>
  <c r="AW74" s="1"/>
  <c r="AV75"/>
  <c r="AV74" s="1"/>
  <c r="AU75"/>
  <c r="AU74" s="1"/>
  <c r="AT75"/>
  <c r="AT74" s="1"/>
  <c r="AS75"/>
  <c r="AS74" s="1"/>
  <c r="AR75"/>
  <c r="AR74" s="1"/>
  <c r="AQ75"/>
  <c r="AQ74" s="1"/>
  <c r="BG74"/>
  <c r="BG69" s="1"/>
  <c r="BF74"/>
  <c r="BF69" s="1"/>
  <c r="BB74"/>
  <c r="BB69" s="1"/>
  <c r="BA74"/>
  <c r="BA69" s="1"/>
  <c r="BL72"/>
  <c r="BE72"/>
  <c r="BE69" s="1"/>
  <c r="BC72"/>
  <c r="BD72" s="1"/>
  <c r="AP66"/>
  <c r="AP65" s="1"/>
  <c r="AP64" s="1"/>
  <c r="BB65"/>
  <c r="BB64" s="1"/>
  <c r="BB61" s="1"/>
  <c r="BA65"/>
  <c r="BA64" s="1"/>
  <c r="BA61" s="1"/>
  <c r="AZ65"/>
  <c r="AZ64" s="1"/>
  <c r="AZ61" s="1"/>
  <c r="AY65"/>
  <c r="AY64" s="1"/>
  <c r="AY61" s="1"/>
  <c r="AX65"/>
  <c r="AX64" s="1"/>
  <c r="AX61" s="1"/>
  <c r="AW65"/>
  <c r="AW64" s="1"/>
  <c r="AW61" s="1"/>
  <c r="AV65"/>
  <c r="AV64" s="1"/>
  <c r="AV61" s="1"/>
  <c r="AU65"/>
  <c r="AU64" s="1"/>
  <c r="AU61" s="1"/>
  <c r="AT65"/>
  <c r="AT64" s="1"/>
  <c r="AT61" s="1"/>
  <c r="AS65"/>
  <c r="AS64" s="1"/>
  <c r="AS61" s="1"/>
  <c r="AR65"/>
  <c r="AR64" s="1"/>
  <c r="AR61" s="1"/>
  <c r="AQ65"/>
  <c r="AQ64" s="1"/>
  <c r="AQ61" s="1"/>
  <c r="BG64"/>
  <c r="BG61" s="1"/>
  <c r="BF64"/>
  <c r="BF61" s="1"/>
  <c r="BG58"/>
  <c r="BF58"/>
  <c r="BB58"/>
  <c r="BA58"/>
  <c r="AZ58"/>
  <c r="AY58"/>
  <c r="AX58"/>
  <c r="AW58"/>
  <c r="AV58"/>
  <c r="AU58"/>
  <c r="AT58"/>
  <c r="AS58"/>
  <c r="AR58"/>
  <c r="AQ58"/>
  <c r="AP58"/>
  <c r="BG55"/>
  <c r="BF55"/>
  <c r="BB55"/>
  <c r="BA55"/>
  <c r="AZ55"/>
  <c r="AY55"/>
  <c r="AX55"/>
  <c r="AW55"/>
  <c r="AV55"/>
  <c r="AU55"/>
  <c r="AT55"/>
  <c r="AS55"/>
  <c r="AR55"/>
  <c r="AQ55"/>
  <c r="AP55"/>
  <c r="BC55" s="1"/>
  <c r="BD55" s="1"/>
  <c r="BE52"/>
  <c r="BC50"/>
  <c r="BG48"/>
  <c r="BF48"/>
  <c r="BF20" s="1"/>
  <c r="BE48"/>
  <c r="BE20" s="1"/>
  <c r="BB48"/>
  <c r="BA48"/>
  <c r="AZ48"/>
  <c r="AY48"/>
  <c r="AX48"/>
  <c r="AW48"/>
  <c r="AV48"/>
  <c r="AU48"/>
  <c r="AT48"/>
  <c r="AS48"/>
  <c r="AR48"/>
  <c r="AQ48"/>
  <c r="AP48"/>
  <c r="BP43"/>
  <c r="BO43"/>
  <c r="BO19" s="1"/>
  <c r="BN43"/>
  <c r="BN19" s="1"/>
  <c r="BM43"/>
  <c r="BL43"/>
  <c r="BK43"/>
  <c r="BK19" s="1"/>
  <c r="BJ43"/>
  <c r="BI43"/>
  <c r="BG43"/>
  <c r="BF43"/>
  <c r="BB43"/>
  <c r="BA43"/>
  <c r="AZ43"/>
  <c r="AY43"/>
  <c r="AX43"/>
  <c r="AW43"/>
  <c r="AV43"/>
  <c r="AU43"/>
  <c r="AT43"/>
  <c r="AS43"/>
  <c r="AR43"/>
  <c r="AQ43"/>
  <c r="AP43"/>
  <c r="BC43" s="1"/>
  <c r="BD43" s="1"/>
  <c r="BP40"/>
  <c r="BO40"/>
  <c r="BN40"/>
  <c r="BM40"/>
  <c r="BL40"/>
  <c r="BK40"/>
  <c r="BJ40"/>
  <c r="BI40"/>
  <c r="BH40"/>
  <c r="BG40"/>
  <c r="BF40"/>
  <c r="BF22" s="1"/>
  <c r="BF18" s="1"/>
  <c r="BE40"/>
  <c r="BD40"/>
  <c r="BC40"/>
  <c r="BB40"/>
  <c r="BA40"/>
  <c r="AZ40"/>
  <c r="AY40"/>
  <c r="AX40"/>
  <c r="AW40"/>
  <c r="AV40"/>
  <c r="AU40"/>
  <c r="AT40"/>
  <c r="AS40"/>
  <c r="AR40"/>
  <c r="AQ40"/>
  <c r="AP40"/>
  <c r="BA39"/>
  <c r="AY39"/>
  <c r="AQ39"/>
  <c r="AP39"/>
  <c r="BA38"/>
  <c r="BA37" s="1"/>
  <c r="BA24" s="1"/>
  <c r="AZ38"/>
  <c r="AY38" s="1"/>
  <c r="AX38"/>
  <c r="AX37" s="1"/>
  <c r="AX24" s="1"/>
  <c r="AQ38"/>
  <c r="BB37"/>
  <c r="BB24" s="1"/>
  <c r="BB20" s="1"/>
  <c r="BB14" s="1"/>
  <c r="AW37"/>
  <c r="AV37"/>
  <c r="AV24" s="1"/>
  <c r="AU37"/>
  <c r="AT37"/>
  <c r="AT24" s="1"/>
  <c r="AT20" s="1"/>
  <c r="AS37"/>
  <c r="AR37"/>
  <c r="AR24" s="1"/>
  <c r="BA36"/>
  <c r="BA35" s="1"/>
  <c r="BA25" s="1"/>
  <c r="BA21" s="1"/>
  <c r="BA15" s="1"/>
  <c r="AZ36"/>
  <c r="AX36"/>
  <c r="AV36"/>
  <c r="AT36"/>
  <c r="AT35" s="1"/>
  <c r="AT25" s="1"/>
  <c r="AT21" s="1"/>
  <c r="AQ36"/>
  <c r="BB35"/>
  <c r="AX35"/>
  <c r="AW35"/>
  <c r="AW25" s="1"/>
  <c r="AW21" s="1"/>
  <c r="AW15" s="1"/>
  <c r="AU35"/>
  <c r="AS35"/>
  <c r="AS25" s="1"/>
  <c r="AS21" s="1"/>
  <c r="AR35"/>
  <c r="BA34"/>
  <c r="AZ34"/>
  <c r="AY34" s="1"/>
  <c r="AX34"/>
  <c r="AV34"/>
  <c r="AT34"/>
  <c r="AS34" s="1"/>
  <c r="AR34"/>
  <c r="AQ34" s="1"/>
  <c r="AY33"/>
  <c r="AP33"/>
  <c r="AP32"/>
  <c r="BA31"/>
  <c r="AY31"/>
  <c r="AT31"/>
  <c r="AQ31"/>
  <c r="BA30"/>
  <c r="AZ30"/>
  <c r="AY30" s="1"/>
  <c r="AX30"/>
  <c r="AV30"/>
  <c r="AT30"/>
  <c r="AS30" s="1"/>
  <c r="AR30"/>
  <c r="AQ30" s="1"/>
  <c r="BA29"/>
  <c r="AZ29"/>
  <c r="AY29" s="1"/>
  <c r="AX29"/>
  <c r="AV29"/>
  <c r="AT29"/>
  <c r="AS29" s="1"/>
  <c r="AR29"/>
  <c r="AQ29" s="1"/>
  <c r="BA28"/>
  <c r="AZ28"/>
  <c r="AY28" s="1"/>
  <c r="AX28"/>
  <c r="AV28"/>
  <c r="AT28"/>
  <c r="AS28" s="1"/>
  <c r="BB27"/>
  <c r="AW27"/>
  <c r="AU27"/>
  <c r="BP26"/>
  <c r="BO26"/>
  <c r="BN26"/>
  <c r="BM26"/>
  <c r="BL26"/>
  <c r="BK26"/>
  <c r="BJ26"/>
  <c r="BI26"/>
  <c r="BG26"/>
  <c r="BF26"/>
  <c r="BP25"/>
  <c r="BP21" s="1"/>
  <c r="BO25"/>
  <c r="BO21" s="1"/>
  <c r="BO15" s="1"/>
  <c r="BN25"/>
  <c r="BN21" s="1"/>
  <c r="BM25"/>
  <c r="BM21" s="1"/>
  <c r="BL25"/>
  <c r="BL21" s="1"/>
  <c r="BK25"/>
  <c r="BK21" s="1"/>
  <c r="BK15" s="1"/>
  <c r="BJ25"/>
  <c r="BJ21" s="1"/>
  <c r="BI25"/>
  <c r="BI21" s="1"/>
  <c r="BI15" s="1"/>
  <c r="BG25"/>
  <c r="BG21" s="1"/>
  <c r="BF25"/>
  <c r="BF21" s="1"/>
  <c r="BF15" s="1"/>
  <c r="BE25"/>
  <c r="BE21" s="1"/>
  <c r="BD25"/>
  <c r="BD21" s="1"/>
  <c r="BC25"/>
  <c r="BC21" s="1"/>
  <c r="BB25"/>
  <c r="BB21" s="1"/>
  <c r="BB15" s="1"/>
  <c r="AX25"/>
  <c r="AX21" s="1"/>
  <c r="AX15" s="1"/>
  <c r="AR25"/>
  <c r="AR21" s="1"/>
  <c r="AQ25"/>
  <c r="AQ21" s="1"/>
  <c r="AQ15" s="1"/>
  <c r="AW24"/>
  <c r="AW20" s="1"/>
  <c r="AU24"/>
  <c r="AS24"/>
  <c r="AS20" s="1"/>
  <c r="BP22"/>
  <c r="BP18" s="1"/>
  <c r="BP12" s="1"/>
  <c r="BO22"/>
  <c r="BO18" s="1"/>
  <c r="BN22"/>
  <c r="BN18" s="1"/>
  <c r="BM22"/>
  <c r="BL22"/>
  <c r="BL18" s="1"/>
  <c r="BK22"/>
  <c r="BK18" s="1"/>
  <c r="BJ22"/>
  <c r="BJ18" s="1"/>
  <c r="BJ12" s="1"/>
  <c r="BI22"/>
  <c r="BI18" s="1"/>
  <c r="BP20"/>
  <c r="BP14" s="1"/>
  <c r="BO20"/>
  <c r="BN20"/>
  <c r="BN14" s="1"/>
  <c r="BM20"/>
  <c r="BM14" s="1"/>
  <c r="BL20"/>
  <c r="BL14" s="1"/>
  <c r="BK20"/>
  <c r="BK14" s="1"/>
  <c r="BJ20"/>
  <c r="BJ14" s="1"/>
  <c r="BI20"/>
  <c r="BG20"/>
  <c r="BP19"/>
  <c r="BM19"/>
  <c r="BL19"/>
  <c r="BJ19"/>
  <c r="BI19"/>
  <c r="BM18"/>
  <c r="AA259"/>
  <c r="Z259" s="1"/>
  <c r="W259"/>
  <c r="T259"/>
  <c r="S259"/>
  <c r="R259" s="1"/>
  <c r="T258"/>
  <c r="Q258"/>
  <c r="AC257"/>
  <c r="AC256" s="1"/>
  <c r="AA257"/>
  <c r="V257"/>
  <c r="T257"/>
  <c r="S257"/>
  <c r="R257" s="1"/>
  <c r="AI256"/>
  <c r="AH256"/>
  <c r="AG256"/>
  <c r="AF256"/>
  <c r="AE256"/>
  <c r="AD256"/>
  <c r="AD252" s="1"/>
  <c r="AD251" s="1"/>
  <c r="AB256"/>
  <c r="Y256"/>
  <c r="X256"/>
  <c r="U256"/>
  <c r="Z255"/>
  <c r="V255"/>
  <c r="Q255"/>
  <c r="P255"/>
  <c r="Z254"/>
  <c r="Z252" s="1"/>
  <c r="Z253"/>
  <c r="T253"/>
  <c r="R253"/>
  <c r="Q253"/>
  <c r="AC252"/>
  <c r="AB252"/>
  <c r="AA252"/>
  <c r="Y252"/>
  <c r="X252"/>
  <c r="X251" s="1"/>
  <c r="W252"/>
  <c r="V252"/>
  <c r="U252"/>
  <c r="T252"/>
  <c r="S252"/>
  <c r="P252"/>
  <c r="P251" s="1"/>
  <c r="J252"/>
  <c r="AN251"/>
  <c r="AM251"/>
  <c r="AK251"/>
  <c r="AJ251"/>
  <c r="AI251"/>
  <c r="AH251"/>
  <c r="AG251"/>
  <c r="AF251"/>
  <c r="AE251"/>
  <c r="O251"/>
  <c r="N251"/>
  <c r="M251"/>
  <c r="L251"/>
  <c r="J251" s="1"/>
  <c r="P250"/>
  <c r="P248" s="1"/>
  <c r="J250"/>
  <c r="R249"/>
  <c r="P249" s="1"/>
  <c r="Q249"/>
  <c r="AN248"/>
  <c r="AM248"/>
  <c r="AL248"/>
  <c r="AK248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O248"/>
  <c r="N248"/>
  <c r="M248"/>
  <c r="L248"/>
  <c r="J248" s="1"/>
  <c r="J247"/>
  <c r="Q246"/>
  <c r="Z245"/>
  <c r="R245"/>
  <c r="R242" s="1"/>
  <c r="R241" s="1"/>
  <c r="Q245"/>
  <c r="Q244"/>
  <c r="R243"/>
  <c r="P243" s="1"/>
  <c r="Q243"/>
  <c r="AI242"/>
  <c r="AI241" s="1"/>
  <c r="AH242"/>
  <c r="AH241" s="1"/>
  <c r="AG242"/>
  <c r="AG241" s="1"/>
  <c r="AF242"/>
  <c r="AF241" s="1"/>
  <c r="AE242"/>
  <c r="AE241" s="1"/>
  <c r="AD242"/>
  <c r="AD241" s="1"/>
  <c r="AC242"/>
  <c r="AC241" s="1"/>
  <c r="AB242"/>
  <c r="AB241" s="1"/>
  <c r="AA242"/>
  <c r="AA241" s="1"/>
  <c r="Z242"/>
  <c r="Z241" s="1"/>
  <c r="Y242"/>
  <c r="Y241" s="1"/>
  <c r="W242"/>
  <c r="W241" s="1"/>
  <c r="V242"/>
  <c r="V241" s="1"/>
  <c r="U242"/>
  <c r="U241" s="1"/>
  <c r="T242"/>
  <c r="T241" s="1"/>
  <c r="S242"/>
  <c r="S241" s="1"/>
  <c r="J242"/>
  <c r="AN241"/>
  <c r="AM241"/>
  <c r="X241"/>
  <c r="P241"/>
  <c r="O241"/>
  <c r="N241"/>
  <c r="M241"/>
  <c r="L241"/>
  <c r="J241" s="1"/>
  <c r="P240"/>
  <c r="J240"/>
  <c r="Z239"/>
  <c r="T239"/>
  <c r="P239" s="1"/>
  <c r="Q239"/>
  <c r="AE238"/>
  <c r="T238"/>
  <c r="R238"/>
  <c r="R237" s="1"/>
  <c r="R236" s="1"/>
  <c r="Q238"/>
  <c r="Q237" s="1"/>
  <c r="Q236" s="1"/>
  <c r="AI237"/>
  <c r="AI236" s="1"/>
  <c r="AH237"/>
  <c r="AH236" s="1"/>
  <c r="AG237"/>
  <c r="AG236" s="1"/>
  <c r="AF237"/>
  <c r="AF236" s="1"/>
  <c r="AE237"/>
  <c r="AE236" s="1"/>
  <c r="AD237"/>
  <c r="AD236" s="1"/>
  <c r="AC237"/>
  <c r="AB237"/>
  <c r="AB236" s="1"/>
  <c r="AA237"/>
  <c r="AA236" s="1"/>
  <c r="Z237"/>
  <c r="Z236" s="1"/>
  <c r="Y237"/>
  <c r="W237"/>
  <c r="W236" s="1"/>
  <c r="V237"/>
  <c r="V236" s="1"/>
  <c r="U237"/>
  <c r="U236" s="1"/>
  <c r="S237"/>
  <c r="S236" s="1"/>
  <c r="AN236"/>
  <c r="AM236"/>
  <c r="AC236"/>
  <c r="Y236"/>
  <c r="X236"/>
  <c r="P236"/>
  <c r="O236"/>
  <c r="N236"/>
  <c r="M236"/>
  <c r="L236"/>
  <c r="J236" s="1"/>
  <c r="J235"/>
  <c r="AE234"/>
  <c r="Z234"/>
  <c r="Q234"/>
  <c r="P234"/>
  <c r="AI233"/>
  <c r="AI232" s="1"/>
  <c r="AH233"/>
  <c r="AH232" s="1"/>
  <c r="AG233"/>
  <c r="AF233"/>
  <c r="AE233"/>
  <c r="AD233"/>
  <c r="AD232" s="1"/>
  <c r="AC233"/>
  <c r="AC232" s="1"/>
  <c r="AB233"/>
  <c r="AB232" s="1"/>
  <c r="AA233"/>
  <c r="Z233"/>
  <c r="Z232" s="1"/>
  <c r="Y233"/>
  <c r="Y232" s="1"/>
  <c r="X233"/>
  <c r="X232" s="1"/>
  <c r="W233"/>
  <c r="W232" s="1"/>
  <c r="V233"/>
  <c r="V232" s="1"/>
  <c r="U233"/>
  <c r="T233"/>
  <c r="S233"/>
  <c r="S232" s="1"/>
  <c r="R233"/>
  <c r="R232" s="1"/>
  <c r="Q233"/>
  <c r="Q232" s="1"/>
  <c r="J233"/>
  <c r="AN232"/>
  <c r="AM232"/>
  <c r="AG232"/>
  <c r="AF232"/>
  <c r="AE232"/>
  <c r="AA232"/>
  <c r="U232"/>
  <c r="T232"/>
  <c r="P232"/>
  <c r="O232"/>
  <c r="N232"/>
  <c r="M232"/>
  <c r="L232"/>
  <c r="J232" s="1"/>
  <c r="P231"/>
  <c r="P230" s="1"/>
  <c r="O230"/>
  <c r="N230"/>
  <c r="M230"/>
  <c r="L230"/>
  <c r="Z229"/>
  <c r="Z228" s="1"/>
  <c r="V229"/>
  <c r="V228" s="1"/>
  <c r="Q229"/>
  <c r="AH228"/>
  <c r="AG228"/>
  <c r="AF228"/>
  <c r="AE228"/>
  <c r="AE209" s="1"/>
  <c r="AD228"/>
  <c r="AC228"/>
  <c r="AB228"/>
  <c r="AA228"/>
  <c r="Y228"/>
  <c r="X228"/>
  <c r="X209" s="1"/>
  <c r="W228"/>
  <c r="U228"/>
  <c r="T228"/>
  <c r="S228"/>
  <c r="R228"/>
  <c r="Q228"/>
  <c r="Z226"/>
  <c r="R226"/>
  <c r="R223" s="1"/>
  <c r="R222" s="1"/>
  <c r="Q226"/>
  <c r="Z225"/>
  <c r="T225"/>
  <c r="Q225"/>
  <c r="Z224"/>
  <c r="T224"/>
  <c r="P224" s="1"/>
  <c r="Q224"/>
  <c r="AI223"/>
  <c r="AH223"/>
  <c r="AG223"/>
  <c r="AF223"/>
  <c r="AE223"/>
  <c r="AD223"/>
  <c r="AC223"/>
  <c r="AB223"/>
  <c r="AA223"/>
  <c r="Y223"/>
  <c r="X223"/>
  <c r="W223"/>
  <c r="V223"/>
  <c r="U223"/>
  <c r="S223"/>
  <c r="P223"/>
  <c r="P222" s="1"/>
  <c r="O222"/>
  <c r="N222"/>
  <c r="M222"/>
  <c r="L222"/>
  <c r="J222" s="1"/>
  <c r="AE221"/>
  <c r="AE220" s="1"/>
  <c r="AE219" s="1"/>
  <c r="Z221"/>
  <c r="V221"/>
  <c r="V220" s="1"/>
  <c r="V219" s="1"/>
  <c r="R221"/>
  <c r="R220" s="1"/>
  <c r="R219" s="1"/>
  <c r="Q221"/>
  <c r="AN220"/>
  <c r="AN219" s="1"/>
  <c r="AM220"/>
  <c r="AM219" s="1"/>
  <c r="AL220"/>
  <c r="AL219" s="1"/>
  <c r="AK220"/>
  <c r="AK219" s="1"/>
  <c r="AJ220"/>
  <c r="AJ219" s="1"/>
  <c r="AI220"/>
  <c r="AI219" s="1"/>
  <c r="AH220"/>
  <c r="AH219" s="1"/>
  <c r="AG220"/>
  <c r="AG219" s="1"/>
  <c r="AF220"/>
  <c r="AF219" s="1"/>
  <c r="AD220"/>
  <c r="AD219" s="1"/>
  <c r="AC220"/>
  <c r="AC219" s="1"/>
  <c r="AB220"/>
  <c r="AB219" s="1"/>
  <c r="AA220"/>
  <c r="AA219" s="1"/>
  <c r="Z220"/>
  <c r="Z219" s="1"/>
  <c r="Y220"/>
  <c r="Y219" s="1"/>
  <c r="W220"/>
  <c r="W219" s="1"/>
  <c r="U220"/>
  <c r="U219" s="1"/>
  <c r="T220"/>
  <c r="T219" s="1"/>
  <c r="S220"/>
  <c r="S219" s="1"/>
  <c r="X219"/>
  <c r="P219"/>
  <c r="M219"/>
  <c r="L219"/>
  <c r="J219" s="1"/>
  <c r="P218"/>
  <c r="P214" s="1"/>
  <c r="Z217"/>
  <c r="X217"/>
  <c r="X215" s="1"/>
  <c r="X214" s="1"/>
  <c r="V217"/>
  <c r="V215" s="1"/>
  <c r="V214" s="1"/>
  <c r="Q217"/>
  <c r="Z216"/>
  <c r="Z215" s="1"/>
  <c r="Z214" s="1"/>
  <c r="Q216"/>
  <c r="P216" s="1"/>
  <c r="AD215"/>
  <c r="AD214" s="1"/>
  <c r="AC215"/>
  <c r="AC214" s="1"/>
  <c r="AB215"/>
  <c r="AB214" s="1"/>
  <c r="AA215"/>
  <c r="AA214" s="1"/>
  <c r="Y215"/>
  <c r="Y214" s="1"/>
  <c r="W215"/>
  <c r="U215"/>
  <c r="U214" s="1"/>
  <c r="T215"/>
  <c r="T214" s="1"/>
  <c r="S215"/>
  <c r="S214" s="1"/>
  <c r="R215"/>
  <c r="R214" s="1"/>
  <c r="AN214"/>
  <c r="AM214"/>
  <c r="AL214"/>
  <c r="AK214"/>
  <c r="AJ214"/>
  <c r="AI214"/>
  <c r="AH214"/>
  <c r="AG214"/>
  <c r="AF214"/>
  <c r="AE214"/>
  <c r="W214"/>
  <c r="O214"/>
  <c r="N214"/>
  <c r="M214"/>
  <c r="L214"/>
  <c r="Z213"/>
  <c r="Z212" s="1"/>
  <c r="Z211" s="1"/>
  <c r="V213"/>
  <c r="V212" s="1"/>
  <c r="V211" s="1"/>
  <c r="Q213"/>
  <c r="Q212" s="1"/>
  <c r="Q211" s="1"/>
  <c r="AH212"/>
  <c r="AH211" s="1"/>
  <c r="AG212"/>
  <c r="AG211" s="1"/>
  <c r="AF212"/>
  <c r="AF211" s="1"/>
  <c r="AE212"/>
  <c r="AE211" s="1"/>
  <c r="AD212"/>
  <c r="AD211" s="1"/>
  <c r="AC212"/>
  <c r="AC211" s="1"/>
  <c r="AB212"/>
  <c r="AB211" s="1"/>
  <c r="AA212"/>
  <c r="AA211" s="1"/>
  <c r="Y212"/>
  <c r="X212"/>
  <c r="X211" s="1"/>
  <c r="W212"/>
  <c r="W211" s="1"/>
  <c r="U212"/>
  <c r="U211" s="1"/>
  <c r="T212"/>
  <c r="T211" s="1"/>
  <c r="S212"/>
  <c r="S211" s="1"/>
  <c r="R212"/>
  <c r="R211" s="1"/>
  <c r="P212"/>
  <c r="P211" s="1"/>
  <c r="AN211"/>
  <c r="AM211"/>
  <c r="AL211"/>
  <c r="AK211"/>
  <c r="AJ211"/>
  <c r="AI211"/>
  <c r="Y211"/>
  <c r="O211"/>
  <c r="N211"/>
  <c r="M211"/>
  <c r="L211"/>
  <c r="L210"/>
  <c r="AL209"/>
  <c r="AK209"/>
  <c r="AJ209"/>
  <c r="AI209"/>
  <c r="P209"/>
  <c r="O209"/>
  <c r="N209"/>
  <c r="M209"/>
  <c r="L209"/>
  <c r="K208"/>
  <c r="L207"/>
  <c r="P206"/>
  <c r="Z205"/>
  <c r="Z204" s="1"/>
  <c r="Z203" s="1"/>
  <c r="Z200" s="1"/>
  <c r="R205"/>
  <c r="Q205"/>
  <c r="Q204" s="1"/>
  <c r="Q203" s="1"/>
  <c r="L205"/>
  <c r="AN204"/>
  <c r="AM204"/>
  <c r="AL204"/>
  <c r="AK204"/>
  <c r="AJ204"/>
  <c r="AF204"/>
  <c r="AF203" s="1"/>
  <c r="AE204"/>
  <c r="AE203" s="1"/>
  <c r="AD204"/>
  <c r="AD203" s="1"/>
  <c r="AD200" s="1"/>
  <c r="AC204"/>
  <c r="AC203" s="1"/>
  <c r="AC200" s="1"/>
  <c r="AB204"/>
  <c r="AB203" s="1"/>
  <c r="AB200" s="1"/>
  <c r="AA204"/>
  <c r="AA203" s="1"/>
  <c r="AA200" s="1"/>
  <c r="Y204"/>
  <c r="Y203" s="1"/>
  <c r="Y200" s="1"/>
  <c r="X204"/>
  <c r="X203" s="1"/>
  <c r="X200" s="1"/>
  <c r="W204"/>
  <c r="W203" s="1"/>
  <c r="W200" s="1"/>
  <c r="V204"/>
  <c r="V203" s="1"/>
  <c r="V200" s="1"/>
  <c r="U204"/>
  <c r="U203" s="1"/>
  <c r="T204"/>
  <c r="T203" s="1"/>
  <c r="T200" s="1"/>
  <c r="S204"/>
  <c r="S203" s="1"/>
  <c r="S200" s="1"/>
  <c r="O204"/>
  <c r="L204" s="1"/>
  <c r="L203" s="1"/>
  <c r="L200" s="1"/>
  <c r="AN203"/>
  <c r="AM203"/>
  <c r="AI203"/>
  <c r="AH203"/>
  <c r="AG203"/>
  <c r="N203"/>
  <c r="M203"/>
  <c r="M200" s="1"/>
  <c r="L202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L201"/>
  <c r="U200"/>
  <c r="N200"/>
  <c r="K200"/>
  <c r="L199"/>
  <c r="AN197"/>
  <c r="AM197"/>
  <c r="AL197"/>
  <c r="AK197"/>
  <c r="AJ197"/>
  <c r="AI197"/>
  <c r="AH197"/>
  <c r="AG197"/>
  <c r="AF197"/>
  <c r="AE197"/>
  <c r="AD197"/>
  <c r="AC197"/>
  <c r="AB197"/>
  <c r="AB176" s="1"/>
  <c r="AA197"/>
  <c r="Z197"/>
  <c r="Y197"/>
  <c r="X197"/>
  <c r="W197"/>
  <c r="V197"/>
  <c r="U197"/>
  <c r="T197"/>
  <c r="S197"/>
  <c r="R197"/>
  <c r="Q197"/>
  <c r="P197"/>
  <c r="O197"/>
  <c r="N197"/>
  <c r="M197"/>
  <c r="L197"/>
  <c r="AN195"/>
  <c r="AM195"/>
  <c r="AL195"/>
  <c r="AK195"/>
  <c r="AJ195"/>
  <c r="AI195"/>
  <c r="AH195"/>
  <c r="AH176" s="1"/>
  <c r="AG195"/>
  <c r="AF195"/>
  <c r="AE195"/>
  <c r="AD195"/>
  <c r="AD176" s="1"/>
  <c r="AC195"/>
  <c r="AB195"/>
  <c r="AA195"/>
  <c r="Z195"/>
  <c r="Z176" s="1"/>
  <c r="Y195"/>
  <c r="X195"/>
  <c r="W195"/>
  <c r="V195"/>
  <c r="V176" s="1"/>
  <c r="U195"/>
  <c r="T195"/>
  <c r="S195"/>
  <c r="R195"/>
  <c r="R176" s="1"/>
  <c r="Q195"/>
  <c r="P195"/>
  <c r="O195"/>
  <c r="N195"/>
  <c r="N176" s="1"/>
  <c r="M195"/>
  <c r="L195"/>
  <c r="Q194"/>
  <c r="Q193"/>
  <c r="Q192"/>
  <c r="Q191"/>
  <c r="AI190"/>
  <c r="AI189" s="1"/>
  <c r="AH190"/>
  <c r="AH189" s="1"/>
  <c r="AG190"/>
  <c r="AF190"/>
  <c r="AF189" s="1"/>
  <c r="AE190"/>
  <c r="AE189" s="1"/>
  <c r="AD190"/>
  <c r="AD189" s="1"/>
  <c r="AC190"/>
  <c r="AC189" s="1"/>
  <c r="AB190"/>
  <c r="AB189" s="1"/>
  <c r="AA190"/>
  <c r="AA189" s="1"/>
  <c r="Z190"/>
  <c r="Z189" s="1"/>
  <c r="Y190"/>
  <c r="Y189" s="1"/>
  <c r="W190"/>
  <c r="W189" s="1"/>
  <c r="V190"/>
  <c r="V189" s="1"/>
  <c r="U190"/>
  <c r="U189" s="1"/>
  <c r="T190"/>
  <c r="T189" s="1"/>
  <c r="S190"/>
  <c r="S189" s="1"/>
  <c r="R190"/>
  <c r="R189" s="1"/>
  <c r="AN189"/>
  <c r="AM189"/>
  <c r="AL189"/>
  <c r="AK189"/>
  <c r="AJ189"/>
  <c r="AG189"/>
  <c r="X189"/>
  <c r="P189"/>
  <c r="O189"/>
  <c r="N189"/>
  <c r="M189"/>
  <c r="L189"/>
  <c r="Q188"/>
  <c r="Q187"/>
  <c r="Q186"/>
  <c r="Q185"/>
  <c r="AN184"/>
  <c r="AN183" s="1"/>
  <c r="AM184"/>
  <c r="AM183" s="1"/>
  <c r="AL184"/>
  <c r="AL183" s="1"/>
  <c r="AK184"/>
  <c r="AK183" s="1"/>
  <c r="AJ184"/>
  <c r="AJ183" s="1"/>
  <c r="AI184"/>
  <c r="AI183" s="1"/>
  <c r="AH184"/>
  <c r="AH183" s="1"/>
  <c r="AG184"/>
  <c r="AG183" s="1"/>
  <c r="AF184"/>
  <c r="AF183" s="1"/>
  <c r="AE184"/>
  <c r="AE183" s="1"/>
  <c r="AD184"/>
  <c r="AD183" s="1"/>
  <c r="AC184"/>
  <c r="AC183" s="1"/>
  <c r="AB184"/>
  <c r="AB183" s="1"/>
  <c r="AA184"/>
  <c r="AA183" s="1"/>
  <c r="Z184"/>
  <c r="Z183" s="1"/>
  <c r="Y184"/>
  <c r="Y183" s="1"/>
  <c r="W184"/>
  <c r="W183" s="1"/>
  <c r="V184"/>
  <c r="V183" s="1"/>
  <c r="U184"/>
  <c r="U183" s="1"/>
  <c r="T184"/>
  <c r="T183" s="1"/>
  <c r="S184"/>
  <c r="S183" s="1"/>
  <c r="R184"/>
  <c r="R183" s="1"/>
  <c r="X183"/>
  <c r="P183"/>
  <c r="O183"/>
  <c r="N183"/>
  <c r="M183"/>
  <c r="L183"/>
  <c r="AE181"/>
  <c r="AE179" s="1"/>
  <c r="AE178" s="1"/>
  <c r="Z181"/>
  <c r="T181"/>
  <c r="T179" s="1"/>
  <c r="T178" s="1"/>
  <c r="Q181"/>
  <c r="Z180"/>
  <c r="Q180"/>
  <c r="AN179"/>
  <c r="AN178" s="1"/>
  <c r="AN175" s="1"/>
  <c r="AM179"/>
  <c r="AM178" s="1"/>
  <c r="AM175" s="1"/>
  <c r="AL179"/>
  <c r="AK179"/>
  <c r="AJ179"/>
  <c r="AI179"/>
  <c r="AH179"/>
  <c r="AH178" s="1"/>
  <c r="AG179"/>
  <c r="AG178" s="1"/>
  <c r="AF179"/>
  <c r="AF178" s="1"/>
  <c r="AD179"/>
  <c r="AD178" s="1"/>
  <c r="AC179"/>
  <c r="AB179"/>
  <c r="AB178" s="1"/>
  <c r="AA179"/>
  <c r="AA178" s="1"/>
  <c r="Y179"/>
  <c r="Y178" s="1"/>
  <c r="X179"/>
  <c r="X178" s="1"/>
  <c r="W179"/>
  <c r="W178" s="1"/>
  <c r="V179"/>
  <c r="V178" s="1"/>
  <c r="U179"/>
  <c r="U178" s="1"/>
  <c r="S179"/>
  <c r="S178" s="1"/>
  <c r="R179"/>
  <c r="R178" s="1"/>
  <c r="P179"/>
  <c r="P178" s="1"/>
  <c r="AI178"/>
  <c r="AC178"/>
  <c r="O178"/>
  <c r="N178"/>
  <c r="M178"/>
  <c r="L178"/>
  <c r="L176"/>
  <c r="K175"/>
  <c r="K134" s="1"/>
  <c r="J175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Z171"/>
  <c r="X171"/>
  <c r="Q171"/>
  <c r="Z170"/>
  <c r="X170"/>
  <c r="Q170"/>
  <c r="Z169"/>
  <c r="Z168"/>
  <c r="T168"/>
  <c r="T166" s="1"/>
  <c r="T165" s="1"/>
  <c r="R168"/>
  <c r="R166" s="1"/>
  <c r="Q168"/>
  <c r="X167"/>
  <c r="Q167"/>
  <c r="AI166"/>
  <c r="AI165" s="1"/>
  <c r="AH166"/>
  <c r="AH165" s="1"/>
  <c r="AG166"/>
  <c r="AG165" s="1"/>
  <c r="AF166"/>
  <c r="AF165" s="1"/>
  <c r="AE166"/>
  <c r="AE165" s="1"/>
  <c r="AD166"/>
  <c r="AD165" s="1"/>
  <c r="AC166"/>
  <c r="AC165" s="1"/>
  <c r="AB166"/>
  <c r="AB165" s="1"/>
  <c r="AA166"/>
  <c r="AA165" s="1"/>
  <c r="Y166"/>
  <c r="W166"/>
  <c r="W165" s="1"/>
  <c r="V166"/>
  <c r="U166"/>
  <c r="S166"/>
  <c r="S165" s="1"/>
  <c r="P166"/>
  <c r="P165" s="1"/>
  <c r="AN165"/>
  <c r="AM165"/>
  <c r="AL165"/>
  <c r="AK165"/>
  <c r="AJ165"/>
  <c r="O165"/>
  <c r="N165"/>
  <c r="M165"/>
  <c r="L165"/>
  <c r="Z164"/>
  <c r="Z163" s="1"/>
  <c r="Z162" s="1"/>
  <c r="T164"/>
  <c r="T163" s="1"/>
  <c r="T162" s="1"/>
  <c r="Q164"/>
  <c r="Q163" s="1"/>
  <c r="Q162" s="1"/>
  <c r="AF163"/>
  <c r="AF162" s="1"/>
  <c r="AE163"/>
  <c r="AE162" s="1"/>
  <c r="AD163"/>
  <c r="AD162" s="1"/>
  <c r="AC163"/>
  <c r="AC162" s="1"/>
  <c r="AB163"/>
  <c r="AB162" s="1"/>
  <c r="AA163"/>
  <c r="AA162" s="1"/>
  <c r="Y163"/>
  <c r="Y162" s="1"/>
  <c r="X163"/>
  <c r="X162" s="1"/>
  <c r="W163"/>
  <c r="W162" s="1"/>
  <c r="V163"/>
  <c r="V162" s="1"/>
  <c r="U163"/>
  <c r="U162" s="1"/>
  <c r="S163"/>
  <c r="S162" s="1"/>
  <c r="R163"/>
  <c r="R162" s="1"/>
  <c r="P163"/>
  <c r="P162" s="1"/>
  <c r="AN162"/>
  <c r="AM162"/>
  <c r="AL162"/>
  <c r="AK162"/>
  <c r="AJ162"/>
  <c r="AI162"/>
  <c r="AH162"/>
  <c r="AG162"/>
  <c r="O162"/>
  <c r="N162"/>
  <c r="M162"/>
  <c r="L162"/>
  <c r="Z161"/>
  <c r="Z159" s="1"/>
  <c r="Z158" s="1"/>
  <c r="Q161"/>
  <c r="P161" s="1"/>
  <c r="AD159"/>
  <c r="AD158" s="1"/>
  <c r="AC159"/>
  <c r="AB159"/>
  <c r="AB158" s="1"/>
  <c r="AA159"/>
  <c r="AA158" s="1"/>
  <c r="Y159"/>
  <c r="Y158" s="1"/>
  <c r="X159"/>
  <c r="X158" s="1"/>
  <c r="W159"/>
  <c r="W158" s="1"/>
  <c r="V159"/>
  <c r="V158" s="1"/>
  <c r="U159"/>
  <c r="U158" s="1"/>
  <c r="T159"/>
  <c r="T158" s="1"/>
  <c r="P159"/>
  <c r="P158" s="1"/>
  <c r="AN158"/>
  <c r="AM158"/>
  <c r="AL158"/>
  <c r="AK158"/>
  <c r="AJ158"/>
  <c r="AI158"/>
  <c r="AH158"/>
  <c r="AG158"/>
  <c r="AF158"/>
  <c r="AE158"/>
  <c r="AC158"/>
  <c r="S158"/>
  <c r="R158"/>
  <c r="Q158"/>
  <c r="O158"/>
  <c r="N158"/>
  <c r="M158"/>
  <c r="L158"/>
  <c r="AE157"/>
  <c r="R157"/>
  <c r="Q157"/>
  <c r="Z156"/>
  <c r="AE155"/>
  <c r="Z155"/>
  <c r="Q155"/>
  <c r="AE154"/>
  <c r="Z154"/>
  <c r="R154"/>
  <c r="Q154"/>
  <c r="AE153"/>
  <c r="Q153"/>
  <c r="AE152"/>
  <c r="Q152"/>
  <c r="AE151"/>
  <c r="R151"/>
  <c r="Q151"/>
  <c r="AN150"/>
  <c r="AN149" s="1"/>
  <c r="AM150"/>
  <c r="AM149" s="1"/>
  <c r="AL150"/>
  <c r="AK150"/>
  <c r="AJ150"/>
  <c r="AG150"/>
  <c r="AG149" s="1"/>
  <c r="AF150"/>
  <c r="AD150"/>
  <c r="AD149" s="1"/>
  <c r="AC150"/>
  <c r="AC149" s="1"/>
  <c r="AB150"/>
  <c r="AB149" s="1"/>
  <c r="AA150"/>
  <c r="AA149" s="1"/>
  <c r="Y150"/>
  <c r="Y149" s="1"/>
  <c r="W150"/>
  <c r="W149" s="1"/>
  <c r="V150"/>
  <c r="V149" s="1"/>
  <c r="U150"/>
  <c r="U149" s="1"/>
  <c r="T150"/>
  <c r="T149" s="1"/>
  <c r="S150"/>
  <c r="S149" s="1"/>
  <c r="P150"/>
  <c r="P149" s="1"/>
  <c r="AK149"/>
  <c r="AI149"/>
  <c r="AH149"/>
  <c r="AF149"/>
  <c r="X149"/>
  <c r="Q149"/>
  <c r="O149"/>
  <c r="N149"/>
  <c r="M149"/>
  <c r="L149"/>
  <c r="J149" s="1"/>
  <c r="J137" s="1"/>
  <c r="J133" s="1"/>
  <c r="P148"/>
  <c r="Z147"/>
  <c r="R147"/>
  <c r="R146" s="1"/>
  <c r="R145" s="1"/>
  <c r="Q147"/>
  <c r="Q146" s="1"/>
  <c r="Q145" s="1"/>
  <c r="AI146"/>
  <c r="AI145" s="1"/>
  <c r="AH146"/>
  <c r="AG146"/>
  <c r="AG145" s="1"/>
  <c r="AF146"/>
  <c r="AF145" s="1"/>
  <c r="AE146"/>
  <c r="AE145" s="1"/>
  <c r="AD146"/>
  <c r="AD145" s="1"/>
  <c r="AC146"/>
  <c r="AC145" s="1"/>
  <c r="AB146"/>
  <c r="AB145" s="1"/>
  <c r="AA146"/>
  <c r="AA145" s="1"/>
  <c r="Z146"/>
  <c r="Z145" s="1"/>
  <c r="Y146"/>
  <c r="Y145" s="1"/>
  <c r="X146"/>
  <c r="X145" s="1"/>
  <c r="W146"/>
  <c r="W145" s="1"/>
  <c r="V146"/>
  <c r="V145" s="1"/>
  <c r="U146"/>
  <c r="U145" s="1"/>
  <c r="T146"/>
  <c r="T145" s="1"/>
  <c r="S146"/>
  <c r="S145" s="1"/>
  <c r="P146"/>
  <c r="AN145"/>
  <c r="AM145"/>
  <c r="AH145"/>
  <c r="O145"/>
  <c r="N145"/>
  <c r="M145"/>
  <c r="L145"/>
  <c r="K145"/>
  <c r="K137" s="1"/>
  <c r="K133" s="1"/>
  <c r="Z144"/>
  <c r="R144"/>
  <c r="R142" s="1"/>
  <c r="R141" s="1"/>
  <c r="Q144"/>
  <c r="Z143"/>
  <c r="T143"/>
  <c r="T142" s="1"/>
  <c r="T141" s="1"/>
  <c r="Q143"/>
  <c r="AF142"/>
  <c r="AF141" s="1"/>
  <c r="AE142"/>
  <c r="AE141" s="1"/>
  <c r="AD142"/>
  <c r="AD141" s="1"/>
  <c r="AC142"/>
  <c r="AC141" s="1"/>
  <c r="AB142"/>
  <c r="AB141" s="1"/>
  <c r="AA142"/>
  <c r="AA141" s="1"/>
  <c r="Y142"/>
  <c r="X142"/>
  <c r="X141" s="1"/>
  <c r="W142"/>
  <c r="W141" s="1"/>
  <c r="V142"/>
  <c r="V141" s="1"/>
  <c r="U142"/>
  <c r="U141" s="1"/>
  <c r="S142"/>
  <c r="S141" s="1"/>
  <c r="P142"/>
  <c r="P141" s="1"/>
  <c r="AN141"/>
  <c r="AM141"/>
  <c r="AI141"/>
  <c r="AH141"/>
  <c r="AG141"/>
  <c r="Y141"/>
  <c r="O141"/>
  <c r="N141"/>
  <c r="M141"/>
  <c r="L141"/>
  <c r="L140"/>
  <c r="P139"/>
  <c r="N139"/>
  <c r="M139"/>
  <c r="L139"/>
  <c r="L138"/>
  <c r="AN136"/>
  <c r="AM136"/>
  <c r="AL136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K136"/>
  <c r="J136"/>
  <c r="AN135"/>
  <c r="AM135"/>
  <c r="AL135"/>
  <c r="AK135"/>
  <c r="AJ135"/>
  <c r="K135"/>
  <c r="J135"/>
  <c r="Z129"/>
  <c r="R129"/>
  <c r="R127" s="1"/>
  <c r="R126" s="1"/>
  <c r="R123" s="1"/>
  <c r="Q129"/>
  <c r="Z128"/>
  <c r="T128"/>
  <c r="T127" s="1"/>
  <c r="T126" s="1"/>
  <c r="T123" s="1"/>
  <c r="Q128"/>
  <c r="AD127"/>
  <c r="AD126" s="1"/>
  <c r="AD123" s="1"/>
  <c r="AD113" s="1"/>
  <c r="AD110" s="1"/>
  <c r="AC127"/>
  <c r="AC126" s="1"/>
  <c r="AB127"/>
  <c r="AB126" s="1"/>
  <c r="AA127"/>
  <c r="AA126" s="1"/>
  <c r="AA123" s="1"/>
  <c r="Y127"/>
  <c r="Y126" s="1"/>
  <c r="Y123" s="1"/>
  <c r="Y113" s="1"/>
  <c r="X127"/>
  <c r="X126" s="1"/>
  <c r="W127"/>
  <c r="V127"/>
  <c r="V126" s="1"/>
  <c r="U127"/>
  <c r="U126" s="1"/>
  <c r="U123" s="1"/>
  <c r="S127"/>
  <c r="S126" s="1"/>
  <c r="S123" s="1"/>
  <c r="AN126"/>
  <c r="AM126"/>
  <c r="AM123" s="1"/>
  <c r="AI126"/>
  <c r="AI123" s="1"/>
  <c r="AI113" s="1"/>
  <c r="AI110" s="1"/>
  <c r="AH126"/>
  <c r="AH118" s="1"/>
  <c r="AG126"/>
  <c r="AG123" s="1"/>
  <c r="AG113" s="1"/>
  <c r="AG110" s="1"/>
  <c r="AF126"/>
  <c r="AF123" s="1"/>
  <c r="AF113" s="1"/>
  <c r="AF110" s="1"/>
  <c r="AE126"/>
  <c r="W126"/>
  <c r="W123" s="1"/>
  <c r="W113" s="1"/>
  <c r="P126"/>
  <c r="O126"/>
  <c r="O123" s="1"/>
  <c r="N126"/>
  <c r="N123" s="1"/>
  <c r="M126"/>
  <c r="M123" s="1"/>
  <c r="L126"/>
  <c r="L123" s="1"/>
  <c r="L125"/>
  <c r="L124"/>
  <c r="AN123"/>
  <c r="AH123"/>
  <c r="AH113" s="1"/>
  <c r="AH110" s="1"/>
  <c r="J123"/>
  <c r="L122"/>
  <c r="K122"/>
  <c r="Z121"/>
  <c r="Z120" s="1"/>
  <c r="Z119" s="1"/>
  <c r="T121"/>
  <c r="T120" s="1"/>
  <c r="T119" s="1"/>
  <c r="R121"/>
  <c r="R120" s="1"/>
  <c r="R119" s="1"/>
  <c r="Q121"/>
  <c r="Q120" s="1"/>
  <c r="Q119" s="1"/>
  <c r="AI120"/>
  <c r="AI119" s="1"/>
  <c r="AH120"/>
  <c r="AH119" s="1"/>
  <c r="AG120"/>
  <c r="AF120"/>
  <c r="AE120"/>
  <c r="AE119" s="1"/>
  <c r="AD120"/>
  <c r="AD119" s="1"/>
  <c r="AC120"/>
  <c r="AC119" s="1"/>
  <c r="AB120"/>
  <c r="AA120"/>
  <c r="AA119" s="1"/>
  <c r="Y120"/>
  <c r="Y119" s="1"/>
  <c r="X120"/>
  <c r="W120"/>
  <c r="V120"/>
  <c r="V119" s="1"/>
  <c r="U120"/>
  <c r="U119" s="1"/>
  <c r="S120"/>
  <c r="S119" s="1"/>
  <c r="AN119"/>
  <c r="AM119"/>
  <c r="AK119"/>
  <c r="AG119"/>
  <c r="AF119"/>
  <c r="AB119"/>
  <c r="X119"/>
  <c r="W119"/>
  <c r="P119"/>
  <c r="O119"/>
  <c r="N119"/>
  <c r="M119"/>
  <c r="L119"/>
  <c r="AI118"/>
  <c r="AI114" s="1"/>
  <c r="AG118"/>
  <c r="W118"/>
  <c r="U118"/>
  <c r="T118"/>
  <c r="S118"/>
  <c r="R118"/>
  <c r="Q118"/>
  <c r="P118"/>
  <c r="P114" s="1"/>
  <c r="Z117"/>
  <c r="T117"/>
  <c r="T115" s="1"/>
  <c r="Q117"/>
  <c r="Z116"/>
  <c r="V116"/>
  <c r="V115" s="1"/>
  <c r="Q116"/>
  <c r="AH115"/>
  <c r="AG115"/>
  <c r="AF115"/>
  <c r="AE115"/>
  <c r="AD115"/>
  <c r="AC115"/>
  <c r="AB115"/>
  <c r="AA115"/>
  <c r="Y115"/>
  <c r="X115"/>
  <c r="W115"/>
  <c r="U115"/>
  <c r="S115"/>
  <c r="R115"/>
  <c r="AN114"/>
  <c r="AM114"/>
  <c r="AL114"/>
  <c r="AK114"/>
  <c r="AA114"/>
  <c r="O114"/>
  <c r="N114"/>
  <c r="M114"/>
  <c r="L114"/>
  <c r="P113"/>
  <c r="P110" s="1"/>
  <c r="R112"/>
  <c r="Q112"/>
  <c r="AF111"/>
  <c r="AE111"/>
  <c r="AD111"/>
  <c r="AC111"/>
  <c r="AB111"/>
  <c r="AA111"/>
  <c r="AA110" s="1"/>
  <c r="Z111"/>
  <c r="Z110" s="1"/>
  <c r="Y111"/>
  <c r="Y110" s="1"/>
  <c r="X111"/>
  <c r="X110" s="1"/>
  <c r="W111"/>
  <c r="W110" s="1"/>
  <c r="V111"/>
  <c r="V110" s="1"/>
  <c r="U111"/>
  <c r="U110" s="1"/>
  <c r="T111"/>
  <c r="T110" s="1"/>
  <c r="S111"/>
  <c r="S110" s="1"/>
  <c r="R111"/>
  <c r="R110" s="1"/>
  <c r="Q111"/>
  <c r="Q110" s="1"/>
  <c r="AN110"/>
  <c r="AM110"/>
  <c r="AK110"/>
  <c r="O110"/>
  <c r="N110"/>
  <c r="M110"/>
  <c r="L110"/>
  <c r="Z109"/>
  <c r="Z108" s="1"/>
  <c r="Z107" s="1"/>
  <c r="R109"/>
  <c r="R108" s="1"/>
  <c r="R107" s="1"/>
  <c r="Q109"/>
  <c r="Q108" s="1"/>
  <c r="Q107" s="1"/>
  <c r="AE108"/>
  <c r="AE107" s="1"/>
  <c r="AA108"/>
  <c r="AA107" s="1"/>
  <c r="Y108"/>
  <c r="Y107" s="1"/>
  <c r="X108"/>
  <c r="X107" s="1"/>
  <c r="W108"/>
  <c r="V108"/>
  <c r="V107" s="1"/>
  <c r="U108"/>
  <c r="U107" s="1"/>
  <c r="T108"/>
  <c r="T107" s="1"/>
  <c r="S108"/>
  <c r="AN107"/>
  <c r="AM107"/>
  <c r="AL107"/>
  <c r="AK107"/>
  <c r="AI107"/>
  <c r="AH107"/>
  <c r="AG107"/>
  <c r="AF107"/>
  <c r="AD107"/>
  <c r="AC107"/>
  <c r="AB107"/>
  <c r="W107"/>
  <c r="S107"/>
  <c r="P107"/>
  <c r="O107"/>
  <c r="N107"/>
  <c r="M107"/>
  <c r="L107"/>
  <c r="AE105"/>
  <c r="Z105"/>
  <c r="Z103" s="1"/>
  <c r="Z102" s="1"/>
  <c r="T105"/>
  <c r="P105" s="1"/>
  <c r="L105"/>
  <c r="AE104"/>
  <c r="T104"/>
  <c r="R104"/>
  <c r="Q104"/>
  <c r="Q103" s="1"/>
  <c r="Q102" s="1"/>
  <c r="L104"/>
  <c r="AI103"/>
  <c r="AI102" s="1"/>
  <c r="AH103"/>
  <c r="AH102" s="1"/>
  <c r="AG103"/>
  <c r="AG102" s="1"/>
  <c r="AF103"/>
  <c r="AF102" s="1"/>
  <c r="AD103"/>
  <c r="AD102" s="1"/>
  <c r="AC103"/>
  <c r="AC102" s="1"/>
  <c r="AB103"/>
  <c r="AB102" s="1"/>
  <c r="AA103"/>
  <c r="AA102" s="1"/>
  <c r="Y103"/>
  <c r="Y102" s="1"/>
  <c r="W103"/>
  <c r="W102" s="1"/>
  <c r="V103"/>
  <c r="V102" s="1"/>
  <c r="U103"/>
  <c r="U102" s="1"/>
  <c r="R103"/>
  <c r="R102" s="1"/>
  <c r="AN102"/>
  <c r="AM102"/>
  <c r="AK102"/>
  <c r="X102"/>
  <c r="S102"/>
  <c r="P102"/>
  <c r="O102"/>
  <c r="N102"/>
  <c r="M102"/>
  <c r="L102"/>
  <c r="AE100"/>
  <c r="Q100"/>
  <c r="AE99"/>
  <c r="Z99"/>
  <c r="Z97" s="1"/>
  <c r="Z96" s="1"/>
  <c r="R99"/>
  <c r="Q99"/>
  <c r="AE98"/>
  <c r="AE97" s="1"/>
  <c r="AE96" s="1"/>
  <c r="Q98"/>
  <c r="AI97"/>
  <c r="AH97"/>
  <c r="AH96" s="1"/>
  <c r="AG97"/>
  <c r="AG96" s="1"/>
  <c r="AF97"/>
  <c r="AF96" s="1"/>
  <c r="AD97"/>
  <c r="AD96" s="1"/>
  <c r="AC97"/>
  <c r="AC96" s="1"/>
  <c r="AB97"/>
  <c r="AB96" s="1"/>
  <c r="AA97"/>
  <c r="AA96" s="1"/>
  <c r="Y97"/>
  <c r="Y96" s="1"/>
  <c r="W97"/>
  <c r="W96" s="1"/>
  <c r="V97"/>
  <c r="V96" s="1"/>
  <c r="U97"/>
  <c r="U96" s="1"/>
  <c r="T97"/>
  <c r="S97"/>
  <c r="S96" s="1"/>
  <c r="R97"/>
  <c r="R96" s="1"/>
  <c r="P97"/>
  <c r="P96" s="1"/>
  <c r="AN96"/>
  <c r="AM96"/>
  <c r="AK96"/>
  <c r="AI96"/>
  <c r="X96"/>
  <c r="T96"/>
  <c r="O96"/>
  <c r="N96"/>
  <c r="M96"/>
  <c r="L96"/>
  <c r="AE95"/>
  <c r="AE94" s="1"/>
  <c r="AE93" s="1"/>
  <c r="Q95"/>
  <c r="Q94" s="1"/>
  <c r="Q93" s="1"/>
  <c r="AI94"/>
  <c r="AI93" s="1"/>
  <c r="AH94"/>
  <c r="AH93" s="1"/>
  <c r="AG94"/>
  <c r="AG93" s="1"/>
  <c r="AF94"/>
  <c r="AF93" s="1"/>
  <c r="AD94"/>
  <c r="AD93" s="1"/>
  <c r="AC94"/>
  <c r="AC93" s="1"/>
  <c r="AB94"/>
  <c r="AB93" s="1"/>
  <c r="AA94"/>
  <c r="AA93" s="1"/>
  <c r="Z94"/>
  <c r="Z93" s="1"/>
  <c r="Y94"/>
  <c r="Y93" s="1"/>
  <c r="X94"/>
  <c r="X93" s="1"/>
  <c r="W94"/>
  <c r="W93" s="1"/>
  <c r="V94"/>
  <c r="V93" s="1"/>
  <c r="U94"/>
  <c r="U93" s="1"/>
  <c r="T94"/>
  <c r="T93" s="1"/>
  <c r="S94"/>
  <c r="S93" s="1"/>
  <c r="R94"/>
  <c r="R93" s="1"/>
  <c r="AN93"/>
  <c r="AM93"/>
  <c r="AK93"/>
  <c r="P93"/>
  <c r="O93"/>
  <c r="N93"/>
  <c r="M93"/>
  <c r="L93"/>
  <c r="Z92"/>
  <c r="Z91" s="1"/>
  <c r="Z90" s="1"/>
  <c r="T92"/>
  <c r="T91" s="1"/>
  <c r="T90" s="1"/>
  <c r="Q92"/>
  <c r="Q91" s="1"/>
  <c r="Q90" s="1"/>
  <c r="AD91"/>
  <c r="AD90" s="1"/>
  <c r="AC91"/>
  <c r="AC90" s="1"/>
  <c r="AB91"/>
  <c r="AB90" s="1"/>
  <c r="AA91"/>
  <c r="AA90" s="1"/>
  <c r="U91"/>
  <c r="U90" s="1"/>
  <c r="S91"/>
  <c r="S90" s="1"/>
  <c r="R91"/>
  <c r="R90" s="1"/>
  <c r="AN90"/>
  <c r="AM90"/>
  <c r="AL90"/>
  <c r="AK90"/>
  <c r="AJ90"/>
  <c r="AI90"/>
  <c r="AH90"/>
  <c r="AG90"/>
  <c r="AF90"/>
  <c r="AE90"/>
  <c r="Y90"/>
  <c r="X90"/>
  <c r="W90"/>
  <c r="V90"/>
  <c r="P90"/>
  <c r="O90"/>
  <c r="N90"/>
  <c r="M90"/>
  <c r="L90"/>
  <c r="Z89"/>
  <c r="Z88" s="1"/>
  <c r="Z87" s="1"/>
  <c r="T89"/>
  <c r="T88" s="1"/>
  <c r="T87" s="1"/>
  <c r="Q89"/>
  <c r="AC88"/>
  <c r="AC87" s="1"/>
  <c r="AB88"/>
  <c r="AB87" s="1"/>
  <c r="AA88"/>
  <c r="AA87" s="1"/>
  <c r="U88"/>
  <c r="U87" s="1"/>
  <c r="S88"/>
  <c r="S87" s="1"/>
  <c r="R88"/>
  <c r="R87" s="1"/>
  <c r="Q88"/>
  <c r="Q87" s="1"/>
  <c r="AN87"/>
  <c r="AM87"/>
  <c r="AL87"/>
  <c r="AK87"/>
  <c r="AJ87"/>
  <c r="AI87"/>
  <c r="AH87"/>
  <c r="AG87"/>
  <c r="AF87"/>
  <c r="AE87"/>
  <c r="AD87"/>
  <c r="Y87"/>
  <c r="X87"/>
  <c r="W87"/>
  <c r="V87"/>
  <c r="P87"/>
  <c r="O87"/>
  <c r="N87"/>
  <c r="M87"/>
  <c r="L87"/>
  <c r="AJ86"/>
  <c r="AK86" s="1"/>
  <c r="L86"/>
  <c r="P85"/>
  <c r="P80" s="1"/>
  <c r="J85"/>
  <c r="AE84"/>
  <c r="Z84"/>
  <c r="R84"/>
  <c r="Q84"/>
  <c r="V83"/>
  <c r="V81" s="1"/>
  <c r="V80" s="1"/>
  <c r="T83"/>
  <c r="Q83"/>
  <c r="Z82"/>
  <c r="T82"/>
  <c r="R82"/>
  <c r="R81" s="1"/>
  <c r="R80" s="1"/>
  <c r="Q82"/>
  <c r="Q81" s="1"/>
  <c r="Q80" s="1"/>
  <c r="AI81"/>
  <c r="AI80" s="1"/>
  <c r="AH81"/>
  <c r="AH80" s="1"/>
  <c r="AG81"/>
  <c r="AG80" s="1"/>
  <c r="AF81"/>
  <c r="AF80" s="1"/>
  <c r="AE81"/>
  <c r="AE80" s="1"/>
  <c r="AD81"/>
  <c r="AC81"/>
  <c r="AC80" s="1"/>
  <c r="AB81"/>
  <c r="AB80" s="1"/>
  <c r="AA81"/>
  <c r="AA80" s="1"/>
  <c r="Y81"/>
  <c r="Y80" s="1"/>
  <c r="X81"/>
  <c r="X80" s="1"/>
  <c r="W81"/>
  <c r="W80" s="1"/>
  <c r="U81"/>
  <c r="U80" s="1"/>
  <c r="S81"/>
  <c r="S80" s="1"/>
  <c r="J81"/>
  <c r="AN80"/>
  <c r="AM80"/>
  <c r="AM73" s="1"/>
  <c r="AD80"/>
  <c r="O80"/>
  <c r="N80"/>
  <c r="M80"/>
  <c r="L80"/>
  <c r="J80" s="1"/>
  <c r="AE78"/>
  <c r="AE77" s="1"/>
  <c r="AE76" s="1"/>
  <c r="Z78"/>
  <c r="Z77" s="1"/>
  <c r="Z76" s="1"/>
  <c r="X78"/>
  <c r="X77" s="1"/>
  <c r="X76" s="1"/>
  <c r="V78"/>
  <c r="V77" s="1"/>
  <c r="V76" s="1"/>
  <c r="R78"/>
  <c r="R77" s="1"/>
  <c r="R76" s="1"/>
  <c r="Q78"/>
  <c r="P78" s="1"/>
  <c r="AI77"/>
  <c r="AI76" s="1"/>
  <c r="AH77"/>
  <c r="AH76" s="1"/>
  <c r="AG77"/>
  <c r="AG76" s="1"/>
  <c r="AF77"/>
  <c r="AF76" s="1"/>
  <c r="AD77"/>
  <c r="AD76" s="1"/>
  <c r="AC77"/>
  <c r="AC76" s="1"/>
  <c r="AB77"/>
  <c r="AB76" s="1"/>
  <c r="AA77"/>
  <c r="AA76" s="1"/>
  <c r="Y77"/>
  <c r="Y76" s="1"/>
  <c r="W77"/>
  <c r="W76" s="1"/>
  <c r="U77"/>
  <c r="U76" s="1"/>
  <c r="T77"/>
  <c r="T76" s="1"/>
  <c r="S77"/>
  <c r="S76" s="1"/>
  <c r="AK76"/>
  <c r="P76"/>
  <c r="O76"/>
  <c r="N76"/>
  <c r="M76"/>
  <c r="L76"/>
  <c r="J76" s="1"/>
  <c r="L75"/>
  <c r="J75" s="1"/>
  <c r="L74"/>
  <c r="J74" s="1"/>
  <c r="AN73"/>
  <c r="K73"/>
  <c r="L72"/>
  <c r="AE70"/>
  <c r="AE69" s="1"/>
  <c r="AE68" s="1"/>
  <c r="AE65" s="1"/>
  <c r="Z70"/>
  <c r="Z69" s="1"/>
  <c r="Z68" s="1"/>
  <c r="Z65" s="1"/>
  <c r="R70"/>
  <c r="R69" s="1"/>
  <c r="R68" s="1"/>
  <c r="R65" s="1"/>
  <c r="Q70"/>
  <c r="Q69" s="1"/>
  <c r="Q68" s="1"/>
  <c r="AF69"/>
  <c r="AF68" s="1"/>
  <c r="AF65" s="1"/>
  <c r="AA69"/>
  <c r="AA68" s="1"/>
  <c r="AA65" s="1"/>
  <c r="Y69"/>
  <c r="Y68" s="1"/>
  <c r="Y65" s="1"/>
  <c r="W69"/>
  <c r="W68" s="1"/>
  <c r="W65" s="1"/>
  <c r="V69"/>
  <c r="V68" s="1"/>
  <c r="V65" s="1"/>
  <c r="U69"/>
  <c r="U68" s="1"/>
  <c r="U65" s="1"/>
  <c r="T69"/>
  <c r="T68" s="1"/>
  <c r="T65" s="1"/>
  <c r="S69"/>
  <c r="S68" s="1"/>
  <c r="S65" s="1"/>
  <c r="AN68"/>
  <c r="AN65" s="1"/>
  <c r="AM68"/>
  <c r="AM65" s="1"/>
  <c r="AI68"/>
  <c r="AI65" s="1"/>
  <c r="AH68"/>
  <c r="AH65" s="1"/>
  <c r="AG68"/>
  <c r="AG65" s="1"/>
  <c r="AD68"/>
  <c r="AD65" s="1"/>
  <c r="AC68"/>
  <c r="AC65" s="1"/>
  <c r="AB68"/>
  <c r="AB65" s="1"/>
  <c r="X68"/>
  <c r="X65" s="1"/>
  <c r="P68"/>
  <c r="P65" s="1"/>
  <c r="O68"/>
  <c r="O65" s="1"/>
  <c r="N68"/>
  <c r="N65" s="1"/>
  <c r="M68"/>
  <c r="M65" s="1"/>
  <c r="L68"/>
  <c r="L65" s="1"/>
  <c r="L67"/>
  <c r="L66"/>
  <c r="K65"/>
  <c r="K19" s="1"/>
  <c r="J65"/>
  <c r="J64"/>
  <c r="Z63"/>
  <c r="Z62" s="1"/>
  <c r="Z61" s="1"/>
  <c r="V63"/>
  <c r="V62" s="1"/>
  <c r="V61" s="1"/>
  <c r="Q63"/>
  <c r="Q62" s="1"/>
  <c r="Q61" s="1"/>
  <c r="AH62"/>
  <c r="AG62"/>
  <c r="AG61" s="1"/>
  <c r="AF62"/>
  <c r="AF61" s="1"/>
  <c r="AE62"/>
  <c r="AE61" s="1"/>
  <c r="AD62"/>
  <c r="AC62"/>
  <c r="AC61" s="1"/>
  <c r="AB62"/>
  <c r="AB61" s="1"/>
  <c r="AA62"/>
  <c r="AA61" s="1"/>
  <c r="Y62"/>
  <c r="Y61" s="1"/>
  <c r="X62"/>
  <c r="X61" s="1"/>
  <c r="W62"/>
  <c r="W61" s="1"/>
  <c r="U62"/>
  <c r="U61" s="1"/>
  <c r="T62"/>
  <c r="T61" s="1"/>
  <c r="S62"/>
  <c r="S61" s="1"/>
  <c r="R62"/>
  <c r="R61" s="1"/>
  <c r="J62"/>
  <c r="AN61"/>
  <c r="AM61"/>
  <c r="AI61"/>
  <c r="AI55" s="1"/>
  <c r="AH61"/>
  <c r="AD61"/>
  <c r="P61"/>
  <c r="O61"/>
  <c r="N61"/>
  <c r="M61"/>
  <c r="L61"/>
  <c r="J61" s="1"/>
  <c r="L60"/>
  <c r="J60" s="1"/>
  <c r="L59"/>
  <c r="J59" s="1"/>
  <c r="AN58"/>
  <c r="AM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J57"/>
  <c r="J56"/>
  <c r="AL55"/>
  <c r="AH51"/>
  <c r="AH49" s="1"/>
  <c r="AE53"/>
  <c r="AE52" s="1"/>
  <c r="AE51" s="1"/>
  <c r="AE49" s="1"/>
  <c r="Z53"/>
  <c r="Z52" s="1"/>
  <c r="Z51" s="1"/>
  <c r="Z48" s="1"/>
  <c r="T53"/>
  <c r="T52" s="1"/>
  <c r="T51" s="1"/>
  <c r="T48" s="1"/>
  <c r="Q53"/>
  <c r="Q52" s="1"/>
  <c r="Q51" s="1"/>
  <c r="Q48" s="1"/>
  <c r="AG52"/>
  <c r="AG51" s="1"/>
  <c r="AG49" s="1"/>
  <c r="AF52"/>
  <c r="AF51" s="1"/>
  <c r="AF49" s="1"/>
  <c r="AD52"/>
  <c r="AD51" s="1"/>
  <c r="AD49" s="1"/>
  <c r="AC52"/>
  <c r="AC51" s="1"/>
  <c r="AC49" s="1"/>
  <c r="AB52"/>
  <c r="AB51" s="1"/>
  <c r="AB48" s="1"/>
  <c r="AA52"/>
  <c r="Y52"/>
  <c r="Y51" s="1"/>
  <c r="Y48" s="1"/>
  <c r="X52"/>
  <c r="X51" s="1"/>
  <c r="W52"/>
  <c r="W51" s="1"/>
  <c r="V52"/>
  <c r="V51" s="1"/>
  <c r="U52"/>
  <c r="U51" s="1"/>
  <c r="U48" s="1"/>
  <c r="AI51"/>
  <c r="AI49" s="1"/>
  <c r="AA51"/>
  <c r="AA48" s="1"/>
  <c r="S51"/>
  <c r="S49" s="1"/>
  <c r="R51"/>
  <c r="R49" s="1"/>
  <c r="P51"/>
  <c r="AJ51" s="1"/>
  <c r="O51"/>
  <c r="O49" s="1"/>
  <c r="N51"/>
  <c r="M51"/>
  <c r="M49" s="1"/>
  <c r="L51"/>
  <c r="L48" s="1"/>
  <c r="AN49"/>
  <c r="AM49"/>
  <c r="AL49"/>
  <c r="AL20" s="1"/>
  <c r="AA49"/>
  <c r="Z49"/>
  <c r="T49"/>
  <c r="N49"/>
  <c r="K49"/>
  <c r="K20" s="1"/>
  <c r="K14" s="1"/>
  <c r="J49"/>
  <c r="N48"/>
  <c r="Z45"/>
  <c r="Z44" s="1"/>
  <c r="Z43" s="1"/>
  <c r="Q45"/>
  <c r="Q44" s="1"/>
  <c r="Q43" s="1"/>
  <c r="AD44"/>
  <c r="AD43" s="1"/>
  <c r="Y44"/>
  <c r="X44"/>
  <c r="X43" s="1"/>
  <c r="L44"/>
  <c r="L43" s="1"/>
  <c r="AN43"/>
  <c r="AM43"/>
  <c r="AI43"/>
  <c r="AH43"/>
  <c r="AG43"/>
  <c r="AF43"/>
  <c r="AE43"/>
  <c r="AC43"/>
  <c r="AB43"/>
  <c r="AA43"/>
  <c r="Y43"/>
  <c r="W43"/>
  <c r="V43"/>
  <c r="U43"/>
  <c r="T43"/>
  <c r="S43"/>
  <c r="R43"/>
  <c r="P43"/>
  <c r="O43"/>
  <c r="N43"/>
  <c r="N22" s="1"/>
  <c r="N18" s="1"/>
  <c r="M43"/>
  <c r="AN40"/>
  <c r="AM40"/>
  <c r="AL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P22" s="1"/>
  <c r="P18" s="1"/>
  <c r="O40"/>
  <c r="N40"/>
  <c r="M40"/>
  <c r="L40"/>
  <c r="J40" s="1"/>
  <c r="J22" s="1"/>
  <c r="J18" s="1"/>
  <c r="AE39"/>
  <c r="Q39"/>
  <c r="P39" s="1"/>
  <c r="AE38"/>
  <c r="U38"/>
  <c r="T38"/>
  <c r="T37" s="1"/>
  <c r="T24" s="1"/>
  <c r="T20" s="1"/>
  <c r="AI37"/>
  <c r="AH37"/>
  <c r="AG37"/>
  <c r="AG24" s="1"/>
  <c r="AF37"/>
  <c r="AD37"/>
  <c r="AC37"/>
  <c r="AB37"/>
  <c r="AB24" s="1"/>
  <c r="AB20" s="1"/>
  <c r="AA37"/>
  <c r="Z37"/>
  <c r="Y37"/>
  <c r="W37"/>
  <c r="W24" s="1"/>
  <c r="V37"/>
  <c r="V24" s="1"/>
  <c r="S37"/>
  <c r="S24" s="1"/>
  <c r="R37"/>
  <c r="N37"/>
  <c r="L37"/>
  <c r="AE36"/>
  <c r="AE35" s="1"/>
  <c r="Z36"/>
  <c r="Z35" s="1"/>
  <c r="Z25" s="1"/>
  <c r="Z21" s="1"/>
  <c r="Z15" s="1"/>
  <c r="R36"/>
  <c r="R35" s="1"/>
  <c r="Q36"/>
  <c r="P36" s="1"/>
  <c r="AI35"/>
  <c r="AH35"/>
  <c r="AH25" s="1"/>
  <c r="AH21" s="1"/>
  <c r="AH15" s="1"/>
  <c r="AG35"/>
  <c r="AG25" s="1"/>
  <c r="AF35"/>
  <c r="AD35"/>
  <c r="AD25" s="1"/>
  <c r="AC35"/>
  <c r="AC25" s="1"/>
  <c r="AC21" s="1"/>
  <c r="AC15" s="1"/>
  <c r="AB35"/>
  <c r="AB25" s="1"/>
  <c r="AB21" s="1"/>
  <c r="AB15" s="1"/>
  <c r="AA35"/>
  <c r="Y35"/>
  <c r="W35"/>
  <c r="V35"/>
  <c r="V25" s="1"/>
  <c r="V21" s="1"/>
  <c r="V15" s="1"/>
  <c r="U35"/>
  <c r="U25" s="1"/>
  <c r="U21" s="1"/>
  <c r="T35"/>
  <c r="S35"/>
  <c r="Q35"/>
  <c r="J35"/>
  <c r="J25" s="1"/>
  <c r="J21" s="1"/>
  <c r="AE34"/>
  <c r="Z34"/>
  <c r="R34"/>
  <c r="P34" s="1"/>
  <c r="Q34"/>
  <c r="AE33"/>
  <c r="Z33"/>
  <c r="Q33"/>
  <c r="AE32"/>
  <c r="Z32"/>
  <c r="Q32"/>
  <c r="AE31"/>
  <c r="Z31"/>
  <c r="Q31"/>
  <c r="P31"/>
  <c r="AE30"/>
  <c r="Z30"/>
  <c r="T30"/>
  <c r="R30"/>
  <c r="P30" s="1"/>
  <c r="Q30"/>
  <c r="AE29"/>
  <c r="Z29"/>
  <c r="R29"/>
  <c r="Q29"/>
  <c r="P29" s="1"/>
  <c r="AE28"/>
  <c r="Z28"/>
  <c r="R28"/>
  <c r="Q28"/>
  <c r="AI27"/>
  <c r="AH27"/>
  <c r="AG27"/>
  <c r="AF27"/>
  <c r="AF22" s="1"/>
  <c r="AF18" s="1"/>
  <c r="AD27"/>
  <c r="AC27"/>
  <c r="AB27"/>
  <c r="AA27"/>
  <c r="AA26" s="1"/>
  <c r="Y27"/>
  <c r="X27"/>
  <c r="X26" s="1"/>
  <c r="W27"/>
  <c r="V27"/>
  <c r="V26" s="1"/>
  <c r="U27"/>
  <c r="T27"/>
  <c r="T26" s="1"/>
  <c r="S27"/>
  <c r="K27"/>
  <c r="K26" s="1"/>
  <c r="AN26"/>
  <c r="AM26"/>
  <c r="P26"/>
  <c r="O26"/>
  <c r="M26"/>
  <c r="L26"/>
  <c r="AN25"/>
  <c r="AN21" s="1"/>
  <c r="AM25"/>
  <c r="AL25"/>
  <c r="AL21" s="1"/>
  <c r="AK25"/>
  <c r="AK21" s="1"/>
  <c r="AK15" s="1"/>
  <c r="AJ25"/>
  <c r="AF25"/>
  <c r="AF21" s="1"/>
  <c r="AA25"/>
  <c r="AA21" s="1"/>
  <c r="AA15" s="1"/>
  <c r="Y25"/>
  <c r="Y21" s="1"/>
  <c r="Y15" s="1"/>
  <c r="X25"/>
  <c r="X21" s="1"/>
  <c r="T25"/>
  <c r="T21" s="1"/>
  <c r="Q25"/>
  <c r="P25"/>
  <c r="P21" s="1"/>
  <c r="O25"/>
  <c r="O21" s="1"/>
  <c r="O15" s="1"/>
  <c r="N25"/>
  <c r="N21" s="1"/>
  <c r="N15" s="1"/>
  <c r="M25"/>
  <c r="M21" s="1"/>
  <c r="M15" s="1"/>
  <c r="L25"/>
  <c r="K25"/>
  <c r="K21" s="1"/>
  <c r="AI24"/>
  <c r="AH24"/>
  <c r="AF24"/>
  <c r="AD24"/>
  <c r="AC24"/>
  <c r="AA24"/>
  <c r="Z24"/>
  <c r="Z20" s="1"/>
  <c r="Y24"/>
  <c r="X24"/>
  <c r="R24"/>
  <c r="P24"/>
  <c r="P20" s="1"/>
  <c r="O24"/>
  <c r="M24"/>
  <c r="AN22"/>
  <c r="AN18" s="1"/>
  <c r="AM22"/>
  <c r="AM18" s="1"/>
  <c r="K22"/>
  <c r="K18" s="1"/>
  <c r="AM21"/>
  <c r="AM15" s="1"/>
  <c r="AJ21"/>
  <c r="AJ15" s="1"/>
  <c r="AG21"/>
  <c r="AG15" s="1"/>
  <c r="AD21"/>
  <c r="AD15" s="1"/>
  <c r="Q21"/>
  <c r="Q15" s="1"/>
  <c r="AN20"/>
  <c r="AN14" s="1"/>
  <c r="AM20"/>
  <c r="AM14" s="1"/>
  <c r="J20"/>
  <c r="J14" s="1"/>
  <c r="T15"/>
  <c r="S186" i="6"/>
  <c r="S185" s="1"/>
  <c r="U186"/>
  <c r="U185" s="1"/>
  <c r="V186"/>
  <c r="V185" s="1"/>
  <c r="W186"/>
  <c r="W185" s="1"/>
  <c r="X186"/>
  <c r="X185" s="1"/>
  <c r="Y186"/>
  <c r="Y185" s="1"/>
  <c r="AA186"/>
  <c r="AA185" s="1"/>
  <c r="AB186"/>
  <c r="AB185" s="1"/>
  <c r="AC186"/>
  <c r="AC185" s="1"/>
  <c r="AD186"/>
  <c r="R307"/>
  <c r="S307"/>
  <c r="T307"/>
  <c r="U307"/>
  <c r="V307"/>
  <c r="W307"/>
  <c r="X307"/>
  <c r="Y307"/>
  <c r="AA307"/>
  <c r="AB307"/>
  <c r="AC307"/>
  <c r="AD307"/>
  <c r="AF307"/>
  <c r="AG307"/>
  <c r="Q69"/>
  <c r="Q68" s="1"/>
  <c r="Z69"/>
  <c r="Z68" s="1"/>
  <c r="Z67" s="1"/>
  <c r="R68"/>
  <c r="S68"/>
  <c r="T68"/>
  <c r="U68"/>
  <c r="W68"/>
  <c r="X68"/>
  <c r="Y68"/>
  <c r="Y67" s="1"/>
  <c r="AA68"/>
  <c r="AA67" s="1"/>
  <c r="AB68"/>
  <c r="AB67" s="1"/>
  <c r="AC68"/>
  <c r="AC67" s="1"/>
  <c r="AD68"/>
  <c r="AE68"/>
  <c r="AF68"/>
  <c r="AG68"/>
  <c r="AH68"/>
  <c r="V69"/>
  <c r="V68" s="1"/>
  <c r="W334"/>
  <c r="V334" s="1"/>
  <c r="AC332"/>
  <c r="V332"/>
  <c r="Z308"/>
  <c r="Z307" s="1"/>
  <c r="V300"/>
  <c r="V299" s="1"/>
  <c r="Z284"/>
  <c r="R283"/>
  <c r="S283"/>
  <c r="T283"/>
  <c r="U283"/>
  <c r="W283"/>
  <c r="X283"/>
  <c r="Y283"/>
  <c r="Z283"/>
  <c r="AA283"/>
  <c r="AB283"/>
  <c r="AC283"/>
  <c r="AD283"/>
  <c r="AE283"/>
  <c r="AF283"/>
  <c r="AG283"/>
  <c r="AH283"/>
  <c r="Q284"/>
  <c r="Q283" s="1"/>
  <c r="V284"/>
  <c r="V283" s="1"/>
  <c r="Z187"/>
  <c r="Z136"/>
  <c r="Z135"/>
  <c r="Q135"/>
  <c r="V135"/>
  <c r="V134" s="1"/>
  <c r="R134"/>
  <c r="S134"/>
  <c r="U134"/>
  <c r="W134"/>
  <c r="X134"/>
  <c r="Y134"/>
  <c r="AA134"/>
  <c r="AA133" s="1"/>
  <c r="AB134"/>
  <c r="AC134"/>
  <c r="AD134"/>
  <c r="AE134"/>
  <c r="AF134"/>
  <c r="AG134"/>
  <c r="AH134"/>
  <c r="AA110"/>
  <c r="AB110"/>
  <c r="AC110"/>
  <c r="AD110"/>
  <c r="Z111"/>
  <c r="Z110" s="1"/>
  <c r="AA107"/>
  <c r="AB107"/>
  <c r="AC107"/>
  <c r="Z108"/>
  <c r="Z107" s="1"/>
  <c r="Q102"/>
  <c r="V102"/>
  <c r="V100" s="1"/>
  <c r="Q101"/>
  <c r="Z101"/>
  <c r="S100"/>
  <c r="U100"/>
  <c r="W100"/>
  <c r="X100"/>
  <c r="Y100"/>
  <c r="AA100"/>
  <c r="AB100"/>
  <c r="Q308"/>
  <c r="Q312"/>
  <c r="T312"/>
  <c r="T136"/>
  <c r="T134" s="1"/>
  <c r="Q136"/>
  <c r="T102"/>
  <c r="R101"/>
  <c r="R100" s="1"/>
  <c r="U327"/>
  <c r="V327"/>
  <c r="W327"/>
  <c r="Q297"/>
  <c r="Q131"/>
  <c r="AL142" l="1"/>
  <c r="P55" i="18"/>
  <c r="U251"/>
  <c r="Q100" i="6"/>
  <c r="Q97" i="18"/>
  <c r="Q96" s="1"/>
  <c r="K15"/>
  <c r="Q127"/>
  <c r="Q126" s="1"/>
  <c r="U22"/>
  <c r="U18" s="1"/>
  <c r="AB209"/>
  <c r="K13"/>
  <c r="AG209"/>
  <c r="X15"/>
  <c r="AF26"/>
  <c r="AA20"/>
  <c r="AF15"/>
  <c r="AH22"/>
  <c r="AH18" s="1"/>
  <c r="Z27"/>
  <c r="Y55"/>
  <c r="Q77"/>
  <c r="Q76" s="1"/>
  <c r="T114"/>
  <c r="P176"/>
  <c r="T176"/>
  <c r="X176"/>
  <c r="X135" s="1"/>
  <c r="AF176"/>
  <c r="O176"/>
  <c r="S176"/>
  <c r="W176"/>
  <c r="AA176"/>
  <c r="AE176"/>
  <c r="AI176"/>
  <c r="AI135" s="1"/>
  <c r="X222"/>
  <c r="U209"/>
  <c r="AY52"/>
  <c r="AN15"/>
  <c r="L21"/>
  <c r="L15" s="1"/>
  <c r="P15"/>
  <c r="Y26"/>
  <c r="U15"/>
  <c r="O22"/>
  <c r="O18" s="1"/>
  <c r="S22"/>
  <c r="S18" s="1"/>
  <c r="W22"/>
  <c r="W18" s="1"/>
  <c r="AA22"/>
  <c r="AA18" s="1"/>
  <c r="AI22"/>
  <c r="AI18" s="1"/>
  <c r="M22"/>
  <c r="M18" s="1"/>
  <c r="V22"/>
  <c r="V18" s="1"/>
  <c r="L137"/>
  <c r="AI137"/>
  <c r="AI133" s="1"/>
  <c r="BM15"/>
  <c r="AS15"/>
  <c r="AS141"/>
  <c r="AS108" s="1"/>
  <c r="AW141"/>
  <c r="AW108" s="1"/>
  <c r="BA141"/>
  <c r="BA108" s="1"/>
  <c r="AQ141"/>
  <c r="AQ108" s="1"/>
  <c r="AU141"/>
  <c r="AU108" s="1"/>
  <c r="AB26"/>
  <c r="AG26"/>
  <c r="AG22"/>
  <c r="AG18" s="1"/>
  <c r="S26"/>
  <c r="S25"/>
  <c r="S21" s="1"/>
  <c r="S15" s="1"/>
  <c r="W25"/>
  <c r="W21" s="1"/>
  <c r="W15" s="1"/>
  <c r="W26"/>
  <c r="AE123"/>
  <c r="AE113" s="1"/>
  <c r="AE110" s="1"/>
  <c r="AE118"/>
  <c r="K132"/>
  <c r="V259"/>
  <c r="W256"/>
  <c r="W209" s="1"/>
  <c r="AY36"/>
  <c r="AY35" s="1"/>
  <c r="AY25" s="1"/>
  <c r="AY21" s="1"/>
  <c r="AY15" s="1"/>
  <c r="AZ35"/>
  <c r="AZ25" s="1"/>
  <c r="AZ21" s="1"/>
  <c r="AZ15" s="1"/>
  <c r="L55"/>
  <c r="J55" s="1"/>
  <c r="AB123"/>
  <c r="AB113" s="1"/>
  <c r="AB110" s="1"/>
  <c r="AB118"/>
  <c r="L135"/>
  <c r="AB135"/>
  <c r="AB14" s="1"/>
  <c r="O135"/>
  <c r="W251"/>
  <c r="P253"/>
  <c r="R252"/>
  <c r="N26"/>
  <c r="N24"/>
  <c r="N20" s="1"/>
  <c r="P221"/>
  <c r="Q220"/>
  <c r="Q219" s="1"/>
  <c r="AB22"/>
  <c r="AB18" s="1"/>
  <c r="AH26"/>
  <c r="Q27"/>
  <c r="N55"/>
  <c r="R55"/>
  <c r="AH55"/>
  <c r="Q179"/>
  <c r="Q178" s="1"/>
  <c r="Q215"/>
  <c r="Q214" s="1"/>
  <c r="Q223"/>
  <c r="AC222"/>
  <c r="AB251"/>
  <c r="Q252"/>
  <c r="AF209"/>
  <c r="AF135" s="1"/>
  <c r="R256"/>
  <c r="AW202"/>
  <c r="AW201" s="1"/>
  <c r="AK165" i="6"/>
  <c r="AK162" s="1"/>
  <c r="T22" i="18"/>
  <c r="T18" s="1"/>
  <c r="W55"/>
  <c r="Z127"/>
  <c r="Z126" s="1"/>
  <c r="Z123" s="1"/>
  <c r="AG200"/>
  <c r="X208"/>
  <c r="O208"/>
  <c r="AD209"/>
  <c r="AH209"/>
  <c r="BC15"/>
  <c r="BG15"/>
  <c r="AV20"/>
  <c r="BF14"/>
  <c r="BO14"/>
  <c r="AY141"/>
  <c r="AY108" s="1"/>
  <c r="J15"/>
  <c r="AM55"/>
  <c r="S55"/>
  <c r="Z81"/>
  <c r="Z80" s="1"/>
  <c r="O73"/>
  <c r="AI12"/>
  <c r="AF175"/>
  <c r="N135"/>
  <c r="N14" s="1"/>
  <c r="AD135"/>
  <c r="AH135"/>
  <c r="M176"/>
  <c r="M135" s="1"/>
  <c r="Q176"/>
  <c r="U176"/>
  <c r="U135" s="1"/>
  <c r="Y176"/>
  <c r="AC176"/>
  <c r="AG176"/>
  <c r="AG135" s="1"/>
  <c r="AU20"/>
  <c r="AU14" s="1"/>
  <c r="AL162" i="6"/>
  <c r="AK72"/>
  <c r="AK62" s="1"/>
  <c r="K17" i="18"/>
  <c r="K12"/>
  <c r="K11" s="1"/>
  <c r="Y22"/>
  <c r="Y18" s="1"/>
  <c r="P28"/>
  <c r="R27"/>
  <c r="W48"/>
  <c r="W49"/>
  <c r="W20" s="1"/>
  <c r="U222"/>
  <c r="BB26"/>
  <c r="BB22"/>
  <c r="BB18" s="1"/>
  <c r="AR20"/>
  <c r="AC22"/>
  <c r="AC18" s="1"/>
  <c r="AC26"/>
  <c r="U37"/>
  <c r="U24" s="1"/>
  <c r="U20" s="1"/>
  <c r="U14" s="1"/>
  <c r="Q38"/>
  <c r="P38" s="1"/>
  <c r="W135"/>
  <c r="AE135"/>
  <c r="R204"/>
  <c r="R203" s="1"/>
  <c r="R200" s="1"/>
  <c r="P205"/>
  <c r="P204" s="1"/>
  <c r="P203" s="1"/>
  <c r="M208"/>
  <c r="Y209"/>
  <c r="Y135" s="1"/>
  <c r="Y251"/>
  <c r="AI26"/>
  <c r="AI25"/>
  <c r="AI21" s="1"/>
  <c r="AI15" s="1"/>
  <c r="U55"/>
  <c r="T237"/>
  <c r="T236" s="1"/>
  <c r="Z26"/>
  <c r="AD26"/>
  <c r="V55"/>
  <c r="AD55"/>
  <c r="O55"/>
  <c r="M73"/>
  <c r="R114"/>
  <c r="L133"/>
  <c r="Y165"/>
  <c r="M175"/>
  <c r="M134" s="1"/>
  <c r="N208"/>
  <c r="AN208"/>
  <c r="BO17"/>
  <c r="AR15"/>
  <c r="AQ52"/>
  <c r="AU52"/>
  <c r="BF52"/>
  <c r="AT110"/>
  <c r="AT106" s="1"/>
  <c r="BB110"/>
  <c r="BB106" s="1"/>
  <c r="BF164"/>
  <c r="AP202"/>
  <c r="AP201" s="1"/>
  <c r="BE201" s="1"/>
  <c r="I29"/>
  <c r="AE27"/>
  <c r="AE22" s="1"/>
  <c r="AE18" s="1"/>
  <c r="AJ43"/>
  <c r="AK43" s="1"/>
  <c r="N73"/>
  <c r="U165"/>
  <c r="AH175"/>
  <c r="Z179"/>
  <c r="Z178" s="1"/>
  <c r="Q222"/>
  <c r="BG164"/>
  <c r="AD22"/>
  <c r="AD18" s="1"/>
  <c r="T55"/>
  <c r="X55"/>
  <c r="AB55"/>
  <c r="AF55"/>
  <c r="M55"/>
  <c r="Z115"/>
  <c r="Z114" s="1"/>
  <c r="P135"/>
  <c r="P14" s="1"/>
  <c r="N137"/>
  <c r="N133" s="1"/>
  <c r="N12" s="1"/>
  <c r="P145"/>
  <c r="AJ145" s="1"/>
  <c r="AK145" s="1"/>
  <c r="V165"/>
  <c r="O175"/>
  <c r="AM134"/>
  <c r="Q190"/>
  <c r="Q189" s="1"/>
  <c r="AM200"/>
  <c r="L208"/>
  <c r="BK17"/>
  <c r="BG14"/>
  <c r="BD15"/>
  <c r="AX27"/>
  <c r="AX22" s="1"/>
  <c r="AX18" s="1"/>
  <c r="AT15"/>
  <c r="AP38"/>
  <c r="BG52"/>
  <c r="AS52"/>
  <c r="AW52"/>
  <c r="BA52"/>
  <c r="BA19" s="1"/>
  <c r="AQ69"/>
  <c r="AU69"/>
  <c r="BB164"/>
  <c r="Z134" i="6"/>
  <c r="Z133" s="1"/>
  <c r="P48" i="18"/>
  <c r="AB114"/>
  <c r="AH114"/>
  <c r="Y118"/>
  <c r="Y114" s="1"/>
  <c r="Y73" s="1"/>
  <c r="Y19" s="1"/>
  <c r="AD118"/>
  <c r="AD114" s="1"/>
  <c r="AD73" s="1"/>
  <c r="AF118"/>
  <c r="AF114" s="1"/>
  <c r="AF73" s="1"/>
  <c r="AF19" s="1"/>
  <c r="M137"/>
  <c r="M133" s="1"/>
  <c r="M12" s="1"/>
  <c r="O137"/>
  <c r="O133" s="1"/>
  <c r="O12" s="1"/>
  <c r="AH137"/>
  <c r="AH133" s="1"/>
  <c r="AM137"/>
  <c r="AM133" s="1"/>
  <c r="AM12" s="1"/>
  <c r="L175"/>
  <c r="N175"/>
  <c r="N134" s="1"/>
  <c r="X175"/>
  <c r="AC208"/>
  <c r="S137"/>
  <c r="S133" s="1"/>
  <c r="S12" s="1"/>
  <c r="T256"/>
  <c r="T209" s="1"/>
  <c r="T135" s="1"/>
  <c r="T14" s="1"/>
  <c r="BJ107"/>
  <c r="BJ13" s="1"/>
  <c r="BL107"/>
  <c r="BL13" s="1"/>
  <c r="BN107"/>
  <c r="BN13" s="1"/>
  <c r="BP107"/>
  <c r="BP13" s="1"/>
  <c r="AC251"/>
  <c r="AC209"/>
  <c r="AC135" s="1"/>
  <c r="Q166"/>
  <c r="Q165" s="1"/>
  <c r="AL178"/>
  <c r="AL175" s="1"/>
  <c r="BI17"/>
  <c r="BM17"/>
  <c r="Q115"/>
  <c r="AH12"/>
  <c r="Z142"/>
  <c r="Z141" s="1"/>
  <c r="AG208"/>
  <c r="AI200"/>
  <c r="AM208"/>
  <c r="S222"/>
  <c r="AA222"/>
  <c r="Z223"/>
  <c r="Z222" s="1"/>
  <c r="T223"/>
  <c r="T222" s="1"/>
  <c r="W222"/>
  <c r="Y222"/>
  <c r="Q242"/>
  <c r="Q241" s="1"/>
  <c r="Q208" s="1"/>
  <c r="AV27"/>
  <c r="AZ37"/>
  <c r="AZ24" s="1"/>
  <c r="AZ20" s="1"/>
  <c r="AX20"/>
  <c r="AQ37"/>
  <c r="AQ24" s="1"/>
  <c r="AQ20" s="1"/>
  <c r="AQ14" s="1"/>
  <c r="BD22"/>
  <c r="BD18" s="1"/>
  <c r="AP87"/>
  <c r="AP86" s="1"/>
  <c r="AX110"/>
  <c r="AX106" s="1"/>
  <c r="V123"/>
  <c r="V113" s="1"/>
  <c r="V118"/>
  <c r="V114" s="1"/>
  <c r="V73" s="1"/>
  <c r="X118"/>
  <c r="X123"/>
  <c r="X113" s="1"/>
  <c r="AC123"/>
  <c r="AC113" s="1"/>
  <c r="AC110" s="1"/>
  <c r="AC118"/>
  <c r="R20"/>
  <c r="X114"/>
  <c r="X73" s="1"/>
  <c r="AJ126"/>
  <c r="AA137"/>
  <c r="AA133" s="1"/>
  <c r="AA12" s="1"/>
  <c r="AI175"/>
  <c r="AI134" s="1"/>
  <c r="AI132" s="1"/>
  <c r="AE200"/>
  <c r="J208"/>
  <c r="V208"/>
  <c r="AA208"/>
  <c r="AE208"/>
  <c r="AB208"/>
  <c r="AD208"/>
  <c r="AF208"/>
  <c r="AN200"/>
  <c r="S208"/>
  <c r="Q257"/>
  <c r="Z257"/>
  <c r="Q259"/>
  <c r="AT27"/>
  <c r="AP28"/>
  <c r="L24"/>
  <c r="L20" s="1"/>
  <c r="L14" s="1"/>
  <c r="AA55"/>
  <c r="AC55"/>
  <c r="AE55"/>
  <c r="P73"/>
  <c r="AH73"/>
  <c r="AJ80"/>
  <c r="T103"/>
  <c r="T102" s="1"/>
  <c r="P123"/>
  <c r="AA175"/>
  <c r="Q184"/>
  <c r="Q183" s="1"/>
  <c r="O203"/>
  <c r="O200" s="1"/>
  <c r="O134" s="1"/>
  <c r="V222"/>
  <c r="U208"/>
  <c r="W208"/>
  <c r="Y208"/>
  <c r="AI208"/>
  <c r="R209"/>
  <c r="R135" s="1"/>
  <c r="AS69"/>
  <c r="AQ19"/>
  <c r="AU19"/>
  <c r="AW87"/>
  <c r="AW86" s="1"/>
  <c r="AW69" s="1"/>
  <c r="AW19" s="1"/>
  <c r="AY87"/>
  <c r="AY86" s="1"/>
  <c r="AY69" s="1"/>
  <c r="AY19" s="1"/>
  <c r="BI107"/>
  <c r="BI13" s="1"/>
  <c r="BK107"/>
  <c r="BK13" s="1"/>
  <c r="BM107"/>
  <c r="BM13" s="1"/>
  <c r="BO107"/>
  <c r="BO13" s="1"/>
  <c r="AR110"/>
  <c r="AR106" s="1"/>
  <c r="AV110"/>
  <c r="AV106" s="1"/>
  <c r="AZ110"/>
  <c r="AZ106" s="1"/>
  <c r="BF110"/>
  <c r="BF106" s="1"/>
  <c r="AS119"/>
  <c r="AY119"/>
  <c r="AW119"/>
  <c r="AQ119"/>
  <c r="AZ148"/>
  <c r="AZ147" s="1"/>
  <c r="AP157"/>
  <c r="AS14"/>
  <c r="AW14"/>
  <c r="BI14"/>
  <c r="R48"/>
  <c r="R14"/>
  <c r="AH200"/>
  <c r="AH134" s="1"/>
  <c r="AH132" s="1"/>
  <c r="AH208"/>
  <c r="R251"/>
  <c r="AX26"/>
  <c r="BC64"/>
  <c r="AP61"/>
  <c r="AE37"/>
  <c r="AE24" s="1"/>
  <c r="AE20" s="1"/>
  <c r="AE14" s="1"/>
  <c r="L58"/>
  <c r="J58" s="1"/>
  <c r="AJ58"/>
  <c r="N19"/>
  <c r="AJ68"/>
  <c r="AK68" s="1"/>
  <c r="AK65" s="1"/>
  <c r="L73"/>
  <c r="AE103"/>
  <c r="AE102" s="1"/>
  <c r="AJ107"/>
  <c r="V137"/>
  <c r="V133" s="1"/>
  <c r="V12" s="1"/>
  <c r="R175"/>
  <c r="T175"/>
  <c r="V175"/>
  <c r="V134" s="1"/>
  <c r="X134"/>
  <c r="R208"/>
  <c r="AJ222"/>
  <c r="AK222" s="1"/>
  <c r="AJ236"/>
  <c r="AK236" s="1"/>
  <c r="AJ241"/>
  <c r="AK241" s="1"/>
  <c r="BG19"/>
  <c r="AT140"/>
  <c r="Z22"/>
  <c r="Z18" s="1"/>
  <c r="AG55"/>
  <c r="Q55"/>
  <c r="R73"/>
  <c r="S114"/>
  <c r="S73" s="1"/>
  <c r="U114"/>
  <c r="U73" s="1"/>
  <c r="U19" s="1"/>
  <c r="W114"/>
  <c r="AC114"/>
  <c r="AE114"/>
  <c r="AE73" s="1"/>
  <c r="AE19" s="1"/>
  <c r="AG114"/>
  <c r="AL119"/>
  <c r="AC137"/>
  <c r="AC133" s="1"/>
  <c r="AC12" s="1"/>
  <c r="AG137"/>
  <c r="AG133" s="1"/>
  <c r="AG12" s="1"/>
  <c r="AE150"/>
  <c r="AE149" s="1"/>
  <c r="AE137" s="1"/>
  <c r="AE133" s="1"/>
  <c r="AE12" s="1"/>
  <c r="R150"/>
  <c r="R149" s="1"/>
  <c r="Z150"/>
  <c r="Z149" s="1"/>
  <c r="X166"/>
  <c r="X165" s="1"/>
  <c r="R165"/>
  <c r="Z166"/>
  <c r="Z165" s="1"/>
  <c r="AA134"/>
  <c r="AN134"/>
  <c r="L134"/>
  <c r="AF200"/>
  <c r="AF134" s="1"/>
  <c r="AB222"/>
  <c r="AD222"/>
  <c r="S256"/>
  <c r="AA256"/>
  <c r="AR27"/>
  <c r="AP30"/>
  <c r="AP34"/>
  <c r="BA20"/>
  <c r="BA14" s="1"/>
  <c r="BG22"/>
  <c r="BG18" s="1"/>
  <c r="AQ110"/>
  <c r="AQ106" s="1"/>
  <c r="AS110"/>
  <c r="AS106" s="1"/>
  <c r="AU110"/>
  <c r="AU106" s="1"/>
  <c r="AW110"/>
  <c r="AW106" s="1"/>
  <c r="AY110"/>
  <c r="AY106" s="1"/>
  <c r="BA110"/>
  <c r="BA106" s="1"/>
  <c r="BC116"/>
  <c r="BD116" s="1"/>
  <c r="BB140"/>
  <c r="AP149"/>
  <c r="AP148" s="1"/>
  <c r="AP147" s="1"/>
  <c r="AY148"/>
  <c r="AY147" s="1"/>
  <c r="AU177"/>
  <c r="BE197"/>
  <c r="N17"/>
  <c r="L132"/>
  <c r="AJ40"/>
  <c r="X22"/>
  <c r="X18" s="1"/>
  <c r="Y49"/>
  <c r="Y20" s="1"/>
  <c r="S20"/>
  <c r="AI20"/>
  <c r="AI14" s="1"/>
  <c r="AJ61"/>
  <c r="AK61" s="1"/>
  <c r="AN55"/>
  <c r="AN19" s="1"/>
  <c r="AN13" s="1"/>
  <c r="AL68"/>
  <c r="AL65" s="1"/>
  <c r="AM19"/>
  <c r="AL76"/>
  <c r="AH19"/>
  <c r="AA73"/>
  <c r="AA19" s="1"/>
  <c r="AG73"/>
  <c r="AI73"/>
  <c r="AI19" s="1"/>
  <c r="T81"/>
  <c r="T80" s="1"/>
  <c r="T73" s="1"/>
  <c r="T19" s="1"/>
  <c r="AJ93"/>
  <c r="AJ96"/>
  <c r="AJ119"/>
  <c r="W137"/>
  <c r="W133" s="1"/>
  <c r="AM132"/>
  <c r="AL149"/>
  <c r="AN137"/>
  <c r="AN133" s="1"/>
  <c r="U175"/>
  <c r="U134" s="1"/>
  <c r="Y175"/>
  <c r="Y134" s="1"/>
  <c r="AC175"/>
  <c r="AC134" s="1"/>
  <c r="AC132" s="1"/>
  <c r="V256"/>
  <c r="AY27"/>
  <c r="AY22" s="1"/>
  <c r="AY18" s="1"/>
  <c r="AP29"/>
  <c r="AW26"/>
  <c r="AY37"/>
  <c r="AY24" s="1"/>
  <c r="AY20" s="1"/>
  <c r="AY14" s="1"/>
  <c r="BF19"/>
  <c r="BF17" s="1"/>
  <c r="AP119"/>
  <c r="AY154"/>
  <c r="AY153" s="1"/>
  <c r="AP158"/>
  <c r="AP154" s="1"/>
  <c r="AP153" s="1"/>
  <c r="BM105"/>
  <c r="BO105"/>
  <c r="L22"/>
  <c r="L18" s="1"/>
  <c r="M20"/>
  <c r="M14" s="1"/>
  <c r="O20"/>
  <c r="O14" s="1"/>
  <c r="AC20"/>
  <c r="AC14" s="1"/>
  <c r="AG20"/>
  <c r="AG14" s="1"/>
  <c r="AD20"/>
  <c r="AD14" s="1"/>
  <c r="AF20"/>
  <c r="AH20"/>
  <c r="AH14" s="1"/>
  <c r="Z55"/>
  <c r="Z73"/>
  <c r="AB73"/>
  <c r="AB19" s="1"/>
  <c r="AB17" s="1"/>
  <c r="W73"/>
  <c r="W19" s="1"/>
  <c r="AL102"/>
  <c r="AJ110"/>
  <c r="AL126"/>
  <c r="AL123" s="1"/>
  <c r="M132"/>
  <c r="U137"/>
  <c r="U133" s="1"/>
  <c r="Y137"/>
  <c r="Y133" s="1"/>
  <c r="T137"/>
  <c r="T133" s="1"/>
  <c r="X137"/>
  <c r="X133" s="1"/>
  <c r="X132" s="1"/>
  <c r="AB137"/>
  <c r="AB133" s="1"/>
  <c r="AB12" s="1"/>
  <c r="AD137"/>
  <c r="AD133" s="1"/>
  <c r="AD12" s="1"/>
  <c r="AF137"/>
  <c r="AF133" s="1"/>
  <c r="Q142"/>
  <c r="Q141" s="1"/>
  <c r="S175"/>
  <c r="S134" s="1"/>
  <c r="W175"/>
  <c r="W134" s="1"/>
  <c r="AG175"/>
  <c r="AG134" s="1"/>
  <c r="AE175"/>
  <c r="AE134" s="1"/>
  <c r="J200"/>
  <c r="J134" s="1"/>
  <c r="AL222"/>
  <c r="AJ232"/>
  <c r="AK232" s="1"/>
  <c r="AL236"/>
  <c r="AL208" s="1"/>
  <c r="Z256"/>
  <c r="Z251" s="1"/>
  <c r="AU26"/>
  <c r="AU22"/>
  <c r="AU18" s="1"/>
  <c r="AW22"/>
  <c r="AW18" s="1"/>
  <c r="AW12" s="1"/>
  <c r="AS19"/>
  <c r="BH105"/>
  <c r="BJ105"/>
  <c r="BI105"/>
  <c r="AR140"/>
  <c r="AV140"/>
  <c r="AZ140"/>
  <c r="BA140"/>
  <c r="AP141"/>
  <c r="AP108" s="1"/>
  <c r="AR141"/>
  <c r="AR108" s="1"/>
  <c r="AR14" s="1"/>
  <c r="AT141"/>
  <c r="AT108" s="1"/>
  <c r="AT14" s="1"/>
  <c r="AV141"/>
  <c r="AV108" s="1"/>
  <c r="AV14" s="1"/>
  <c r="AX141"/>
  <c r="AX108" s="1"/>
  <c r="AX14" s="1"/>
  <c r="AZ141"/>
  <c r="AZ108" s="1"/>
  <c r="AZ14" s="1"/>
  <c r="AR177"/>
  <c r="AT177"/>
  <c r="AT107" s="1"/>
  <c r="AV177"/>
  <c r="BB177"/>
  <c r="BB107" s="1"/>
  <c r="BB105" s="1"/>
  <c r="BF177"/>
  <c r="AQ177"/>
  <c r="AS177"/>
  <c r="BG177"/>
  <c r="BG17"/>
  <c r="BD74"/>
  <c r="BC69"/>
  <c r="BA177"/>
  <c r="BA164"/>
  <c r="BJ17"/>
  <c r="BJ15"/>
  <c r="BJ11" s="1"/>
  <c r="BL17"/>
  <c r="BL15"/>
  <c r="BN17"/>
  <c r="BN15"/>
  <c r="BP17"/>
  <c r="BP15"/>
  <c r="BL12"/>
  <c r="BL105"/>
  <c r="BN105"/>
  <c r="BN12"/>
  <c r="AS31"/>
  <c r="AP31"/>
  <c r="AP27" s="1"/>
  <c r="AW152"/>
  <c r="AW148" s="1"/>
  <c r="AW147" s="1"/>
  <c r="AX148"/>
  <c r="AX147" s="1"/>
  <c r="AY189"/>
  <c r="AY188" s="1"/>
  <c r="AY187" s="1"/>
  <c r="AY177" s="1"/>
  <c r="AZ188"/>
  <c r="AZ187" s="1"/>
  <c r="AZ177" s="1"/>
  <c r="AZ107" s="1"/>
  <c r="AZ105" s="1"/>
  <c r="AX12"/>
  <c r="BB12"/>
  <c r="BF12"/>
  <c r="BI12"/>
  <c r="BI11" s="1"/>
  <c r="BK12"/>
  <c r="BM12"/>
  <c r="BM11" s="1"/>
  <c r="BO12"/>
  <c r="BO11" s="1"/>
  <c r="AV22"/>
  <c r="AV18" s="1"/>
  <c r="AU25"/>
  <c r="AU21" s="1"/>
  <c r="AZ27"/>
  <c r="AS27"/>
  <c r="AQ27"/>
  <c r="BA27"/>
  <c r="BE43"/>
  <c r="BE22" s="1"/>
  <c r="BE18" s="1"/>
  <c r="AP52"/>
  <c r="AR52"/>
  <c r="AT52"/>
  <c r="AV52"/>
  <c r="AX52"/>
  <c r="AZ52"/>
  <c r="BB52"/>
  <c r="BB19" s="1"/>
  <c r="BC58"/>
  <c r="BE64"/>
  <c r="BE61" s="1"/>
  <c r="BE19" s="1"/>
  <c r="BD69"/>
  <c r="AP69"/>
  <c r="AR69"/>
  <c r="AT69"/>
  <c r="AV69"/>
  <c r="AX69"/>
  <c r="AZ69"/>
  <c r="BC86"/>
  <c r="BE114"/>
  <c r="BG110"/>
  <c r="BG106" s="1"/>
  <c r="BC143"/>
  <c r="AQ140"/>
  <c r="AQ107" s="1"/>
  <c r="AQ13" s="1"/>
  <c r="AS140"/>
  <c r="AS107" s="1"/>
  <c r="AS13" s="1"/>
  <c r="AU140"/>
  <c r="BE193"/>
  <c r="BE164" s="1"/>
  <c r="BC201"/>
  <c r="BD201" s="1"/>
  <c r="BD177" s="1"/>
  <c r="AY26"/>
  <c r="AP36"/>
  <c r="AV35"/>
  <c r="AV25" s="1"/>
  <c r="AV21" s="1"/>
  <c r="AV15" s="1"/>
  <c r="AP37"/>
  <c r="AP24" s="1"/>
  <c r="AP20" s="1"/>
  <c r="AP14" s="1"/>
  <c r="BE14" s="1"/>
  <c r="BD50"/>
  <c r="BD48" s="1"/>
  <c r="BD20" s="1"/>
  <c r="BD14" s="1"/>
  <c r="BC48"/>
  <c r="BC20" s="1"/>
  <c r="BC14" s="1"/>
  <c r="BD64"/>
  <c r="BD61" s="1"/>
  <c r="BC61"/>
  <c r="AW155"/>
  <c r="AW154" s="1"/>
  <c r="AW153" s="1"/>
  <c r="AX154"/>
  <c r="AX153" s="1"/>
  <c r="AW189"/>
  <c r="AW188" s="1"/>
  <c r="AW187" s="1"/>
  <c r="AW177" s="1"/>
  <c r="AP189"/>
  <c r="AP188" s="1"/>
  <c r="AP187" s="1"/>
  <c r="AP177" s="1"/>
  <c r="AX188"/>
  <c r="AX187" s="1"/>
  <c r="BC22"/>
  <c r="BC18" s="1"/>
  <c r="BC101"/>
  <c r="AQ105"/>
  <c r="BC114"/>
  <c r="BG107"/>
  <c r="BG13" s="1"/>
  <c r="AY140"/>
  <c r="AY107" s="1"/>
  <c r="BC167"/>
  <c r="AX177"/>
  <c r="U26"/>
  <c r="V49"/>
  <c r="V20" s="1"/>
  <c r="V48"/>
  <c r="X49"/>
  <c r="X20" s="1"/>
  <c r="X14" s="1"/>
  <c r="X48"/>
  <c r="AK58"/>
  <c r="AK55" s="1"/>
  <c r="AJ55"/>
  <c r="AK80"/>
  <c r="AK73" s="1"/>
  <c r="AJ73"/>
  <c r="AL80"/>
  <c r="R26"/>
  <c r="R25"/>
  <c r="R21" s="1"/>
  <c r="R15" s="1"/>
  <c r="AE26"/>
  <c r="AE25"/>
  <c r="AE21" s="1"/>
  <c r="AE15" s="1"/>
  <c r="J12"/>
  <c r="AK40"/>
  <c r="X12"/>
  <c r="AL43"/>
  <c r="AL22" s="1"/>
  <c r="AL18" s="1"/>
  <c r="Q22"/>
  <c r="Q18" s="1"/>
  <c r="AK51"/>
  <c r="AK49" s="1"/>
  <c r="AK20" s="1"/>
  <c r="AK14" s="1"/>
  <c r="AJ49"/>
  <c r="AJ20" s="1"/>
  <c r="AJ14" s="1"/>
  <c r="AM17"/>
  <c r="AM13"/>
  <c r="AM11" s="1"/>
  <c r="AL73"/>
  <c r="AL19" s="1"/>
  <c r="AL141"/>
  <c r="Q137"/>
  <c r="Q133" s="1"/>
  <c r="AJ203"/>
  <c r="P200"/>
  <c r="AJ102"/>
  <c r="Q114"/>
  <c r="Q73" s="1"/>
  <c r="AK126"/>
  <c r="AK123" s="1"/>
  <c r="AJ123"/>
  <c r="AJ141"/>
  <c r="P137"/>
  <c r="P133" s="1"/>
  <c r="P12" s="1"/>
  <c r="AJ178"/>
  <c r="P175"/>
  <c r="AL203"/>
  <c r="AL200" s="1"/>
  <c r="Q200"/>
  <c r="P208"/>
  <c r="AJ230"/>
  <c r="V251"/>
  <c r="V209"/>
  <c r="V135" s="1"/>
  <c r="V132" s="1"/>
  <c r="Q37"/>
  <c r="M48"/>
  <c r="O48"/>
  <c r="O19" s="1"/>
  <c r="S48"/>
  <c r="Q65"/>
  <c r="Z175"/>
  <c r="AB175"/>
  <c r="AB134" s="1"/>
  <c r="AB132" s="1"/>
  <c r="AD175"/>
  <c r="AD134" s="1"/>
  <c r="Q123"/>
  <c r="Q175"/>
  <c r="Q134" i="6"/>
  <c r="Q141"/>
  <c r="T141"/>
  <c r="Q158"/>
  <c r="T158"/>
  <c r="T37"/>
  <c r="U331"/>
  <c r="U280" s="1"/>
  <c r="AB331"/>
  <c r="AB280" s="1"/>
  <c r="T333"/>
  <c r="T334"/>
  <c r="T332"/>
  <c r="Q328"/>
  <c r="T328"/>
  <c r="T327" s="1"/>
  <c r="Z328"/>
  <c r="Z297"/>
  <c r="U294"/>
  <c r="V294"/>
  <c r="W294"/>
  <c r="X294"/>
  <c r="Y294"/>
  <c r="AA294"/>
  <c r="Z296"/>
  <c r="AB294"/>
  <c r="Q296"/>
  <c r="T296"/>
  <c r="Z235"/>
  <c r="Z233" s="1"/>
  <c r="Q235"/>
  <c r="Q233" s="1"/>
  <c r="T235"/>
  <c r="Q209"/>
  <c r="T209"/>
  <c r="Q187"/>
  <c r="T187"/>
  <c r="T186" s="1"/>
  <c r="T185" s="1"/>
  <c r="Q137"/>
  <c r="T137"/>
  <c r="T133" s="1"/>
  <c r="R137"/>
  <c r="R133" s="1"/>
  <c r="S137"/>
  <c r="S133" s="1"/>
  <c r="U137"/>
  <c r="U133" s="1"/>
  <c r="Q123"/>
  <c r="Q122" s="1"/>
  <c r="T123"/>
  <c r="Q111"/>
  <c r="Q110" s="1"/>
  <c r="T111"/>
  <c r="T110" s="1"/>
  <c r="U110"/>
  <c r="S110"/>
  <c r="R110"/>
  <c r="Q108"/>
  <c r="Q107" s="1"/>
  <c r="T108"/>
  <c r="T107" s="1"/>
  <c r="R107"/>
  <c r="S107"/>
  <c r="U107"/>
  <c r="T101"/>
  <c r="T100" s="1"/>
  <c r="AC100"/>
  <c r="AD100"/>
  <c r="AE100"/>
  <c r="AF100"/>
  <c r="AG100"/>
  <c r="Z58"/>
  <c r="R56"/>
  <c r="S56"/>
  <c r="AE58"/>
  <c r="V56"/>
  <c r="W56"/>
  <c r="X56"/>
  <c r="Y56"/>
  <c r="AA56"/>
  <c r="AA53" s="1"/>
  <c r="AB56"/>
  <c r="AB53" s="1"/>
  <c r="AC56"/>
  <c r="AC53" s="1"/>
  <c r="AD56"/>
  <c r="AD53" s="1"/>
  <c r="Q58"/>
  <c r="Q57" s="1"/>
  <c r="T58"/>
  <c r="U56"/>
  <c r="U53" s="1"/>
  <c r="U37"/>
  <c r="E20" i="17"/>
  <c r="O20" s="1"/>
  <c r="N20" s="1"/>
  <c r="E17"/>
  <c r="N17" s="1"/>
  <c r="E21" i="8"/>
  <c r="O21" s="1"/>
  <c r="N21" s="1"/>
  <c r="E18"/>
  <c r="AB293" i="6" l="1"/>
  <c r="AA293"/>
  <c r="X293"/>
  <c r="V293"/>
  <c r="Y293"/>
  <c r="W293"/>
  <c r="U293"/>
  <c r="BA107" i="18"/>
  <c r="AI17"/>
  <c r="AI13"/>
  <c r="AI11" s="1"/>
  <c r="Z19"/>
  <c r="Z17" s="1"/>
  <c r="S19"/>
  <c r="AP140"/>
  <c r="BE17"/>
  <c r="AG19"/>
  <c r="R19"/>
  <c r="V19"/>
  <c r="Z137"/>
  <c r="Z133" s="1"/>
  <c r="Z12" s="1"/>
  <c r="AL134"/>
  <c r="L12"/>
  <c r="T208"/>
  <c r="T134" s="1"/>
  <c r="R134"/>
  <c r="AF14"/>
  <c r="AC73"/>
  <c r="AC19" s="1"/>
  <c r="AC17" s="1"/>
  <c r="T331" i="6"/>
  <c r="T280" s="1"/>
  <c r="N132" i="18"/>
  <c r="N13"/>
  <c r="N11" s="1"/>
  <c r="AG17"/>
  <c r="AG13"/>
  <c r="AG11" s="1"/>
  <c r="R13"/>
  <c r="BA13"/>
  <c r="AH13"/>
  <c r="AH11" s="1"/>
  <c r="Q134"/>
  <c r="AH17"/>
  <c r="AN17"/>
  <c r="AJ22"/>
  <c r="AJ18" s="1"/>
  <c r="BK105"/>
  <c r="BP105"/>
  <c r="AU12"/>
  <c r="Y14"/>
  <c r="Z208"/>
  <c r="Z134" s="1"/>
  <c r="O132"/>
  <c r="W14"/>
  <c r="AJ114"/>
  <c r="M19"/>
  <c r="M17" s="1"/>
  <c r="Z209"/>
  <c r="Z135" s="1"/>
  <c r="Z14" s="1"/>
  <c r="AK22"/>
  <c r="AK18" s="1"/>
  <c r="AJ65"/>
  <c r="AJ19" s="1"/>
  <c r="X19"/>
  <c r="AS105"/>
  <c r="BN11"/>
  <c r="BP11"/>
  <c r="BF107"/>
  <c r="BF13" s="1"/>
  <c r="BF11" s="1"/>
  <c r="AL145"/>
  <c r="AL137" s="1"/>
  <c r="AL133" s="1"/>
  <c r="AL132" s="1"/>
  <c r="AF17"/>
  <c r="AU107"/>
  <c r="AU13" s="1"/>
  <c r="BK11"/>
  <c r="AG132"/>
  <c r="T251"/>
  <c r="AD19"/>
  <c r="AD17" s="1"/>
  <c r="I28"/>
  <c r="R22"/>
  <c r="R18" s="1"/>
  <c r="X53" i="6"/>
  <c r="V53"/>
  <c r="V54"/>
  <c r="S53"/>
  <c r="S54"/>
  <c r="Y53"/>
  <c r="W54"/>
  <c r="W53"/>
  <c r="R53"/>
  <c r="R54"/>
  <c r="Q56"/>
  <c r="Q53" s="1"/>
  <c r="Z57"/>
  <c r="Z56" s="1"/>
  <c r="Z53" s="1"/>
  <c r="T57"/>
  <c r="T56" s="1"/>
  <c r="T53" s="1"/>
  <c r="AE57"/>
  <c r="AE56" s="1"/>
  <c r="AW17" i="18"/>
  <c r="AY13"/>
  <c r="R137"/>
  <c r="R133" s="1"/>
  <c r="P19"/>
  <c r="P17" s="1"/>
  <c r="Q256"/>
  <c r="AT22"/>
  <c r="AT18" s="1"/>
  <c r="AT12" s="1"/>
  <c r="AT26"/>
  <c r="AF13"/>
  <c r="AE13"/>
  <c r="AA209"/>
  <c r="AA135" s="1"/>
  <c r="AA251"/>
  <c r="L19"/>
  <c r="J73"/>
  <c r="J19" s="1"/>
  <c r="J17" s="1"/>
  <c r="AT105"/>
  <c r="AR26"/>
  <c r="AR22"/>
  <c r="AR18" s="1"/>
  <c r="AR12" s="1"/>
  <c r="S209"/>
  <c r="S135" s="1"/>
  <c r="S14" s="1"/>
  <c r="S251"/>
  <c r="AE132"/>
  <c r="R132"/>
  <c r="Y17"/>
  <c r="Y13"/>
  <c r="U17"/>
  <c r="U13"/>
  <c r="T13"/>
  <c r="T17"/>
  <c r="W13"/>
  <c r="W17"/>
  <c r="AA13"/>
  <c r="AA17"/>
  <c r="U132"/>
  <c r="U12"/>
  <c r="AN132"/>
  <c r="AN12"/>
  <c r="AN11" s="1"/>
  <c r="Q19"/>
  <c r="Q13" s="1"/>
  <c r="BB13"/>
  <c r="BL11"/>
  <c r="AV107"/>
  <c r="AV105" s="1"/>
  <c r="J132"/>
  <c r="AF132"/>
  <c r="AF12"/>
  <c r="T132"/>
  <c r="T12"/>
  <c r="Y132"/>
  <c r="Y12"/>
  <c r="AP110"/>
  <c r="AP106" s="1"/>
  <c r="W132"/>
  <c r="W12"/>
  <c r="AP107"/>
  <c r="BE110"/>
  <c r="BE106" s="1"/>
  <c r="AR107"/>
  <c r="AR105" s="1"/>
  <c r="BD101"/>
  <c r="BD98" s="1"/>
  <c r="BC98"/>
  <c r="AY17"/>
  <c r="AY12"/>
  <c r="AY11" s="1"/>
  <c r="BA26"/>
  <c r="BA22"/>
  <c r="BA18" s="1"/>
  <c r="AS26"/>
  <c r="AS22"/>
  <c r="AS18" s="1"/>
  <c r="AV12"/>
  <c r="AP22"/>
  <c r="AP18" s="1"/>
  <c r="BA105"/>
  <c r="AX19"/>
  <c r="AT19"/>
  <c r="AP19"/>
  <c r="AP13" s="1"/>
  <c r="BB11"/>
  <c r="AX140"/>
  <c r="AX107" s="1"/>
  <c r="AX105" s="1"/>
  <c r="AW140"/>
  <c r="AW107" s="1"/>
  <c r="BB17"/>
  <c r="BE177"/>
  <c r="BE107" s="1"/>
  <c r="BE105" s="1"/>
  <c r="BD167"/>
  <c r="BD164" s="1"/>
  <c r="BC164"/>
  <c r="BD114"/>
  <c r="BD110" s="1"/>
  <c r="BD106" s="1"/>
  <c r="BC110"/>
  <c r="BC106" s="1"/>
  <c r="AP35"/>
  <c r="AP25" s="1"/>
  <c r="AP21" s="1"/>
  <c r="AP15" s="1"/>
  <c r="BE15" s="1"/>
  <c r="BC140"/>
  <c r="BD143"/>
  <c r="BD140" s="1"/>
  <c r="BG105"/>
  <c r="BG12"/>
  <c r="BG11" s="1"/>
  <c r="BC52"/>
  <c r="BD58"/>
  <c r="BD52" s="1"/>
  <c r="AQ26"/>
  <c r="AQ22"/>
  <c r="AQ18" s="1"/>
  <c r="AZ26"/>
  <c r="AZ22"/>
  <c r="AZ18" s="1"/>
  <c r="AU17"/>
  <c r="AU15"/>
  <c r="AU11" s="1"/>
  <c r="AY105"/>
  <c r="AZ19"/>
  <c r="AZ13" s="1"/>
  <c r="AV19"/>
  <c r="AR19"/>
  <c r="BC177"/>
  <c r="AV26"/>
  <c r="S17"/>
  <c r="S13"/>
  <c r="M13"/>
  <c r="M11" s="1"/>
  <c r="AK230"/>
  <c r="AK208" s="1"/>
  <c r="AJ208"/>
  <c r="Q12"/>
  <c r="P134"/>
  <c r="P13" s="1"/>
  <c r="AL13" s="1"/>
  <c r="AD132"/>
  <c r="AE17"/>
  <c r="AK19"/>
  <c r="AK17" s="1"/>
  <c r="AB13"/>
  <c r="AB11" s="1"/>
  <c r="V14"/>
  <c r="O17"/>
  <c r="O13"/>
  <c r="O11" s="1"/>
  <c r="Q26"/>
  <c r="AJ26" s="1"/>
  <c r="AK26" s="1"/>
  <c r="Q24"/>
  <c r="Q20" s="1"/>
  <c r="AK178"/>
  <c r="AK175" s="1"/>
  <c r="AJ175"/>
  <c r="AK141"/>
  <c r="AK137" s="1"/>
  <c r="AK133" s="1"/>
  <c r="AK12" s="1"/>
  <c r="AJ137"/>
  <c r="AJ133" s="1"/>
  <c r="AJ200"/>
  <c r="AK203"/>
  <c r="AK200" s="1"/>
  <c r="V13"/>
  <c r="V17"/>
  <c r="AL17"/>
  <c r="R17"/>
  <c r="AE11"/>
  <c r="Q133" i="6"/>
  <c r="Q99"/>
  <c r="AA334"/>
  <c r="Z334" s="1"/>
  <c r="AF208"/>
  <c r="AE208"/>
  <c r="AD208"/>
  <c r="AC208"/>
  <c r="AB208"/>
  <c r="AA208"/>
  <c r="Y208"/>
  <c r="X208"/>
  <c r="W208"/>
  <c r="V208"/>
  <c r="U208"/>
  <c r="T208"/>
  <c r="S208"/>
  <c r="R208"/>
  <c r="Q208"/>
  <c r="Z209"/>
  <c r="Z208" s="1"/>
  <c r="AC13" i="18" l="1"/>
  <c r="AC11" s="1"/>
  <c r="S132"/>
  <c r="BD19"/>
  <c r="BD107"/>
  <c r="J13"/>
  <c r="J11" s="1"/>
  <c r="R12"/>
  <c r="R11" s="1"/>
  <c r="AD13"/>
  <c r="AD11" s="1"/>
  <c r="AU105"/>
  <c r="Z132"/>
  <c r="Z13"/>
  <c r="Z11" s="1"/>
  <c r="AF11"/>
  <c r="BF105"/>
  <c r="AP105"/>
  <c r="X13"/>
  <c r="X11" s="1"/>
  <c r="X17"/>
  <c r="BC19"/>
  <c r="BC17" s="1"/>
  <c r="AV13"/>
  <c r="V11"/>
  <c r="Q209"/>
  <c r="Q135" s="1"/>
  <c r="Q132" s="1"/>
  <c r="Q251"/>
  <c r="L13"/>
  <c r="L11" s="1"/>
  <c r="L17"/>
  <c r="AA14"/>
  <c r="AA11" s="1"/>
  <c r="AA132"/>
  <c r="S11"/>
  <c r="AJ134"/>
  <c r="AJ132" s="1"/>
  <c r="W11"/>
  <c r="T11"/>
  <c r="U11"/>
  <c r="Y11"/>
  <c r="P11"/>
  <c r="AR13"/>
  <c r="AR11" s="1"/>
  <c r="AR17"/>
  <c r="AZ17"/>
  <c r="AZ12"/>
  <c r="AZ11" s="1"/>
  <c r="AQ17"/>
  <c r="AQ12"/>
  <c r="AQ11" s="1"/>
  <c r="BD13"/>
  <c r="BD17"/>
  <c r="AW13"/>
  <c r="AW11" s="1"/>
  <c r="AW105"/>
  <c r="AX13"/>
  <c r="AX11" s="1"/>
  <c r="AX17"/>
  <c r="BE13"/>
  <c r="AP26"/>
  <c r="AV17"/>
  <c r="BD105"/>
  <c r="BD12"/>
  <c r="BD11" s="1"/>
  <c r="AT13"/>
  <c r="AT11" s="1"/>
  <c r="AT17"/>
  <c r="AP17"/>
  <c r="AP12"/>
  <c r="AS17"/>
  <c r="AS12"/>
  <c r="AS11" s="1"/>
  <c r="BA17"/>
  <c r="BA12"/>
  <c r="BA11" s="1"/>
  <c r="BC107"/>
  <c r="BC105" s="1"/>
  <c r="AV11"/>
  <c r="BC12"/>
  <c r="AL12"/>
  <c r="AJ12"/>
  <c r="AK134"/>
  <c r="AK13" s="1"/>
  <c r="AK11" s="1"/>
  <c r="AJ17"/>
  <c r="Q17"/>
  <c r="P132"/>
  <c r="AA332" i="6"/>
  <c r="Z332" s="1"/>
  <c r="Z188"/>
  <c r="Z186" s="1"/>
  <c r="Z185" s="1"/>
  <c r="Z128"/>
  <c r="Z127" s="1"/>
  <c r="Z126" s="1"/>
  <c r="R123"/>
  <c r="R122"/>
  <c r="R268"/>
  <c r="S268"/>
  <c r="T268"/>
  <c r="U268"/>
  <c r="V268"/>
  <c r="W268"/>
  <c r="X268"/>
  <c r="Y268"/>
  <c r="Z268"/>
  <c r="AA268"/>
  <c r="AB268"/>
  <c r="AC268"/>
  <c r="AD268"/>
  <c r="AE268"/>
  <c r="AF268"/>
  <c r="AG268"/>
  <c r="AH268"/>
  <c r="AI268"/>
  <c r="Q268"/>
  <c r="R312"/>
  <c r="R213"/>
  <c r="R211" s="1"/>
  <c r="R210" s="1"/>
  <c r="R191"/>
  <c r="R190" s="1"/>
  <c r="R188"/>
  <c r="R186" s="1"/>
  <c r="R185" s="1"/>
  <c r="AI140"/>
  <c r="AH140"/>
  <c r="AG140"/>
  <c r="AF140"/>
  <c r="AE140"/>
  <c r="AD140"/>
  <c r="AC140"/>
  <c r="AB140"/>
  <c r="AA140"/>
  <c r="Y140"/>
  <c r="X140"/>
  <c r="W140"/>
  <c r="V140"/>
  <c r="U140"/>
  <c r="T140"/>
  <c r="S140"/>
  <c r="Q140"/>
  <c r="R141"/>
  <c r="R140" s="1"/>
  <c r="R128"/>
  <c r="R127" s="1"/>
  <c r="R126" s="1"/>
  <c r="R131"/>
  <c r="R130" s="1"/>
  <c r="R129" s="1"/>
  <c r="S334"/>
  <c r="Q334" s="1"/>
  <c r="S332"/>
  <c r="Q332" s="1"/>
  <c r="V331"/>
  <c r="V280" s="1"/>
  <c r="W331"/>
  <c r="W280" s="1"/>
  <c r="X331"/>
  <c r="X280" s="1"/>
  <c r="Y331"/>
  <c r="AC331"/>
  <c r="AC280" s="1"/>
  <c r="AD331"/>
  <c r="AE331"/>
  <c r="AF331"/>
  <c r="AF280" s="1"/>
  <c r="AG331"/>
  <c r="AG280" s="1"/>
  <c r="AH331"/>
  <c r="AH280" s="1"/>
  <c r="AI331"/>
  <c r="AI280" s="1"/>
  <c r="AF326"/>
  <c r="R297"/>
  <c r="AC294"/>
  <c r="AD294"/>
  <c r="AE294"/>
  <c r="AF294"/>
  <c r="AG294"/>
  <c r="AH294"/>
  <c r="AI294"/>
  <c r="R294"/>
  <c r="S294"/>
  <c r="U211"/>
  <c r="U210" s="1"/>
  <c r="V211"/>
  <c r="V210" s="1"/>
  <c r="W211"/>
  <c r="W210" s="1"/>
  <c r="Y211"/>
  <c r="Y210" s="1"/>
  <c r="AA211"/>
  <c r="AA210" s="1"/>
  <c r="AB211"/>
  <c r="AB210" s="1"/>
  <c r="AC211"/>
  <c r="AC210" s="1"/>
  <c r="AD211"/>
  <c r="AD210" s="1"/>
  <c r="AE211"/>
  <c r="AE210" s="1"/>
  <c r="AF211"/>
  <c r="AF210" s="1"/>
  <c r="S211"/>
  <c r="S210" s="1"/>
  <c r="Q188"/>
  <c r="Q186" s="1"/>
  <c r="Q185" s="1"/>
  <c r="Q191"/>
  <c r="Q190" s="1"/>
  <c r="Q189" s="1"/>
  <c r="S190"/>
  <c r="T190"/>
  <c r="U190"/>
  <c r="V190"/>
  <c r="W190"/>
  <c r="X190"/>
  <c r="Y190"/>
  <c r="AA190"/>
  <c r="AB190"/>
  <c r="AC190"/>
  <c r="AD190"/>
  <c r="AE190"/>
  <c r="AF190"/>
  <c r="AG190"/>
  <c r="AH190"/>
  <c r="AI190"/>
  <c r="Z191"/>
  <c r="Z190" s="1"/>
  <c r="AE186"/>
  <c r="AF186"/>
  <c r="Q128"/>
  <c r="Q127" s="1"/>
  <c r="Q126" s="1"/>
  <c r="AA127"/>
  <c r="Y127"/>
  <c r="Y126" s="1"/>
  <c r="X127"/>
  <c r="X126" s="1"/>
  <c r="W127"/>
  <c r="W126" s="1"/>
  <c r="V127"/>
  <c r="V126" s="1"/>
  <c r="U127"/>
  <c r="U126" s="1"/>
  <c r="T127"/>
  <c r="T126" s="1"/>
  <c r="S127"/>
  <c r="S126" s="1"/>
  <c r="AA126"/>
  <c r="AB130"/>
  <c r="AC130"/>
  <c r="AD130"/>
  <c r="AE130"/>
  <c r="AF130"/>
  <c r="S130"/>
  <c r="S129" s="1"/>
  <c r="T130"/>
  <c r="T129" s="1"/>
  <c r="U130"/>
  <c r="U129" s="1"/>
  <c r="V130"/>
  <c r="V129" s="1"/>
  <c r="W130"/>
  <c r="W129" s="1"/>
  <c r="X130"/>
  <c r="X129" s="1"/>
  <c r="Y130"/>
  <c r="Y129" s="1"/>
  <c r="Z130"/>
  <c r="Z129" s="1"/>
  <c r="AA130"/>
  <c r="AA129" s="1"/>
  <c r="Q130"/>
  <c r="Q129" s="1"/>
  <c r="N34" i="17"/>
  <c r="D34"/>
  <c r="D33"/>
  <c r="D32"/>
  <c r="D31"/>
  <c r="D30"/>
  <c r="D28"/>
  <c r="L27"/>
  <c r="K27"/>
  <c r="J27"/>
  <c r="I27"/>
  <c r="H27"/>
  <c r="G27"/>
  <c r="F27"/>
  <c r="D27" s="1"/>
  <c r="E27"/>
  <c r="C27"/>
  <c r="D26"/>
  <c r="D25"/>
  <c r="D24"/>
  <c r="D23"/>
  <c r="D22"/>
  <c r="D21"/>
  <c r="D20"/>
  <c r="L19"/>
  <c r="K19"/>
  <c r="J19"/>
  <c r="I19"/>
  <c r="H19"/>
  <c r="G19"/>
  <c r="F19"/>
  <c r="E19"/>
  <c r="C19"/>
  <c r="D18"/>
  <c r="O17"/>
  <c r="D17"/>
  <c r="L16"/>
  <c r="J16" s="1"/>
  <c r="H16" s="1"/>
  <c r="F16" s="1"/>
  <c r="D16" s="1"/>
  <c r="K16"/>
  <c r="I16" s="1"/>
  <c r="G16" s="1"/>
  <c r="E16" s="1"/>
  <c r="C16" s="1"/>
  <c r="L15"/>
  <c r="J15" s="1"/>
  <c r="H15" s="1"/>
  <c r="D15" s="1"/>
  <c r="K15"/>
  <c r="I15" s="1"/>
  <c r="G15" s="1"/>
  <c r="C15" s="1"/>
  <c r="L14"/>
  <c r="J14" s="1"/>
  <c r="H14" s="1"/>
  <c r="F14" s="1"/>
  <c r="D14" s="1"/>
  <c r="K14"/>
  <c r="I14" s="1"/>
  <c r="G14" s="1"/>
  <c r="E14" s="1"/>
  <c r="C14" s="1"/>
  <c r="L13"/>
  <c r="L12" s="1"/>
  <c r="L11" s="1"/>
  <c r="K13"/>
  <c r="I13" s="1"/>
  <c r="J13"/>
  <c r="H13" s="1"/>
  <c r="K12"/>
  <c r="K11" s="1"/>
  <c r="D7"/>
  <c r="P326" i="6"/>
  <c r="P310"/>
  <c r="P293"/>
  <c r="P193"/>
  <c r="P185"/>
  <c r="M193"/>
  <c r="N193"/>
  <c r="O193"/>
  <c r="M189"/>
  <c r="N189"/>
  <c r="O189"/>
  <c r="M185"/>
  <c r="N185"/>
  <c r="O185"/>
  <c r="M129"/>
  <c r="N129"/>
  <c r="O129"/>
  <c r="M326"/>
  <c r="N326"/>
  <c r="O326"/>
  <c r="M315"/>
  <c r="N315"/>
  <c r="O315"/>
  <c r="P315"/>
  <c r="M306"/>
  <c r="N306"/>
  <c r="O306"/>
  <c r="P306"/>
  <c r="M310"/>
  <c r="N310"/>
  <c r="O310"/>
  <c r="M285"/>
  <c r="N285"/>
  <c r="O285"/>
  <c r="P285"/>
  <c r="M139"/>
  <c r="N139"/>
  <c r="O139"/>
  <c r="P139"/>
  <c r="M133"/>
  <c r="N133"/>
  <c r="O133"/>
  <c r="M121"/>
  <c r="N121"/>
  <c r="O121"/>
  <c r="P121"/>
  <c r="M115"/>
  <c r="N115"/>
  <c r="O115"/>
  <c r="M109"/>
  <c r="N109"/>
  <c r="O109"/>
  <c r="P109"/>
  <c r="M106"/>
  <c r="N106"/>
  <c r="O106"/>
  <c r="M95"/>
  <c r="N95"/>
  <c r="O95"/>
  <c r="P95"/>
  <c r="M99"/>
  <c r="N99"/>
  <c r="O99"/>
  <c r="M42"/>
  <c r="N42"/>
  <c r="O42"/>
  <c r="P42"/>
  <c r="M39"/>
  <c r="M21" s="1"/>
  <c r="N39"/>
  <c r="N21" s="1"/>
  <c r="O39"/>
  <c r="O21" s="1"/>
  <c r="P39"/>
  <c r="P21" s="1"/>
  <c r="L39"/>
  <c r="AC237" i="16"/>
  <c r="AC234" s="1"/>
  <c r="AC233" s="1"/>
  <c r="AB237"/>
  <c r="Z237"/>
  <c r="W237"/>
  <c r="P237"/>
  <c r="Z236"/>
  <c r="Z235"/>
  <c r="R235"/>
  <c r="Q235"/>
  <c r="P235"/>
  <c r="AD234"/>
  <c r="AB234"/>
  <c r="AA234"/>
  <c r="AA233" s="1"/>
  <c r="Y234"/>
  <c r="Y233" s="1"/>
  <c r="X234"/>
  <c r="U234"/>
  <c r="U233" s="1"/>
  <c r="T234"/>
  <c r="T233" s="1"/>
  <c r="S234"/>
  <c r="R234"/>
  <c r="J234"/>
  <c r="AN233"/>
  <c r="AM233"/>
  <c r="AK233"/>
  <c r="AJ233"/>
  <c r="AI233"/>
  <c r="AH233"/>
  <c r="AG233"/>
  <c r="AF233"/>
  <c r="AE233"/>
  <c r="AD233"/>
  <c r="AB233"/>
  <c r="X233"/>
  <c r="S233"/>
  <c r="R233"/>
  <c r="O233"/>
  <c r="N233"/>
  <c r="P233" s="1"/>
  <c r="M233"/>
  <c r="L233"/>
  <c r="J233" s="1"/>
  <c r="J232"/>
  <c r="R231"/>
  <c r="P231" s="1"/>
  <c r="Q231"/>
  <c r="AN230"/>
  <c r="AM230"/>
  <c r="AL230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J230" s="1"/>
  <c r="P229"/>
  <c r="J229"/>
  <c r="Q228"/>
  <c r="Z227"/>
  <c r="R227"/>
  <c r="Q227"/>
  <c r="Q226"/>
  <c r="R225"/>
  <c r="Q225"/>
  <c r="P225"/>
  <c r="AI224"/>
  <c r="AH224"/>
  <c r="AG224"/>
  <c r="AF224"/>
  <c r="AE224"/>
  <c r="AD224"/>
  <c r="AC224"/>
  <c r="AB224"/>
  <c r="AA224"/>
  <c r="Z224"/>
  <c r="Y224"/>
  <c r="W224"/>
  <c r="W223" s="1"/>
  <c r="V224"/>
  <c r="U224"/>
  <c r="U223" s="1"/>
  <c r="T224"/>
  <c r="S224"/>
  <c r="S223" s="1"/>
  <c r="R224"/>
  <c r="R223" s="1"/>
  <c r="J224"/>
  <c r="AN223"/>
  <c r="AM223"/>
  <c r="AI223"/>
  <c r="AH223"/>
  <c r="AG223"/>
  <c r="AF223"/>
  <c r="AE223"/>
  <c r="AD223"/>
  <c r="AC223"/>
  <c r="AB223"/>
  <c r="AA223"/>
  <c r="Z223"/>
  <c r="Y223"/>
  <c r="X223"/>
  <c r="V223"/>
  <c r="T223"/>
  <c r="O223"/>
  <c r="N223"/>
  <c r="P223" s="1"/>
  <c r="M223"/>
  <c r="L223"/>
  <c r="J223" s="1"/>
  <c r="P222"/>
  <c r="J222"/>
  <c r="AB221"/>
  <c r="Z221" s="1"/>
  <c r="Z219" s="1"/>
  <c r="Z218" s="1"/>
  <c r="U221"/>
  <c r="T221" s="1"/>
  <c r="AE220"/>
  <c r="AE219" s="1"/>
  <c r="AE218" s="1"/>
  <c r="Q220"/>
  <c r="AI219"/>
  <c r="AI218" s="1"/>
  <c r="AH219"/>
  <c r="AG219"/>
  <c r="AF219"/>
  <c r="AF218" s="1"/>
  <c r="AD219"/>
  <c r="AC219"/>
  <c r="AB219"/>
  <c r="AB218" s="1"/>
  <c r="AA219"/>
  <c r="AA218" s="1"/>
  <c r="Y219"/>
  <c r="W219"/>
  <c r="W218" s="1"/>
  <c r="V219"/>
  <c r="V218" s="1"/>
  <c r="S219"/>
  <c r="S218" s="1"/>
  <c r="R219"/>
  <c r="P219"/>
  <c r="AN218"/>
  <c r="AM218"/>
  <c r="AH218"/>
  <c r="AG218"/>
  <c r="AD218"/>
  <c r="AC218"/>
  <c r="Y218"/>
  <c r="X218"/>
  <c r="R218"/>
  <c r="O218"/>
  <c r="N218"/>
  <c r="P218" s="1"/>
  <c r="M218"/>
  <c r="L218"/>
  <c r="J218" s="1"/>
  <c r="J217"/>
  <c r="AE216"/>
  <c r="AE215" s="1"/>
  <c r="AE214" s="1"/>
  <c r="Q216"/>
  <c r="Q215" s="1"/>
  <c r="P216"/>
  <c r="AI215"/>
  <c r="AH215"/>
  <c r="AH214" s="1"/>
  <c r="AG215"/>
  <c r="AF215"/>
  <c r="Y215"/>
  <c r="W215"/>
  <c r="W214" s="1"/>
  <c r="V215"/>
  <c r="U215"/>
  <c r="T215"/>
  <c r="T214" s="1"/>
  <c r="S215"/>
  <c r="S214" s="1"/>
  <c r="R215"/>
  <c r="P215"/>
  <c r="J215"/>
  <c r="AN214"/>
  <c r="AM214"/>
  <c r="AI214"/>
  <c r="AG214"/>
  <c r="AF214"/>
  <c r="AD214"/>
  <c r="AC214"/>
  <c r="AB214"/>
  <c r="AA214"/>
  <c r="Z214"/>
  <c r="Y214"/>
  <c r="X214"/>
  <c r="V214"/>
  <c r="U214"/>
  <c r="R214"/>
  <c r="Q214"/>
  <c r="O214"/>
  <c r="N214"/>
  <c r="P214" s="1"/>
  <c r="M214"/>
  <c r="L214"/>
  <c r="J214" s="1"/>
  <c r="P212"/>
  <c r="AJ212" s="1"/>
  <c r="AK212" s="1"/>
  <c r="O212"/>
  <c r="N212"/>
  <c r="M212"/>
  <c r="L212"/>
  <c r="Z209"/>
  <c r="Q209"/>
  <c r="Z208"/>
  <c r="T208"/>
  <c r="T207" s="1"/>
  <c r="T206" s="1"/>
  <c r="Q208"/>
  <c r="AD207"/>
  <c r="AD206" s="1"/>
  <c r="AC207"/>
  <c r="AB207"/>
  <c r="AB206" s="1"/>
  <c r="AA207"/>
  <c r="Z207"/>
  <c r="Z206" s="1"/>
  <c r="Y207"/>
  <c r="Y206" s="1"/>
  <c r="X207"/>
  <c r="X206" s="1"/>
  <c r="W207"/>
  <c r="W206" s="1"/>
  <c r="V207"/>
  <c r="V206" s="1"/>
  <c r="U207"/>
  <c r="U206" s="1"/>
  <c r="S207"/>
  <c r="R207"/>
  <c r="AC206"/>
  <c r="N206"/>
  <c r="P206" s="1"/>
  <c r="M206"/>
  <c r="L206"/>
  <c r="J206" s="1"/>
  <c r="AE205"/>
  <c r="AE204" s="1"/>
  <c r="AE203" s="1"/>
  <c r="Z205"/>
  <c r="V205"/>
  <c r="T205"/>
  <c r="T204" s="1"/>
  <c r="T203" s="1"/>
  <c r="R205"/>
  <c r="R204" s="1"/>
  <c r="R203" s="1"/>
  <c r="Q205"/>
  <c r="P205" s="1"/>
  <c r="AN204"/>
  <c r="AN203" s="1"/>
  <c r="AM204"/>
  <c r="AM203" s="1"/>
  <c r="AL204"/>
  <c r="AL203" s="1"/>
  <c r="AK204"/>
  <c r="AK203" s="1"/>
  <c r="AJ204"/>
  <c r="AJ203" s="1"/>
  <c r="AI204"/>
  <c r="AH204"/>
  <c r="AH203" s="1"/>
  <c r="AG204"/>
  <c r="AF204"/>
  <c r="AF203" s="1"/>
  <c r="AD204"/>
  <c r="AD203" s="1"/>
  <c r="AC204"/>
  <c r="AC203" s="1"/>
  <c r="AB204"/>
  <c r="AB203" s="1"/>
  <c r="AA204"/>
  <c r="Z204"/>
  <c r="Z203" s="1"/>
  <c r="Y204"/>
  <c r="Y203" s="1"/>
  <c r="W204"/>
  <c r="W203" s="1"/>
  <c r="V204"/>
  <c r="U204"/>
  <c r="U203" s="1"/>
  <c r="S204"/>
  <c r="S203" s="1"/>
  <c r="Q204"/>
  <c r="Q203" s="1"/>
  <c r="AI203"/>
  <c r="AG203"/>
  <c r="AA203"/>
  <c r="X203"/>
  <c r="V203"/>
  <c r="P203"/>
  <c r="M203"/>
  <c r="L203"/>
  <c r="J203" s="1"/>
  <c r="P202"/>
  <c r="Z201"/>
  <c r="X201"/>
  <c r="V201"/>
  <c r="V199" s="1"/>
  <c r="V198" s="1"/>
  <c r="Q201"/>
  <c r="Z200"/>
  <c r="Z199" s="1"/>
  <c r="Z198" s="1"/>
  <c r="U200"/>
  <c r="T200"/>
  <c r="T199" s="1"/>
  <c r="T198" s="1"/>
  <c r="Q200"/>
  <c r="P200" s="1"/>
  <c r="AD199"/>
  <c r="AC199"/>
  <c r="AC198" s="1"/>
  <c r="AB199"/>
  <c r="AB198" s="1"/>
  <c r="AA199"/>
  <c r="AA198" s="1"/>
  <c r="Y199"/>
  <c r="Y198" s="1"/>
  <c r="X199"/>
  <c r="X198" s="1"/>
  <c r="W199"/>
  <c r="W198" s="1"/>
  <c r="U199"/>
  <c r="U198" s="1"/>
  <c r="S199"/>
  <c r="S198" s="1"/>
  <c r="R199"/>
  <c r="R198" s="1"/>
  <c r="P199"/>
  <c r="AN198"/>
  <c r="AM198"/>
  <c r="AL198"/>
  <c r="AK198"/>
  <c r="AJ198"/>
  <c r="AI198"/>
  <c r="AH198"/>
  <c r="AG198"/>
  <c r="AF198"/>
  <c r="AE198"/>
  <c r="AD198"/>
  <c r="O198"/>
  <c r="N198"/>
  <c r="P198" s="1"/>
  <c r="M198"/>
  <c r="L198"/>
  <c r="P197"/>
  <c r="AN196"/>
  <c r="AM196"/>
  <c r="AL196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O193" s="1"/>
  <c r="N196"/>
  <c r="M196"/>
  <c r="L196"/>
  <c r="L195"/>
  <c r="AL194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AI193"/>
  <c r="K193"/>
  <c r="L192"/>
  <c r="Z190"/>
  <c r="Z189" s="1"/>
  <c r="Z188" s="1"/>
  <c r="Z185" s="1"/>
  <c r="R190"/>
  <c r="Q190"/>
  <c r="Q189" s="1"/>
  <c r="Q188" s="1"/>
  <c r="L190"/>
  <c r="AN189"/>
  <c r="AM189"/>
  <c r="AL189"/>
  <c r="AK189"/>
  <c r="AJ189"/>
  <c r="AF189"/>
  <c r="AF188" s="1"/>
  <c r="AF185" s="1"/>
  <c r="AE189"/>
  <c r="AE188" s="1"/>
  <c r="AD189"/>
  <c r="AD188" s="1"/>
  <c r="AD185" s="1"/>
  <c r="AC189"/>
  <c r="AC188" s="1"/>
  <c r="AC185" s="1"/>
  <c r="AB189"/>
  <c r="AB188" s="1"/>
  <c r="AB185" s="1"/>
  <c r="AA189"/>
  <c r="AA188" s="1"/>
  <c r="AA185" s="1"/>
  <c r="Y189"/>
  <c r="Y188" s="1"/>
  <c r="Y185" s="1"/>
  <c r="X189"/>
  <c r="X188" s="1"/>
  <c r="X185" s="1"/>
  <c r="W189"/>
  <c r="W188" s="1"/>
  <c r="W185" s="1"/>
  <c r="V189"/>
  <c r="V188" s="1"/>
  <c r="V185" s="1"/>
  <c r="U189"/>
  <c r="U188" s="1"/>
  <c r="U185" s="1"/>
  <c r="T189"/>
  <c r="T188" s="1"/>
  <c r="T185" s="1"/>
  <c r="S189"/>
  <c r="S188" s="1"/>
  <c r="S185" s="1"/>
  <c r="R189"/>
  <c r="R188" s="1"/>
  <c r="R185" s="1"/>
  <c r="P189"/>
  <c r="P188" s="1"/>
  <c r="O189"/>
  <c r="L189" s="1"/>
  <c r="L188" s="1"/>
  <c r="L185" s="1"/>
  <c r="AN188"/>
  <c r="AM188"/>
  <c r="AI188"/>
  <c r="AI185" s="1"/>
  <c r="AH188"/>
  <c r="AG188"/>
  <c r="AG185" s="1"/>
  <c r="N188"/>
  <c r="M188"/>
  <c r="M185" s="1"/>
  <c r="L187"/>
  <c r="L186"/>
  <c r="N185"/>
  <c r="K185"/>
  <c r="L184"/>
  <c r="AN182"/>
  <c r="AM182"/>
  <c r="AL182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AN180"/>
  <c r="AM180"/>
  <c r="AL180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Q179"/>
  <c r="Q178"/>
  <c r="Q177"/>
  <c r="Q176"/>
  <c r="AI175"/>
  <c r="AI174" s="1"/>
  <c r="AH175"/>
  <c r="AH174" s="1"/>
  <c r="AG175"/>
  <c r="AG174" s="1"/>
  <c r="AF175"/>
  <c r="AF174" s="1"/>
  <c r="AE175"/>
  <c r="AE174" s="1"/>
  <c r="AD175"/>
  <c r="AD174" s="1"/>
  <c r="AC175"/>
  <c r="AC174" s="1"/>
  <c r="AB175"/>
  <c r="AB174" s="1"/>
  <c r="AA175"/>
  <c r="AA174" s="1"/>
  <c r="Z175"/>
  <c r="Z174" s="1"/>
  <c r="Y175"/>
  <c r="Y174" s="1"/>
  <c r="W175"/>
  <c r="W174" s="1"/>
  <c r="V175"/>
  <c r="V174" s="1"/>
  <c r="U175"/>
  <c r="U174" s="1"/>
  <c r="T175"/>
  <c r="T174" s="1"/>
  <c r="S175"/>
  <c r="S174" s="1"/>
  <c r="R175"/>
  <c r="R174" s="1"/>
  <c r="AN174"/>
  <c r="AM174"/>
  <c r="AL174"/>
  <c r="AK174"/>
  <c r="AJ174"/>
  <c r="X174"/>
  <c r="P174"/>
  <c r="O174"/>
  <c r="N174"/>
  <c r="M174"/>
  <c r="L174"/>
  <c r="Q173"/>
  <c r="Q172"/>
  <c r="Q171"/>
  <c r="Q170"/>
  <c r="AN169"/>
  <c r="AM169"/>
  <c r="AM168" s="1"/>
  <c r="AL169"/>
  <c r="AL168" s="1"/>
  <c r="AK169"/>
  <c r="AK168" s="1"/>
  <c r="AJ169"/>
  <c r="AJ168" s="1"/>
  <c r="AI169"/>
  <c r="AI168" s="1"/>
  <c r="AH169"/>
  <c r="AH168" s="1"/>
  <c r="AG169"/>
  <c r="AG168" s="1"/>
  <c r="AF169"/>
  <c r="AE169"/>
  <c r="AE168" s="1"/>
  <c r="AD169"/>
  <c r="AD168" s="1"/>
  <c r="AC169"/>
  <c r="AC168" s="1"/>
  <c r="AB169"/>
  <c r="AB168" s="1"/>
  <c r="AA169"/>
  <c r="AA168" s="1"/>
  <c r="Z169"/>
  <c r="Z168" s="1"/>
  <c r="Y169"/>
  <c r="Y168" s="1"/>
  <c r="W169"/>
  <c r="W168" s="1"/>
  <c r="V169"/>
  <c r="V168" s="1"/>
  <c r="U169"/>
  <c r="U168" s="1"/>
  <c r="T169"/>
  <c r="T168" s="1"/>
  <c r="S169"/>
  <c r="S168" s="1"/>
  <c r="R169"/>
  <c r="R168" s="1"/>
  <c r="AN168"/>
  <c r="AF168"/>
  <c r="X168"/>
  <c r="P168"/>
  <c r="O168"/>
  <c r="N168"/>
  <c r="M168"/>
  <c r="L168"/>
  <c r="AE166"/>
  <c r="AE165" s="1"/>
  <c r="AE164" s="1"/>
  <c r="AN165"/>
  <c r="AN164" s="1"/>
  <c r="AN161" s="1"/>
  <c r="AM165"/>
  <c r="AL165"/>
  <c r="AK165"/>
  <c r="AJ165"/>
  <c r="AI165"/>
  <c r="AI164" s="1"/>
  <c r="AH165"/>
  <c r="AH164" s="1"/>
  <c r="AG165"/>
  <c r="AG164" s="1"/>
  <c r="AF165"/>
  <c r="AF164" s="1"/>
  <c r="AD165"/>
  <c r="AD164" s="1"/>
  <c r="AC165"/>
  <c r="AC164" s="1"/>
  <c r="AB165"/>
  <c r="AB164" s="1"/>
  <c r="AA165"/>
  <c r="AA164" s="1"/>
  <c r="Z165"/>
  <c r="Z164" s="1"/>
  <c r="Y165"/>
  <c r="Y164" s="1"/>
  <c r="X165"/>
  <c r="X164" s="1"/>
  <c r="W165"/>
  <c r="W164" s="1"/>
  <c r="V165"/>
  <c r="V164" s="1"/>
  <c r="U165"/>
  <c r="U164" s="1"/>
  <c r="T165"/>
  <c r="T164" s="1"/>
  <c r="S165"/>
  <c r="S164" s="1"/>
  <c r="R165"/>
  <c r="R164" s="1"/>
  <c r="Q165"/>
  <c r="Q164" s="1"/>
  <c r="P165"/>
  <c r="P164" s="1"/>
  <c r="AM164"/>
  <c r="AM161" s="1"/>
  <c r="O164"/>
  <c r="O161" s="1"/>
  <c r="N164"/>
  <c r="M164"/>
  <c r="L164"/>
  <c r="AI162"/>
  <c r="AI125" s="1"/>
  <c r="AE162"/>
  <c r="AA162"/>
  <c r="W162"/>
  <c r="S162"/>
  <c r="S125" s="1"/>
  <c r="O162"/>
  <c r="K161"/>
  <c r="J161"/>
  <c r="Z157"/>
  <c r="X157"/>
  <c r="Q157"/>
  <c r="Z156"/>
  <c r="X156"/>
  <c r="Q156"/>
  <c r="Z155"/>
  <c r="Z154"/>
  <c r="T154"/>
  <c r="T152" s="1"/>
  <c r="T151" s="1"/>
  <c r="Q154"/>
  <c r="X153"/>
  <c r="Q153"/>
  <c r="AI152"/>
  <c r="AI151" s="1"/>
  <c r="AH152"/>
  <c r="AH151" s="1"/>
  <c r="AG152"/>
  <c r="AG151" s="1"/>
  <c r="AF152"/>
  <c r="AF151" s="1"/>
  <c r="AE152"/>
  <c r="AE151" s="1"/>
  <c r="AD152"/>
  <c r="AD151" s="1"/>
  <c r="AC152"/>
  <c r="AC151" s="1"/>
  <c r="AB152"/>
  <c r="AB151" s="1"/>
  <c r="AA152"/>
  <c r="AA151" s="1"/>
  <c r="Y152"/>
  <c r="Y151" s="1"/>
  <c r="W152"/>
  <c r="V152"/>
  <c r="V151" s="1"/>
  <c r="U152"/>
  <c r="U151" s="1"/>
  <c r="P152"/>
  <c r="P151" s="1"/>
  <c r="AN151"/>
  <c r="AM151"/>
  <c r="AL151"/>
  <c r="AK151"/>
  <c r="AJ151"/>
  <c r="W151"/>
  <c r="S151"/>
  <c r="R151"/>
  <c r="O151"/>
  <c r="N151"/>
  <c r="M151"/>
  <c r="L151"/>
  <c r="P150"/>
  <c r="P149" s="1"/>
  <c r="AN149"/>
  <c r="AM149"/>
  <c r="AL149"/>
  <c r="AK149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O149"/>
  <c r="N149"/>
  <c r="M149"/>
  <c r="L149"/>
  <c r="Z148"/>
  <c r="Z146" s="1"/>
  <c r="Z145" s="1"/>
  <c r="Q148"/>
  <c r="P148" s="1"/>
  <c r="AD146"/>
  <c r="AD145" s="1"/>
  <c r="AC146"/>
  <c r="AC145" s="1"/>
  <c r="AB146"/>
  <c r="AB145" s="1"/>
  <c r="AA146"/>
  <c r="AA145" s="1"/>
  <c r="Y146"/>
  <c r="Y145" s="1"/>
  <c r="X146"/>
  <c r="X145" s="1"/>
  <c r="W146"/>
  <c r="W145" s="1"/>
  <c r="V146"/>
  <c r="V145" s="1"/>
  <c r="U146"/>
  <c r="U145" s="1"/>
  <c r="T146"/>
  <c r="P146"/>
  <c r="P145" s="1"/>
  <c r="AN145"/>
  <c r="AM145"/>
  <c r="AL145"/>
  <c r="AK145"/>
  <c r="AJ145"/>
  <c r="AI145"/>
  <c r="AH145"/>
  <c r="AG145"/>
  <c r="AF145"/>
  <c r="AE145"/>
  <c r="T145"/>
  <c r="S145"/>
  <c r="R145"/>
  <c r="O145"/>
  <c r="N145"/>
  <c r="M145"/>
  <c r="L145"/>
  <c r="AE144"/>
  <c r="R144"/>
  <c r="Q144"/>
  <c r="Z143"/>
  <c r="AE142"/>
  <c r="Z142"/>
  <c r="Q142"/>
  <c r="AE141"/>
  <c r="Z141"/>
  <c r="R141"/>
  <c r="Q141"/>
  <c r="AE140"/>
  <c r="Q140"/>
  <c r="AE139"/>
  <c r="Q139"/>
  <c r="AE138"/>
  <c r="R138"/>
  <c r="Q138"/>
  <c r="AN137"/>
  <c r="AN136" s="1"/>
  <c r="AM137"/>
  <c r="AM136" s="1"/>
  <c r="AL137"/>
  <c r="AK137"/>
  <c r="AJ137"/>
  <c r="AG137"/>
  <c r="AG136" s="1"/>
  <c r="AF137"/>
  <c r="AD137"/>
  <c r="AD136" s="1"/>
  <c r="AC137"/>
  <c r="AC136" s="1"/>
  <c r="AB137"/>
  <c r="AB136" s="1"/>
  <c r="AA137"/>
  <c r="AA136" s="1"/>
  <c r="Y137"/>
  <c r="Y136" s="1"/>
  <c r="W137"/>
  <c r="W136" s="1"/>
  <c r="V137"/>
  <c r="V136" s="1"/>
  <c r="U137"/>
  <c r="T137"/>
  <c r="T136" s="1"/>
  <c r="S137"/>
  <c r="S136" s="1"/>
  <c r="P137"/>
  <c r="AK136"/>
  <c r="AI136"/>
  <c r="AH136"/>
  <c r="X136"/>
  <c r="U136"/>
  <c r="P136"/>
  <c r="M136"/>
  <c r="L136"/>
  <c r="J136" s="1"/>
  <c r="J127" s="1"/>
  <c r="J123" s="1"/>
  <c r="P135"/>
  <c r="P134"/>
  <c r="AN133"/>
  <c r="AM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S133"/>
  <c r="R133"/>
  <c r="Q133"/>
  <c r="O133"/>
  <c r="N133"/>
  <c r="P133" s="1"/>
  <c r="M133"/>
  <c r="L133"/>
  <c r="K133"/>
  <c r="K127" s="1"/>
  <c r="K123" s="1"/>
  <c r="P132"/>
  <c r="AN131"/>
  <c r="AM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S131"/>
  <c r="R131"/>
  <c r="Q131"/>
  <c r="O131"/>
  <c r="N131"/>
  <c r="P131" s="1"/>
  <c r="M131"/>
  <c r="L131"/>
  <c r="L130"/>
  <c r="P129"/>
  <c r="N129"/>
  <c r="M129"/>
  <c r="L129"/>
  <c r="L128"/>
  <c r="AN126"/>
  <c r="AM126"/>
  <c r="AL126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K126"/>
  <c r="J126"/>
  <c r="AN125"/>
  <c r="AM125"/>
  <c r="AL125"/>
  <c r="AK125"/>
  <c r="AJ125"/>
  <c r="AE125"/>
  <c r="AA125"/>
  <c r="W125"/>
  <c r="K125"/>
  <c r="J125"/>
  <c r="K124"/>
  <c r="Z119"/>
  <c r="R119"/>
  <c r="R117" s="1"/>
  <c r="R116" s="1"/>
  <c r="R113" s="1"/>
  <c r="Q119"/>
  <c r="Q117" s="1"/>
  <c r="Q116" s="1"/>
  <c r="Q113" s="1"/>
  <c r="Z118"/>
  <c r="AD117"/>
  <c r="AD116" s="1"/>
  <c r="AD113" s="1"/>
  <c r="AD105" s="1"/>
  <c r="AD103" s="1"/>
  <c r="AC117"/>
  <c r="AC116" s="1"/>
  <c r="AC113" s="1"/>
  <c r="AC105" s="1"/>
  <c r="AC103" s="1"/>
  <c r="AB117"/>
  <c r="AB116" s="1"/>
  <c r="AA117"/>
  <c r="AA116" s="1"/>
  <c r="AA113" s="1"/>
  <c r="Y117"/>
  <c r="Y116" s="1"/>
  <c r="Y113" s="1"/>
  <c r="X117"/>
  <c r="X116" s="1"/>
  <c r="X113" s="1"/>
  <c r="X105" s="1"/>
  <c r="X103" s="1"/>
  <c r="W117"/>
  <c r="W116" s="1"/>
  <c r="W113" s="1"/>
  <c r="W105" s="1"/>
  <c r="W103" s="1"/>
  <c r="V117"/>
  <c r="V116" s="1"/>
  <c r="V108" s="1"/>
  <c r="V106" s="1"/>
  <c r="U117"/>
  <c r="U116" s="1"/>
  <c r="U113" s="1"/>
  <c r="U105" s="1"/>
  <c r="U103" s="1"/>
  <c r="T117"/>
  <c r="T116" s="1"/>
  <c r="S117"/>
  <c r="S116" s="1"/>
  <c r="S113" s="1"/>
  <c r="P117"/>
  <c r="AN116"/>
  <c r="AN113" s="1"/>
  <c r="AM116"/>
  <c r="AM113" s="1"/>
  <c r="AI116"/>
  <c r="AI108" s="1"/>
  <c r="AI106" s="1"/>
  <c r="AH116"/>
  <c r="AH113" s="1"/>
  <c r="AH105" s="1"/>
  <c r="AH103" s="1"/>
  <c r="AG116"/>
  <c r="AG113" s="1"/>
  <c r="AG105" s="1"/>
  <c r="AG103" s="1"/>
  <c r="AF116"/>
  <c r="AF113" s="1"/>
  <c r="AF105" s="1"/>
  <c r="AF103" s="1"/>
  <c r="AE116"/>
  <c r="P116"/>
  <c r="O116"/>
  <c r="O113" s="1"/>
  <c r="N116"/>
  <c r="N113" s="1"/>
  <c r="M116"/>
  <c r="M113" s="1"/>
  <c r="L116"/>
  <c r="L113" s="1"/>
  <c r="L115"/>
  <c r="L114"/>
  <c r="J113"/>
  <c r="L112"/>
  <c r="K112"/>
  <c r="Z111"/>
  <c r="Z110" s="1"/>
  <c r="Z109" s="1"/>
  <c r="AH110"/>
  <c r="AH109" s="1"/>
  <c r="AG110"/>
  <c r="AG109" s="1"/>
  <c r="AF110"/>
  <c r="AF109" s="1"/>
  <c r="AE110"/>
  <c r="AE109" s="1"/>
  <c r="AD110"/>
  <c r="AD109" s="1"/>
  <c r="AC110"/>
  <c r="AC109" s="1"/>
  <c r="AB110"/>
  <c r="AB109" s="1"/>
  <c r="AA110"/>
  <c r="AA109" s="1"/>
  <c r="Y110"/>
  <c r="Y109" s="1"/>
  <c r="X110"/>
  <c r="X109" s="1"/>
  <c r="W110"/>
  <c r="W109" s="1"/>
  <c r="V110"/>
  <c r="V109" s="1"/>
  <c r="U110"/>
  <c r="U109" s="1"/>
  <c r="T110"/>
  <c r="T109" s="1"/>
  <c r="P110"/>
  <c r="AN109"/>
  <c r="AM109"/>
  <c r="AK109"/>
  <c r="AI109"/>
  <c r="S109"/>
  <c r="R109"/>
  <c r="Q109"/>
  <c r="O109"/>
  <c r="N109"/>
  <c r="P109" s="1"/>
  <c r="M109"/>
  <c r="L109"/>
  <c r="AG108"/>
  <c r="AG106" s="1"/>
  <c r="Y108"/>
  <c r="Y106" s="1"/>
  <c r="P108"/>
  <c r="P106" s="1"/>
  <c r="AN106"/>
  <c r="AM106"/>
  <c r="AL106"/>
  <c r="AK106"/>
  <c r="AA106"/>
  <c r="Z106"/>
  <c r="S106"/>
  <c r="R106"/>
  <c r="Q106"/>
  <c r="O106"/>
  <c r="N106"/>
  <c r="M106"/>
  <c r="L106"/>
  <c r="P105"/>
  <c r="P103" s="1"/>
  <c r="AN103"/>
  <c r="AM103"/>
  <c r="AK103"/>
  <c r="AA103"/>
  <c r="Z103"/>
  <c r="S103"/>
  <c r="R103"/>
  <c r="Q103"/>
  <c r="O103"/>
  <c r="N103"/>
  <c r="M103"/>
  <c r="L103"/>
  <c r="AE102"/>
  <c r="AE101" s="1"/>
  <c r="Z102"/>
  <c r="Z101" s="1"/>
  <c r="P102"/>
  <c r="P101" s="1"/>
  <c r="AN101"/>
  <c r="AM101"/>
  <c r="AL101"/>
  <c r="AK101"/>
  <c r="AI101"/>
  <c r="AH101"/>
  <c r="AG101"/>
  <c r="AF101"/>
  <c r="AD101"/>
  <c r="AC101"/>
  <c r="AB101"/>
  <c r="AA101"/>
  <c r="Y101"/>
  <c r="X101"/>
  <c r="W101"/>
  <c r="V101"/>
  <c r="U101"/>
  <c r="T101"/>
  <c r="S101"/>
  <c r="R101"/>
  <c r="Q101"/>
  <c r="O101"/>
  <c r="N101"/>
  <c r="M101"/>
  <c r="L101"/>
  <c r="P100"/>
  <c r="AE99"/>
  <c r="AB99"/>
  <c r="Z99" s="1"/>
  <c r="Z97" s="1"/>
  <c r="Z96" s="1"/>
  <c r="U99"/>
  <c r="T99" s="1"/>
  <c r="L99"/>
  <c r="AE98"/>
  <c r="Q98"/>
  <c r="L98"/>
  <c r="AI97"/>
  <c r="AI96" s="1"/>
  <c r="AH97"/>
  <c r="AH96" s="1"/>
  <c r="AG97"/>
  <c r="AG96" s="1"/>
  <c r="AF97"/>
  <c r="AF96" s="1"/>
  <c r="AD97"/>
  <c r="AD96" s="1"/>
  <c r="AC97"/>
  <c r="AC96" s="1"/>
  <c r="AB97"/>
  <c r="AB96" s="1"/>
  <c r="AA97"/>
  <c r="AA96" s="1"/>
  <c r="Y97"/>
  <c r="Y96" s="1"/>
  <c r="W97"/>
  <c r="W96" s="1"/>
  <c r="V97"/>
  <c r="V96" s="1"/>
  <c r="S97"/>
  <c r="S96" s="1"/>
  <c r="R97"/>
  <c r="R96" s="1"/>
  <c r="AN96"/>
  <c r="AM96"/>
  <c r="AK96"/>
  <c r="X96"/>
  <c r="O96"/>
  <c r="N96"/>
  <c r="P96" s="1"/>
  <c r="M96"/>
  <c r="L96"/>
  <c r="P95"/>
  <c r="AE94"/>
  <c r="Q94"/>
  <c r="AE93"/>
  <c r="Z93"/>
  <c r="Z91" s="1"/>
  <c r="R93"/>
  <c r="Q93"/>
  <c r="AE92"/>
  <c r="AE91" s="1"/>
  <c r="AE90" s="1"/>
  <c r="Q92"/>
  <c r="Q91" s="1"/>
  <c r="Q90" s="1"/>
  <c r="AI91"/>
  <c r="AH91"/>
  <c r="AG91"/>
  <c r="AG90" s="1"/>
  <c r="AF91"/>
  <c r="AF90" s="1"/>
  <c r="AD91"/>
  <c r="AC91"/>
  <c r="AC90" s="1"/>
  <c r="AB91"/>
  <c r="AB90" s="1"/>
  <c r="AA91"/>
  <c r="Y91"/>
  <c r="Y90" s="1"/>
  <c r="W91"/>
  <c r="W90" s="1"/>
  <c r="V91"/>
  <c r="V90" s="1"/>
  <c r="U91"/>
  <c r="U90" s="1"/>
  <c r="T91"/>
  <c r="T90" s="1"/>
  <c r="S91"/>
  <c r="S90" s="1"/>
  <c r="R91"/>
  <c r="R90" s="1"/>
  <c r="P91"/>
  <c r="AN90"/>
  <c r="AM90"/>
  <c r="AK90"/>
  <c r="AI90"/>
  <c r="AH90"/>
  <c r="AD90"/>
  <c r="AA90"/>
  <c r="Z90"/>
  <c r="X90"/>
  <c r="O90"/>
  <c r="N90"/>
  <c r="P90" s="1"/>
  <c r="M90"/>
  <c r="L90"/>
  <c r="AE89"/>
  <c r="AE88" s="1"/>
  <c r="AE87" s="1"/>
  <c r="Q89"/>
  <c r="Q88" s="1"/>
  <c r="Q87" s="1"/>
  <c r="AI88"/>
  <c r="AH88"/>
  <c r="AH87" s="1"/>
  <c r="AG88"/>
  <c r="AG87" s="1"/>
  <c r="AF88"/>
  <c r="AF87" s="1"/>
  <c r="AD88"/>
  <c r="AD87" s="1"/>
  <c r="AC88"/>
  <c r="AC87" s="1"/>
  <c r="AB88"/>
  <c r="AB87" s="1"/>
  <c r="AA88"/>
  <c r="Z88"/>
  <c r="Z87" s="1"/>
  <c r="Y88"/>
  <c r="Y87" s="1"/>
  <c r="X88"/>
  <c r="X87" s="1"/>
  <c r="W88"/>
  <c r="V88"/>
  <c r="V87" s="1"/>
  <c r="U88"/>
  <c r="U87" s="1"/>
  <c r="T88"/>
  <c r="T87" s="1"/>
  <c r="S88"/>
  <c r="S87" s="1"/>
  <c r="R88"/>
  <c r="R87" s="1"/>
  <c r="P88"/>
  <c r="P87" s="1"/>
  <c r="AN87"/>
  <c r="AM87"/>
  <c r="AK87"/>
  <c r="AI87"/>
  <c r="AA87"/>
  <c r="W87"/>
  <c r="O87"/>
  <c r="N87"/>
  <c r="M87"/>
  <c r="L87"/>
  <c r="P86"/>
  <c r="AN85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O85"/>
  <c r="N85"/>
  <c r="P85" s="1"/>
  <c r="M85"/>
  <c r="L85"/>
  <c r="P84"/>
  <c r="AN83"/>
  <c r="AM83"/>
  <c r="AL83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S83"/>
  <c r="R83"/>
  <c r="Q83"/>
  <c r="O83"/>
  <c r="N83"/>
  <c r="P83" s="1"/>
  <c r="M83"/>
  <c r="L83"/>
  <c r="AJ82"/>
  <c r="AK82" s="1"/>
  <c r="L82"/>
  <c r="P81"/>
  <c r="J81"/>
  <c r="AE80"/>
  <c r="Z80"/>
  <c r="R80"/>
  <c r="Q80"/>
  <c r="AI79"/>
  <c r="AI78" s="1"/>
  <c r="AH79"/>
  <c r="AH78" s="1"/>
  <c r="AG79"/>
  <c r="AG78" s="1"/>
  <c r="AF79"/>
  <c r="AF78" s="1"/>
  <c r="AE79"/>
  <c r="AE78" s="1"/>
  <c r="AD79"/>
  <c r="AD78" s="1"/>
  <c r="AC79"/>
  <c r="AC78" s="1"/>
  <c r="AB79"/>
  <c r="AB78" s="1"/>
  <c r="AA79"/>
  <c r="AA78" s="1"/>
  <c r="Z79"/>
  <c r="Z78" s="1"/>
  <c r="Y79"/>
  <c r="Y78" s="1"/>
  <c r="W79"/>
  <c r="W78" s="1"/>
  <c r="V79"/>
  <c r="V78" s="1"/>
  <c r="U79"/>
  <c r="U78" s="1"/>
  <c r="T79"/>
  <c r="T78" s="1"/>
  <c r="S79"/>
  <c r="S78" s="1"/>
  <c r="R79"/>
  <c r="R78" s="1"/>
  <c r="Q79"/>
  <c r="P79"/>
  <c r="J79"/>
  <c r="AN78"/>
  <c r="AN71" s="1"/>
  <c r="AM78"/>
  <c r="AM71" s="1"/>
  <c r="X78"/>
  <c r="Q78"/>
  <c r="O78"/>
  <c r="N78"/>
  <c r="P78" s="1"/>
  <c r="M78"/>
  <c r="L78"/>
  <c r="J78" s="1"/>
  <c r="AE76"/>
  <c r="Z76"/>
  <c r="Z75" s="1"/>
  <c r="Z74" s="1"/>
  <c r="X76"/>
  <c r="X75" s="1"/>
  <c r="X74" s="1"/>
  <c r="V76"/>
  <c r="V75" s="1"/>
  <c r="V74" s="1"/>
  <c r="R76"/>
  <c r="R75" s="1"/>
  <c r="R74" s="1"/>
  <c r="Q76"/>
  <c r="P76" s="1"/>
  <c r="AI75"/>
  <c r="AI74" s="1"/>
  <c r="AH75"/>
  <c r="AH74" s="1"/>
  <c r="AG75"/>
  <c r="AG74" s="1"/>
  <c r="AF75"/>
  <c r="AF74" s="1"/>
  <c r="AE75"/>
  <c r="AE74" s="1"/>
  <c r="AD75"/>
  <c r="AD74" s="1"/>
  <c r="AC75"/>
  <c r="AC74" s="1"/>
  <c r="AB75"/>
  <c r="AB74" s="1"/>
  <c r="AA75"/>
  <c r="AA74" s="1"/>
  <c r="Y75"/>
  <c r="Y74" s="1"/>
  <c r="W75"/>
  <c r="W74" s="1"/>
  <c r="U75"/>
  <c r="U74" s="1"/>
  <c r="T75"/>
  <c r="T74" s="1"/>
  <c r="S75"/>
  <c r="S74" s="1"/>
  <c r="Q75"/>
  <c r="Q74" s="1"/>
  <c r="P75"/>
  <c r="AK74"/>
  <c r="O74"/>
  <c r="N74"/>
  <c r="P74" s="1"/>
  <c r="M74"/>
  <c r="L74"/>
  <c r="J74" s="1"/>
  <c r="L73"/>
  <c r="J73" s="1"/>
  <c r="L72"/>
  <c r="J72" s="1"/>
  <c r="K71"/>
  <c r="L70"/>
  <c r="P69"/>
  <c r="AE68"/>
  <c r="AE67" s="1"/>
  <c r="AE66" s="1"/>
  <c r="AE63" s="1"/>
  <c r="Z68"/>
  <c r="S68"/>
  <c r="R68" s="1"/>
  <c r="R67" s="1"/>
  <c r="R66" s="1"/>
  <c r="R63" s="1"/>
  <c r="AF67"/>
  <c r="AF66" s="1"/>
  <c r="AF63" s="1"/>
  <c r="AA67"/>
  <c r="AA66" s="1"/>
  <c r="AA63" s="1"/>
  <c r="Z67"/>
  <c r="Z66" s="1"/>
  <c r="Z63" s="1"/>
  <c r="Y67"/>
  <c r="Y66" s="1"/>
  <c r="Y63" s="1"/>
  <c r="W67"/>
  <c r="W66" s="1"/>
  <c r="W63" s="1"/>
  <c r="V67"/>
  <c r="V66" s="1"/>
  <c r="V63" s="1"/>
  <c r="U67"/>
  <c r="U66" s="1"/>
  <c r="U63" s="1"/>
  <c r="T67"/>
  <c r="T66" s="1"/>
  <c r="T63" s="1"/>
  <c r="P67"/>
  <c r="AN66"/>
  <c r="AN63" s="1"/>
  <c r="AM66"/>
  <c r="AM63" s="1"/>
  <c r="AI66"/>
  <c r="AI63" s="1"/>
  <c r="AH66"/>
  <c r="AH63" s="1"/>
  <c r="AG66"/>
  <c r="AG63" s="1"/>
  <c r="AD66"/>
  <c r="AD63" s="1"/>
  <c r="AC66"/>
  <c r="AB66"/>
  <c r="AB63" s="1"/>
  <c r="X66"/>
  <c r="X63" s="1"/>
  <c r="P66"/>
  <c r="O66"/>
  <c r="O63" s="1"/>
  <c r="N66"/>
  <c r="N63" s="1"/>
  <c r="M66"/>
  <c r="M63" s="1"/>
  <c r="L66"/>
  <c r="L63" s="1"/>
  <c r="L65"/>
  <c r="L64"/>
  <c r="AC63"/>
  <c r="K63"/>
  <c r="K19" s="1"/>
  <c r="K13" s="1"/>
  <c r="J63"/>
  <c r="J62"/>
  <c r="J61"/>
  <c r="AN60"/>
  <c r="AM60"/>
  <c r="AI60"/>
  <c r="AI54" s="1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J60" s="1"/>
  <c r="L59"/>
  <c r="J59" s="1"/>
  <c r="L58"/>
  <c r="J58" s="1"/>
  <c r="AN57"/>
  <c r="AM57"/>
  <c r="AM54" s="1"/>
  <c r="AH57"/>
  <c r="AG57"/>
  <c r="AF57"/>
  <c r="AE57"/>
  <c r="AD57"/>
  <c r="AC57"/>
  <c r="AB57"/>
  <c r="AA57"/>
  <c r="Z57"/>
  <c r="Y57"/>
  <c r="X57"/>
  <c r="W57"/>
  <c r="V57"/>
  <c r="U57"/>
  <c r="T57"/>
  <c r="T54" s="1"/>
  <c r="S57"/>
  <c r="R57"/>
  <c r="Q57"/>
  <c r="P57"/>
  <c r="O57"/>
  <c r="N57"/>
  <c r="M57"/>
  <c r="J56"/>
  <c r="J55"/>
  <c r="AL54"/>
  <c r="AI53"/>
  <c r="AH53"/>
  <c r="AG53"/>
  <c r="AF53"/>
  <c r="V51"/>
  <c r="V49" s="1"/>
  <c r="U51"/>
  <c r="U49" s="1"/>
  <c r="T51"/>
  <c r="T48" s="1"/>
  <c r="S51"/>
  <c r="S49" s="1"/>
  <c r="R51"/>
  <c r="Q51"/>
  <c r="P51"/>
  <c r="P48" s="1"/>
  <c r="O51"/>
  <c r="O49" s="1"/>
  <c r="N51"/>
  <c r="N49" s="1"/>
  <c r="M51"/>
  <c r="M49" s="1"/>
  <c r="L51"/>
  <c r="L48" s="1"/>
  <c r="AN49"/>
  <c r="AM49"/>
  <c r="AL49"/>
  <c r="AI49"/>
  <c r="AH49"/>
  <c r="AG49"/>
  <c r="AF49"/>
  <c r="AE49"/>
  <c r="AD49"/>
  <c r="AC49"/>
  <c r="AB49"/>
  <c r="AA49"/>
  <c r="Z49"/>
  <c r="Y49"/>
  <c r="X49"/>
  <c r="W49"/>
  <c r="K49"/>
  <c r="J49"/>
  <c r="J20" s="1"/>
  <c r="J14" s="1"/>
  <c r="P46"/>
  <c r="Z45"/>
  <c r="Z44" s="1"/>
  <c r="Z43" s="1"/>
  <c r="Q45"/>
  <c r="Q44" s="1"/>
  <c r="Q43" s="1"/>
  <c r="AD44"/>
  <c r="AD43" s="1"/>
  <c r="Y44"/>
  <c r="Y43" s="1"/>
  <c r="X44"/>
  <c r="X43" s="1"/>
  <c r="P44"/>
  <c r="L44"/>
  <c r="L43" s="1"/>
  <c r="AN43"/>
  <c r="AM43"/>
  <c r="AI43"/>
  <c r="AH43"/>
  <c r="AG43"/>
  <c r="AF43"/>
  <c r="AE43"/>
  <c r="AC43"/>
  <c r="AB43"/>
  <c r="AA43"/>
  <c r="W43"/>
  <c r="V43"/>
  <c r="U43"/>
  <c r="T43"/>
  <c r="S43"/>
  <c r="R43"/>
  <c r="O43"/>
  <c r="N43"/>
  <c r="P43" s="1"/>
  <c r="M43"/>
  <c r="P42"/>
  <c r="P41"/>
  <c r="AN40"/>
  <c r="AM40"/>
  <c r="AL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O40"/>
  <c r="N40"/>
  <c r="M40"/>
  <c r="L40"/>
  <c r="J40" s="1"/>
  <c r="J22" s="1"/>
  <c r="J18" s="1"/>
  <c r="AE39"/>
  <c r="Q39"/>
  <c r="P39" s="1"/>
  <c r="AE38"/>
  <c r="Q38"/>
  <c r="P38" s="1"/>
  <c r="AI37"/>
  <c r="AI24" s="1"/>
  <c r="AI20" s="1"/>
  <c r="AH37"/>
  <c r="AH24" s="1"/>
  <c r="AH20" s="1"/>
  <c r="AG37"/>
  <c r="AF37"/>
  <c r="AE37"/>
  <c r="AE24" s="1"/>
  <c r="AE20" s="1"/>
  <c r="AE14" s="1"/>
  <c r="AD37"/>
  <c r="AD24" s="1"/>
  <c r="AD20" s="1"/>
  <c r="AC37"/>
  <c r="AB37"/>
  <c r="AA37"/>
  <c r="AA24" s="1"/>
  <c r="AA20" s="1"/>
  <c r="AA14" s="1"/>
  <c r="Z37"/>
  <c r="Z24" s="1"/>
  <c r="Z20" s="1"/>
  <c r="Y37"/>
  <c r="W37"/>
  <c r="V37"/>
  <c r="V24" s="1"/>
  <c r="U37"/>
  <c r="U24" s="1"/>
  <c r="U20" s="1"/>
  <c r="T37"/>
  <c r="T24" s="1"/>
  <c r="S37"/>
  <c r="R37"/>
  <c r="R24" s="1"/>
  <c r="N37"/>
  <c r="L37"/>
  <c r="L26" s="1"/>
  <c r="AE36"/>
  <c r="AE35" s="1"/>
  <c r="AE25" s="1"/>
  <c r="AE21" s="1"/>
  <c r="AC36"/>
  <c r="AC35" s="1"/>
  <c r="AC25" s="1"/>
  <c r="AC21" s="1"/>
  <c r="AC15" s="1"/>
  <c r="AA36"/>
  <c r="W36"/>
  <c r="W35" s="1"/>
  <c r="S36"/>
  <c r="R36" s="1"/>
  <c r="R35" s="1"/>
  <c r="R25" s="1"/>
  <c r="R21" s="1"/>
  <c r="AI35"/>
  <c r="AH35"/>
  <c r="AH25" s="1"/>
  <c r="AH21" s="1"/>
  <c r="AG35"/>
  <c r="AF35"/>
  <c r="AD35"/>
  <c r="AB35"/>
  <c r="AB25" s="1"/>
  <c r="AB21" s="1"/>
  <c r="AB15" s="1"/>
  <c r="Y35"/>
  <c r="V35"/>
  <c r="V25" s="1"/>
  <c r="V21" s="1"/>
  <c r="U35"/>
  <c r="T35"/>
  <c r="T25" s="1"/>
  <c r="T21" s="1"/>
  <c r="T15" s="1"/>
  <c r="P35"/>
  <c r="J35"/>
  <c r="J25" s="1"/>
  <c r="J21" s="1"/>
  <c r="AE34"/>
  <c r="Z34"/>
  <c r="R34"/>
  <c r="Q34"/>
  <c r="P34"/>
  <c r="AE33"/>
  <c r="Z33"/>
  <c r="Q33"/>
  <c r="AE32"/>
  <c r="Z32"/>
  <c r="Q32"/>
  <c r="AE31"/>
  <c r="Z31"/>
  <c r="Q31"/>
  <c r="P31"/>
  <c r="AE30"/>
  <c r="AA30"/>
  <c r="Z30" s="1"/>
  <c r="T30"/>
  <c r="T27" s="1"/>
  <c r="S30"/>
  <c r="R30" s="1"/>
  <c r="P30" s="1"/>
  <c r="Q30"/>
  <c r="AE29"/>
  <c r="AC29"/>
  <c r="AA29"/>
  <c r="R29"/>
  <c r="Q29"/>
  <c r="P29" s="1"/>
  <c r="AE28"/>
  <c r="AC28"/>
  <c r="AA28"/>
  <c r="Z28" s="1"/>
  <c r="W28"/>
  <c r="W27" s="1"/>
  <c r="S28"/>
  <c r="R28" s="1"/>
  <c r="AI27"/>
  <c r="AH27"/>
  <c r="AH22" s="1"/>
  <c r="AH18" s="1"/>
  <c r="AG27"/>
  <c r="AF27"/>
  <c r="AD27"/>
  <c r="AB27"/>
  <c r="Y27"/>
  <c r="Y26" s="1"/>
  <c r="X27"/>
  <c r="X26" s="1"/>
  <c r="V27"/>
  <c r="U27"/>
  <c r="U26" s="1"/>
  <c r="K27"/>
  <c r="K22" s="1"/>
  <c r="K18" s="1"/>
  <c r="AN26"/>
  <c r="AM26"/>
  <c r="O26"/>
  <c r="M26"/>
  <c r="AN25"/>
  <c r="AN21" s="1"/>
  <c r="AN15" s="1"/>
  <c r="AM25"/>
  <c r="AM21" s="1"/>
  <c r="AM15" s="1"/>
  <c r="AL25"/>
  <c r="AL21" s="1"/>
  <c r="AK25"/>
  <c r="AK21" s="1"/>
  <c r="AK15" s="1"/>
  <c r="AJ25"/>
  <c r="AJ21" s="1"/>
  <c r="AJ15" s="1"/>
  <c r="AI25"/>
  <c r="AI21" s="1"/>
  <c r="AI15" s="1"/>
  <c r="AG25"/>
  <c r="AF25"/>
  <c r="AF21" s="1"/>
  <c r="AF15" s="1"/>
  <c r="AD25"/>
  <c r="AD21" s="1"/>
  <c r="AD15" s="1"/>
  <c r="Y25"/>
  <c r="X25"/>
  <c r="X21" s="1"/>
  <c r="X15" s="1"/>
  <c r="U25"/>
  <c r="U21" s="1"/>
  <c r="U15" s="1"/>
  <c r="O25"/>
  <c r="O21" s="1"/>
  <c r="O15" s="1"/>
  <c r="N25"/>
  <c r="M25"/>
  <c r="M21" s="1"/>
  <c r="M15" s="1"/>
  <c r="L25"/>
  <c r="L21" s="1"/>
  <c r="L15" s="1"/>
  <c r="K25"/>
  <c r="K21" s="1"/>
  <c r="K15" s="1"/>
  <c r="AG24"/>
  <c r="AF24"/>
  <c r="AF20" s="1"/>
  <c r="AC24"/>
  <c r="AC20" s="1"/>
  <c r="AB24"/>
  <c r="Y24"/>
  <c r="X24"/>
  <c r="X20" s="1"/>
  <c r="W24"/>
  <c r="W20" s="1"/>
  <c r="S24"/>
  <c r="S20" s="1"/>
  <c r="O24"/>
  <c r="O20" s="1"/>
  <c r="M24"/>
  <c r="V22"/>
  <c r="V18" s="1"/>
  <c r="M22"/>
  <c r="M18" s="1"/>
  <c r="AG21"/>
  <c r="AG15" s="1"/>
  <c r="Y21"/>
  <c r="Y15" s="1"/>
  <c r="N21"/>
  <c r="AN20"/>
  <c r="AM20"/>
  <c r="AM14" s="1"/>
  <c r="AL20"/>
  <c r="K20"/>
  <c r="K14" s="1"/>
  <c r="AC237" i="15"/>
  <c r="AC234" s="1"/>
  <c r="AB237"/>
  <c r="AB234" s="1"/>
  <c r="AB233" s="1"/>
  <c r="W237"/>
  <c r="V237" s="1"/>
  <c r="V234" s="1"/>
  <c r="V233" s="1"/>
  <c r="P237"/>
  <c r="Z236"/>
  <c r="Z235"/>
  <c r="R235"/>
  <c r="Q235"/>
  <c r="AD234"/>
  <c r="AD233" s="1"/>
  <c r="AA234"/>
  <c r="AA233" s="1"/>
  <c r="Y234"/>
  <c r="Y233" s="1"/>
  <c r="X234"/>
  <c r="X233" s="1"/>
  <c r="U234"/>
  <c r="U233" s="1"/>
  <c r="T234"/>
  <c r="T233" s="1"/>
  <c r="S234"/>
  <c r="S233" s="1"/>
  <c r="J234"/>
  <c r="AN233"/>
  <c r="AM233"/>
  <c r="AK233"/>
  <c r="AJ233"/>
  <c r="AI233"/>
  <c r="AH233"/>
  <c r="AG233"/>
  <c r="AF233"/>
  <c r="AE233"/>
  <c r="O233"/>
  <c r="N233"/>
  <c r="P233" s="1"/>
  <c r="M233"/>
  <c r="L233"/>
  <c r="J233" s="1"/>
  <c r="J232"/>
  <c r="R231"/>
  <c r="P231" s="1"/>
  <c r="Q231"/>
  <c r="AN230"/>
  <c r="AM230"/>
  <c r="AL230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J230" s="1"/>
  <c r="P229"/>
  <c r="J229"/>
  <c r="Q228"/>
  <c r="Z227"/>
  <c r="Z224" s="1"/>
  <c r="Z223" s="1"/>
  <c r="R227"/>
  <c r="Q227"/>
  <c r="Q226"/>
  <c r="R225"/>
  <c r="P225" s="1"/>
  <c r="Q225"/>
  <c r="AI224"/>
  <c r="AI223" s="1"/>
  <c r="AH224"/>
  <c r="AH223" s="1"/>
  <c r="AG224"/>
  <c r="AF224"/>
  <c r="AF223" s="1"/>
  <c r="AE224"/>
  <c r="AE223" s="1"/>
  <c r="AD224"/>
  <c r="AD223" s="1"/>
  <c r="AC224"/>
  <c r="AC223" s="1"/>
  <c r="AB224"/>
  <c r="AB223" s="1"/>
  <c r="AA224"/>
  <c r="AA223" s="1"/>
  <c r="Y224"/>
  <c r="W224"/>
  <c r="W223" s="1"/>
  <c r="V224"/>
  <c r="V223" s="1"/>
  <c r="U224"/>
  <c r="U223" s="1"/>
  <c r="T224"/>
  <c r="T223" s="1"/>
  <c r="S224"/>
  <c r="S223" s="1"/>
  <c r="R224"/>
  <c r="R223" s="1"/>
  <c r="Q224"/>
  <c r="Q223" s="1"/>
  <c r="J224"/>
  <c r="AN223"/>
  <c r="AM223"/>
  <c r="AG223"/>
  <c r="Y223"/>
  <c r="X223"/>
  <c r="O223"/>
  <c r="N223"/>
  <c r="P223" s="1"/>
  <c r="M223"/>
  <c r="L223"/>
  <c r="J223" s="1"/>
  <c r="P222"/>
  <c r="J222"/>
  <c r="AB221"/>
  <c r="Z221" s="1"/>
  <c r="Z219" s="1"/>
  <c r="Z218" s="1"/>
  <c r="U221"/>
  <c r="AE220"/>
  <c r="AE219" s="1"/>
  <c r="AE218" s="1"/>
  <c r="Q220"/>
  <c r="AI219"/>
  <c r="AI218" s="1"/>
  <c r="AH219"/>
  <c r="AH218" s="1"/>
  <c r="AG219"/>
  <c r="AG218" s="1"/>
  <c r="AF219"/>
  <c r="AF218" s="1"/>
  <c r="AD219"/>
  <c r="AD218" s="1"/>
  <c r="AC219"/>
  <c r="AC218" s="1"/>
  <c r="AA219"/>
  <c r="AA218" s="1"/>
  <c r="Y219"/>
  <c r="W219"/>
  <c r="V219"/>
  <c r="V218" s="1"/>
  <c r="U219"/>
  <c r="U218" s="1"/>
  <c r="S219"/>
  <c r="S218" s="1"/>
  <c r="R219"/>
  <c r="R218" s="1"/>
  <c r="P219"/>
  <c r="AN218"/>
  <c r="AM218"/>
  <c r="Y218"/>
  <c r="X218"/>
  <c r="W218"/>
  <c r="O218"/>
  <c r="N218"/>
  <c r="P218" s="1"/>
  <c r="M218"/>
  <c r="L218"/>
  <c r="J218" s="1"/>
  <c r="J217"/>
  <c r="AE216"/>
  <c r="AE215" s="1"/>
  <c r="AE214" s="1"/>
  <c r="Q216"/>
  <c r="Q215" s="1"/>
  <c r="Q214" s="1"/>
  <c r="P216"/>
  <c r="AI215"/>
  <c r="AI214" s="1"/>
  <c r="AH215"/>
  <c r="AH214" s="1"/>
  <c r="AG215"/>
  <c r="AG214" s="1"/>
  <c r="AF215"/>
  <c r="AF214" s="1"/>
  <c r="Y215"/>
  <c r="Y214" s="1"/>
  <c r="W215"/>
  <c r="W214" s="1"/>
  <c r="V215"/>
  <c r="V214" s="1"/>
  <c r="U215"/>
  <c r="U214" s="1"/>
  <c r="T215"/>
  <c r="T214" s="1"/>
  <c r="S215"/>
  <c r="R215"/>
  <c r="R214" s="1"/>
  <c r="P215"/>
  <c r="J215"/>
  <c r="AN214"/>
  <c r="AM214"/>
  <c r="AD214"/>
  <c r="AC214"/>
  <c r="AB214"/>
  <c r="AA214"/>
  <c r="Z214"/>
  <c r="X214"/>
  <c r="S214"/>
  <c r="O214"/>
  <c r="N214"/>
  <c r="P214" s="1"/>
  <c r="M214"/>
  <c r="L214"/>
  <c r="J214" s="1"/>
  <c r="P212"/>
  <c r="AJ212" s="1"/>
  <c r="O212"/>
  <c r="N212"/>
  <c r="M212"/>
  <c r="L212"/>
  <c r="Z209"/>
  <c r="Q209"/>
  <c r="Z208"/>
  <c r="T208"/>
  <c r="T207" s="1"/>
  <c r="T206" s="1"/>
  <c r="Q208"/>
  <c r="AD207"/>
  <c r="AD206" s="1"/>
  <c r="AC207"/>
  <c r="AC206" s="1"/>
  <c r="AB207"/>
  <c r="AB206" s="1"/>
  <c r="AA207"/>
  <c r="Y207"/>
  <c r="Y206" s="1"/>
  <c r="X207"/>
  <c r="X206" s="1"/>
  <c r="W207"/>
  <c r="W206" s="1"/>
  <c r="V207"/>
  <c r="V206" s="1"/>
  <c r="U207"/>
  <c r="U206" s="1"/>
  <c r="S207"/>
  <c r="R207"/>
  <c r="N206"/>
  <c r="P206" s="1"/>
  <c r="M206"/>
  <c r="L206"/>
  <c r="J206" s="1"/>
  <c r="AE205"/>
  <c r="AE204" s="1"/>
  <c r="AE203" s="1"/>
  <c r="Z205"/>
  <c r="Z204" s="1"/>
  <c r="Z203" s="1"/>
  <c r="V205"/>
  <c r="V204" s="1"/>
  <c r="V203" s="1"/>
  <c r="T205"/>
  <c r="T204" s="1"/>
  <c r="T203" s="1"/>
  <c r="R205"/>
  <c r="R204" s="1"/>
  <c r="R203" s="1"/>
  <c r="Q205"/>
  <c r="AN204"/>
  <c r="AN203" s="1"/>
  <c r="AM204"/>
  <c r="AM203" s="1"/>
  <c r="AL204"/>
  <c r="AK204"/>
  <c r="AK203" s="1"/>
  <c r="AJ204"/>
  <c r="AJ203" s="1"/>
  <c r="AI204"/>
  <c r="AI203" s="1"/>
  <c r="AH204"/>
  <c r="AH203" s="1"/>
  <c r="AG204"/>
  <c r="AG203" s="1"/>
  <c r="AF204"/>
  <c r="AF203" s="1"/>
  <c r="AD204"/>
  <c r="AD203" s="1"/>
  <c r="AC204"/>
  <c r="AC203" s="1"/>
  <c r="AB204"/>
  <c r="AB203" s="1"/>
  <c r="AA204"/>
  <c r="AA203" s="1"/>
  <c r="Y204"/>
  <c r="Y203" s="1"/>
  <c r="W204"/>
  <c r="W203" s="1"/>
  <c r="U204"/>
  <c r="U203" s="1"/>
  <c r="S204"/>
  <c r="S203" s="1"/>
  <c r="AL203"/>
  <c r="X203"/>
  <c r="P203"/>
  <c r="M203"/>
  <c r="L203"/>
  <c r="J203" s="1"/>
  <c r="P202"/>
  <c r="Z201"/>
  <c r="X201"/>
  <c r="X199" s="1"/>
  <c r="X198" s="1"/>
  <c r="V201"/>
  <c r="V199" s="1"/>
  <c r="V198" s="1"/>
  <c r="Q201"/>
  <c r="Z200"/>
  <c r="Z199" s="1"/>
  <c r="Z198" s="1"/>
  <c r="U200"/>
  <c r="Q200" s="1"/>
  <c r="T200"/>
  <c r="T199" s="1"/>
  <c r="T198" s="1"/>
  <c r="AD199"/>
  <c r="AD198" s="1"/>
  <c r="AC199"/>
  <c r="AC198" s="1"/>
  <c r="AB199"/>
  <c r="AB198" s="1"/>
  <c r="AA199"/>
  <c r="AA198" s="1"/>
  <c r="Y199"/>
  <c r="Y198" s="1"/>
  <c r="W199"/>
  <c r="W198" s="1"/>
  <c r="S199"/>
  <c r="S198" s="1"/>
  <c r="R199"/>
  <c r="P199"/>
  <c r="AN198"/>
  <c r="AM198"/>
  <c r="AL198"/>
  <c r="AK198"/>
  <c r="AJ198"/>
  <c r="AI198"/>
  <c r="AH198"/>
  <c r="AG198"/>
  <c r="AF198"/>
  <c r="AE198"/>
  <c r="R198"/>
  <c r="O198"/>
  <c r="N198"/>
  <c r="P198" s="1"/>
  <c r="M198"/>
  <c r="L198"/>
  <c r="P197"/>
  <c r="P196" s="1"/>
  <c r="AN196"/>
  <c r="AM196"/>
  <c r="AL196"/>
  <c r="AK196"/>
  <c r="AJ196"/>
  <c r="AI196"/>
  <c r="AH196"/>
  <c r="AG196"/>
  <c r="AG193" s="1"/>
  <c r="AF196"/>
  <c r="AE196"/>
  <c r="AD196"/>
  <c r="AC196"/>
  <c r="AB196"/>
  <c r="AA196"/>
  <c r="Z196"/>
  <c r="Y196"/>
  <c r="X196"/>
  <c r="W196"/>
  <c r="V196"/>
  <c r="U196"/>
  <c r="T196"/>
  <c r="S196"/>
  <c r="R196"/>
  <c r="Q196"/>
  <c r="O196"/>
  <c r="N196"/>
  <c r="M196"/>
  <c r="L196"/>
  <c r="L193" s="1"/>
  <c r="L195"/>
  <c r="AL194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3"/>
  <c r="L192"/>
  <c r="Z190"/>
  <c r="Z189" s="1"/>
  <c r="Z188" s="1"/>
  <c r="Z185" s="1"/>
  <c r="R190"/>
  <c r="R189" s="1"/>
  <c r="R188" s="1"/>
  <c r="R185" s="1"/>
  <c r="Q190"/>
  <c r="L190"/>
  <c r="AN189"/>
  <c r="AM189"/>
  <c r="AL189"/>
  <c r="AK189"/>
  <c r="AJ189"/>
  <c r="AF189"/>
  <c r="AF188" s="1"/>
  <c r="AE189"/>
  <c r="AD189"/>
  <c r="AD188" s="1"/>
  <c r="AD185" s="1"/>
  <c r="AC189"/>
  <c r="AC188" s="1"/>
  <c r="AC185" s="1"/>
  <c r="AB189"/>
  <c r="AB188" s="1"/>
  <c r="AB185" s="1"/>
  <c r="AA189"/>
  <c r="AA188" s="1"/>
  <c r="AA185" s="1"/>
  <c r="Y189"/>
  <c r="Y188" s="1"/>
  <c r="Y185" s="1"/>
  <c r="X189"/>
  <c r="X188" s="1"/>
  <c r="X185" s="1"/>
  <c r="W189"/>
  <c r="W188" s="1"/>
  <c r="W185" s="1"/>
  <c r="V189"/>
  <c r="V188" s="1"/>
  <c r="V185" s="1"/>
  <c r="U189"/>
  <c r="U188" s="1"/>
  <c r="U185" s="1"/>
  <c r="T189"/>
  <c r="T188" s="1"/>
  <c r="T185" s="1"/>
  <c r="S189"/>
  <c r="S188" s="1"/>
  <c r="S185" s="1"/>
  <c r="Q189"/>
  <c r="Q188" s="1"/>
  <c r="P189"/>
  <c r="P188" s="1"/>
  <c r="O189"/>
  <c r="L189" s="1"/>
  <c r="L188" s="1"/>
  <c r="L185" s="1"/>
  <c r="AN188"/>
  <c r="AM188"/>
  <c r="AI188"/>
  <c r="AH188"/>
  <c r="AG188"/>
  <c r="AG185" s="1"/>
  <c r="AE188"/>
  <c r="N188"/>
  <c r="M188"/>
  <c r="M185" s="1"/>
  <c r="L187"/>
  <c r="L186"/>
  <c r="N185"/>
  <c r="K185"/>
  <c r="L184"/>
  <c r="AN182"/>
  <c r="AM182"/>
  <c r="AL182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AN180"/>
  <c r="AM180"/>
  <c r="AL180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Q179"/>
  <c r="Q178"/>
  <c r="Q177"/>
  <c r="Q176"/>
  <c r="AI175"/>
  <c r="AI174" s="1"/>
  <c r="AH175"/>
  <c r="AH174" s="1"/>
  <c r="AG175"/>
  <c r="AG174" s="1"/>
  <c r="AF175"/>
  <c r="AF174" s="1"/>
  <c r="AE175"/>
  <c r="AE174" s="1"/>
  <c r="AD175"/>
  <c r="AD174" s="1"/>
  <c r="AC175"/>
  <c r="AC174" s="1"/>
  <c r="AB175"/>
  <c r="AB174" s="1"/>
  <c r="AA175"/>
  <c r="AA174" s="1"/>
  <c r="Z175"/>
  <c r="Z174" s="1"/>
  <c r="Y175"/>
  <c r="Y174" s="1"/>
  <c r="W175"/>
  <c r="W174" s="1"/>
  <c r="V175"/>
  <c r="V174" s="1"/>
  <c r="U175"/>
  <c r="U174" s="1"/>
  <c r="T175"/>
  <c r="T174" s="1"/>
  <c r="S175"/>
  <c r="S174" s="1"/>
  <c r="R175"/>
  <c r="R174" s="1"/>
  <c r="AN174"/>
  <c r="AM174"/>
  <c r="AL174"/>
  <c r="AK174"/>
  <c r="AJ174"/>
  <c r="X174"/>
  <c r="P174"/>
  <c r="O174"/>
  <c r="N174"/>
  <c r="M174"/>
  <c r="L174"/>
  <c r="Q173"/>
  <c r="Q172"/>
  <c r="Q171"/>
  <c r="Q170"/>
  <c r="AN169"/>
  <c r="AN168" s="1"/>
  <c r="AM169"/>
  <c r="AM168" s="1"/>
  <c r="AL169"/>
  <c r="AL168" s="1"/>
  <c r="AK169"/>
  <c r="AK168" s="1"/>
  <c r="AJ169"/>
  <c r="AJ168" s="1"/>
  <c r="AI169"/>
  <c r="AI168" s="1"/>
  <c r="AH169"/>
  <c r="AH168" s="1"/>
  <c r="AG169"/>
  <c r="AG168" s="1"/>
  <c r="AF169"/>
  <c r="AF168" s="1"/>
  <c r="AE169"/>
  <c r="AE168" s="1"/>
  <c r="AD169"/>
  <c r="AD168" s="1"/>
  <c r="AC169"/>
  <c r="AC168" s="1"/>
  <c r="AB169"/>
  <c r="AB168" s="1"/>
  <c r="AA169"/>
  <c r="AA168" s="1"/>
  <c r="Z169"/>
  <c r="Z168" s="1"/>
  <c r="Y169"/>
  <c r="Y168" s="1"/>
  <c r="W169"/>
  <c r="W168" s="1"/>
  <c r="V169"/>
  <c r="V168" s="1"/>
  <c r="U169"/>
  <c r="U168" s="1"/>
  <c r="T169"/>
  <c r="T168" s="1"/>
  <c r="S169"/>
  <c r="S168" s="1"/>
  <c r="R169"/>
  <c r="R168" s="1"/>
  <c r="X168"/>
  <c r="P168"/>
  <c r="O168"/>
  <c r="N168"/>
  <c r="M168"/>
  <c r="L168"/>
  <c r="AE166"/>
  <c r="AE165" s="1"/>
  <c r="AE164" s="1"/>
  <c r="AN165"/>
  <c r="AN164" s="1"/>
  <c r="AN161" s="1"/>
  <c r="AM165"/>
  <c r="AL165"/>
  <c r="AK165"/>
  <c r="AJ165"/>
  <c r="AI165"/>
  <c r="AI164" s="1"/>
  <c r="AH165"/>
  <c r="AH164" s="1"/>
  <c r="AG165"/>
  <c r="AG164" s="1"/>
  <c r="AF165"/>
  <c r="AF164" s="1"/>
  <c r="AD165"/>
  <c r="AD164" s="1"/>
  <c r="AC165"/>
  <c r="AC164" s="1"/>
  <c r="AB165"/>
  <c r="AB164" s="1"/>
  <c r="AA165"/>
  <c r="AA164" s="1"/>
  <c r="Z165"/>
  <c r="Z164" s="1"/>
  <c r="Y165"/>
  <c r="Y164" s="1"/>
  <c r="X165"/>
  <c r="X164" s="1"/>
  <c r="W165"/>
  <c r="W164" s="1"/>
  <c r="V165"/>
  <c r="V164" s="1"/>
  <c r="U165"/>
  <c r="U164" s="1"/>
  <c r="T165"/>
  <c r="T164" s="1"/>
  <c r="S165"/>
  <c r="S164" s="1"/>
  <c r="R165"/>
  <c r="R164" s="1"/>
  <c r="Q165"/>
  <c r="Q164" s="1"/>
  <c r="P165"/>
  <c r="P164" s="1"/>
  <c r="AM164"/>
  <c r="AM161" s="1"/>
  <c r="O164"/>
  <c r="N164"/>
  <c r="M164"/>
  <c r="L164"/>
  <c r="AG162"/>
  <c r="AF162"/>
  <c r="AF125" s="1"/>
  <c r="AC162"/>
  <c r="AB162"/>
  <c r="Y162"/>
  <c r="X162"/>
  <c r="X125" s="1"/>
  <c r="U162"/>
  <c r="T162"/>
  <c r="Q162"/>
  <c r="P162"/>
  <c r="M162"/>
  <c r="L162"/>
  <c r="K161"/>
  <c r="J161"/>
  <c r="Z157"/>
  <c r="X157"/>
  <c r="Q157"/>
  <c r="Z156"/>
  <c r="X156"/>
  <c r="Q156"/>
  <c r="Z155"/>
  <c r="Z154"/>
  <c r="T154"/>
  <c r="T152" s="1"/>
  <c r="T151" s="1"/>
  <c r="Q154"/>
  <c r="X153"/>
  <c r="Q153"/>
  <c r="AI152"/>
  <c r="AI151" s="1"/>
  <c r="AH152"/>
  <c r="AH151" s="1"/>
  <c r="AG152"/>
  <c r="AG151" s="1"/>
  <c r="AF152"/>
  <c r="AF151" s="1"/>
  <c r="AE152"/>
  <c r="AE151" s="1"/>
  <c r="AD152"/>
  <c r="AD151" s="1"/>
  <c r="AC152"/>
  <c r="AC151" s="1"/>
  <c r="AB152"/>
  <c r="AB151" s="1"/>
  <c r="AA152"/>
  <c r="AA151" s="1"/>
  <c r="Y152"/>
  <c r="Y151" s="1"/>
  <c r="W152"/>
  <c r="W151" s="1"/>
  <c r="V152"/>
  <c r="V151" s="1"/>
  <c r="U152"/>
  <c r="U151" s="1"/>
  <c r="P152"/>
  <c r="P151" s="1"/>
  <c r="AN151"/>
  <c r="AM151"/>
  <c r="AL151"/>
  <c r="AK151"/>
  <c r="AJ151"/>
  <c r="S151"/>
  <c r="R151"/>
  <c r="O151"/>
  <c r="N151"/>
  <c r="M151"/>
  <c r="L151"/>
  <c r="P150"/>
  <c r="P149" s="1"/>
  <c r="AN149"/>
  <c r="AM149"/>
  <c r="AL149"/>
  <c r="AK149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O149"/>
  <c r="N149"/>
  <c r="M149"/>
  <c r="L149"/>
  <c r="Z148"/>
  <c r="Z146" s="1"/>
  <c r="Z145" s="1"/>
  <c r="Q148"/>
  <c r="P148" s="1"/>
  <c r="AD146"/>
  <c r="AC146"/>
  <c r="AC145" s="1"/>
  <c r="AB146"/>
  <c r="AB145" s="1"/>
  <c r="AA146"/>
  <c r="AA145" s="1"/>
  <c r="Y146"/>
  <c r="Y145" s="1"/>
  <c r="X146"/>
  <c r="X145" s="1"/>
  <c r="W146"/>
  <c r="W145" s="1"/>
  <c r="V146"/>
  <c r="V145" s="1"/>
  <c r="U146"/>
  <c r="U145" s="1"/>
  <c r="T146"/>
  <c r="T145" s="1"/>
  <c r="P146"/>
  <c r="P145" s="1"/>
  <c r="AN145"/>
  <c r="AM145"/>
  <c r="AL145"/>
  <c r="AK145"/>
  <c r="AJ145"/>
  <c r="AI145"/>
  <c r="AH145"/>
  <c r="AG145"/>
  <c r="AF145"/>
  <c r="AE145"/>
  <c r="AD145"/>
  <c r="S145"/>
  <c r="R145"/>
  <c r="O145"/>
  <c r="N145"/>
  <c r="M145"/>
  <c r="L145"/>
  <c r="AE144"/>
  <c r="R144"/>
  <c r="Q144"/>
  <c r="Z143"/>
  <c r="AE142"/>
  <c r="Z142"/>
  <c r="Q142"/>
  <c r="AE141"/>
  <c r="Z141"/>
  <c r="R141"/>
  <c r="Q141"/>
  <c r="AE140"/>
  <c r="Q140"/>
  <c r="AE139"/>
  <c r="Q139"/>
  <c r="AE138"/>
  <c r="R138"/>
  <c r="Q138"/>
  <c r="AN137"/>
  <c r="AN136" s="1"/>
  <c r="AM137"/>
  <c r="AM136" s="1"/>
  <c r="AL137"/>
  <c r="AK137"/>
  <c r="AJ137"/>
  <c r="AG137"/>
  <c r="AG136" s="1"/>
  <c r="AF137"/>
  <c r="AF136" s="1"/>
  <c r="AD137"/>
  <c r="AD136" s="1"/>
  <c r="AC137"/>
  <c r="AC136" s="1"/>
  <c r="AB137"/>
  <c r="AA137"/>
  <c r="AA136" s="1"/>
  <c r="Y137"/>
  <c r="Y136" s="1"/>
  <c r="W137"/>
  <c r="W136" s="1"/>
  <c r="V137"/>
  <c r="V136" s="1"/>
  <c r="U137"/>
  <c r="U136" s="1"/>
  <c r="T137"/>
  <c r="T136" s="1"/>
  <c r="S137"/>
  <c r="S136" s="1"/>
  <c r="P137"/>
  <c r="AK136"/>
  <c r="AI136"/>
  <c r="AH136"/>
  <c r="AB136"/>
  <c r="X136"/>
  <c r="P136"/>
  <c r="M136"/>
  <c r="L136"/>
  <c r="J136" s="1"/>
  <c r="J127" s="1"/>
  <c r="J123" s="1"/>
  <c r="P135"/>
  <c r="P134"/>
  <c r="AN133"/>
  <c r="AM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S133"/>
  <c r="R133"/>
  <c r="Q133"/>
  <c r="O133"/>
  <c r="N133"/>
  <c r="P133" s="1"/>
  <c r="M133"/>
  <c r="L133"/>
  <c r="K133"/>
  <c r="K127" s="1"/>
  <c r="K123" s="1"/>
  <c r="P132"/>
  <c r="AN131"/>
  <c r="AM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S131"/>
  <c r="R131"/>
  <c r="Q131"/>
  <c r="O131"/>
  <c r="N131"/>
  <c r="P131" s="1"/>
  <c r="M131"/>
  <c r="L131"/>
  <c r="L130"/>
  <c r="P129"/>
  <c r="N129"/>
  <c r="M129"/>
  <c r="L129"/>
  <c r="L125" s="1"/>
  <c r="L128"/>
  <c r="AN126"/>
  <c r="AM126"/>
  <c r="AL126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K126"/>
  <c r="J126"/>
  <c r="AN125"/>
  <c r="AM125"/>
  <c r="AL125"/>
  <c r="AK125"/>
  <c r="AJ125"/>
  <c r="AG125"/>
  <c r="AC125"/>
  <c r="AB125"/>
  <c r="Y125"/>
  <c r="U125"/>
  <c r="T125"/>
  <c r="Q125"/>
  <c r="P125"/>
  <c r="K125"/>
  <c r="J125"/>
  <c r="K124"/>
  <c r="Z119"/>
  <c r="R119"/>
  <c r="R117" s="1"/>
  <c r="R116" s="1"/>
  <c r="R113" s="1"/>
  <c r="Q119"/>
  <c r="Q117" s="1"/>
  <c r="Q116" s="1"/>
  <c r="Z118"/>
  <c r="AD117"/>
  <c r="AD116" s="1"/>
  <c r="AC117"/>
  <c r="AC116" s="1"/>
  <c r="AB117"/>
  <c r="AB116" s="1"/>
  <c r="AB113" s="1"/>
  <c r="AB105" s="1"/>
  <c r="AB103" s="1"/>
  <c r="AA117"/>
  <c r="AA116" s="1"/>
  <c r="AA113" s="1"/>
  <c r="Y117"/>
  <c r="Y116" s="1"/>
  <c r="X117"/>
  <c r="X116" s="1"/>
  <c r="W117"/>
  <c r="W116" s="1"/>
  <c r="V117"/>
  <c r="V116" s="1"/>
  <c r="V113" s="1"/>
  <c r="V105" s="1"/>
  <c r="V103" s="1"/>
  <c r="U117"/>
  <c r="U116" s="1"/>
  <c r="T117"/>
  <c r="T116" s="1"/>
  <c r="S117"/>
  <c r="S116" s="1"/>
  <c r="S113" s="1"/>
  <c r="P117"/>
  <c r="P116" s="1"/>
  <c r="AN116"/>
  <c r="AN113" s="1"/>
  <c r="AM116"/>
  <c r="AM113" s="1"/>
  <c r="AI116"/>
  <c r="AI108" s="1"/>
  <c r="AI106" s="1"/>
  <c r="AH116"/>
  <c r="AH113" s="1"/>
  <c r="AH105" s="1"/>
  <c r="AH103" s="1"/>
  <c r="AG116"/>
  <c r="AG113" s="1"/>
  <c r="AG105" s="1"/>
  <c r="AG103" s="1"/>
  <c r="AF116"/>
  <c r="AF113" s="1"/>
  <c r="AF105" s="1"/>
  <c r="AF103" s="1"/>
  <c r="AE116"/>
  <c r="AE108" s="1"/>
  <c r="AE106" s="1"/>
  <c r="O116"/>
  <c r="O113" s="1"/>
  <c r="N116"/>
  <c r="N113" s="1"/>
  <c r="M116"/>
  <c r="M113" s="1"/>
  <c r="L116"/>
  <c r="L113" s="1"/>
  <c r="L115"/>
  <c r="L114"/>
  <c r="AI113"/>
  <c r="AI105" s="1"/>
  <c r="AI103" s="1"/>
  <c r="J113"/>
  <c r="L112"/>
  <c r="K112"/>
  <c r="Z111"/>
  <c r="Z110" s="1"/>
  <c r="Z109" s="1"/>
  <c r="AH110"/>
  <c r="AH109" s="1"/>
  <c r="AG110"/>
  <c r="AG109" s="1"/>
  <c r="AF110"/>
  <c r="AF109" s="1"/>
  <c r="AE110"/>
  <c r="AE109" s="1"/>
  <c r="AD110"/>
  <c r="AD109" s="1"/>
  <c r="AC110"/>
  <c r="AC109" s="1"/>
  <c r="AB110"/>
  <c r="AB109" s="1"/>
  <c r="AA110"/>
  <c r="AA109" s="1"/>
  <c r="Y110"/>
  <c r="Y109" s="1"/>
  <c r="X110"/>
  <c r="X109" s="1"/>
  <c r="W110"/>
  <c r="W109" s="1"/>
  <c r="V110"/>
  <c r="V109" s="1"/>
  <c r="U110"/>
  <c r="U109" s="1"/>
  <c r="T110"/>
  <c r="T109" s="1"/>
  <c r="P110"/>
  <c r="AN109"/>
  <c r="AM109"/>
  <c r="AK109"/>
  <c r="AI109"/>
  <c r="S109"/>
  <c r="R109"/>
  <c r="Q109"/>
  <c r="O109"/>
  <c r="N109"/>
  <c r="P109" s="1"/>
  <c r="M109"/>
  <c r="L109"/>
  <c r="P108"/>
  <c r="P106" s="1"/>
  <c r="AN106"/>
  <c r="AM106"/>
  <c r="AL106"/>
  <c r="AK106"/>
  <c r="AA106"/>
  <c r="Z106"/>
  <c r="S106"/>
  <c r="R106"/>
  <c r="Q106"/>
  <c r="O106"/>
  <c r="N106"/>
  <c r="M106"/>
  <c r="L106"/>
  <c r="P105"/>
  <c r="P103" s="1"/>
  <c r="AN103"/>
  <c r="AM103"/>
  <c r="AK103"/>
  <c r="AA103"/>
  <c r="Z103"/>
  <c r="S103"/>
  <c r="R103"/>
  <c r="Q103"/>
  <c r="O103"/>
  <c r="N103"/>
  <c r="M103"/>
  <c r="L103"/>
  <c r="AE102"/>
  <c r="AE101" s="1"/>
  <c r="Z102"/>
  <c r="Z101" s="1"/>
  <c r="P102"/>
  <c r="P101" s="1"/>
  <c r="AN101"/>
  <c r="AM101"/>
  <c r="AL101"/>
  <c r="AK101"/>
  <c r="AI101"/>
  <c r="AH101"/>
  <c r="AG101"/>
  <c r="AF101"/>
  <c r="AD101"/>
  <c r="AC101"/>
  <c r="AB101"/>
  <c r="AA101"/>
  <c r="Y101"/>
  <c r="X101"/>
  <c r="W101"/>
  <c r="V101"/>
  <c r="U101"/>
  <c r="T101"/>
  <c r="S101"/>
  <c r="R101"/>
  <c r="Q101"/>
  <c r="O101"/>
  <c r="N101"/>
  <c r="M101"/>
  <c r="L101"/>
  <c r="P100"/>
  <c r="AE99"/>
  <c r="AB99"/>
  <c r="Z99" s="1"/>
  <c r="Z97" s="1"/>
  <c r="Z96" s="1"/>
  <c r="U99"/>
  <c r="T99" s="1"/>
  <c r="L99"/>
  <c r="AE98"/>
  <c r="Q98"/>
  <c r="L98"/>
  <c r="AI97"/>
  <c r="AI96" s="1"/>
  <c r="AH97"/>
  <c r="AH96" s="1"/>
  <c r="AG97"/>
  <c r="AG96" s="1"/>
  <c r="AF97"/>
  <c r="AD97"/>
  <c r="AD96" s="1"/>
  <c r="AC97"/>
  <c r="AC96" s="1"/>
  <c r="AA97"/>
  <c r="AA96" s="1"/>
  <c r="Y97"/>
  <c r="Y96" s="1"/>
  <c r="W97"/>
  <c r="W96" s="1"/>
  <c r="V97"/>
  <c r="S97"/>
  <c r="S96" s="1"/>
  <c r="R97"/>
  <c r="R96" s="1"/>
  <c r="AN96"/>
  <c r="AM96"/>
  <c r="AK96"/>
  <c r="AF96"/>
  <c r="X96"/>
  <c r="V96"/>
  <c r="O96"/>
  <c r="N96"/>
  <c r="P96" s="1"/>
  <c r="M96"/>
  <c r="L96"/>
  <c r="P95"/>
  <c r="AE94"/>
  <c r="Q94"/>
  <c r="AE93"/>
  <c r="Z93"/>
  <c r="R93"/>
  <c r="Q93"/>
  <c r="AE92"/>
  <c r="Q92"/>
  <c r="AI91"/>
  <c r="AI90" s="1"/>
  <c r="AH91"/>
  <c r="AH90" s="1"/>
  <c r="AG91"/>
  <c r="AF91"/>
  <c r="AE91"/>
  <c r="AE90" s="1"/>
  <c r="AD91"/>
  <c r="AD90" s="1"/>
  <c r="AC91"/>
  <c r="AB91"/>
  <c r="AA91"/>
  <c r="AA90" s="1"/>
  <c r="Z91"/>
  <c r="Z90" s="1"/>
  <c r="Y91"/>
  <c r="W91"/>
  <c r="W90" s="1"/>
  <c r="V91"/>
  <c r="V90" s="1"/>
  <c r="U91"/>
  <c r="U90" s="1"/>
  <c r="T91"/>
  <c r="T90" s="1"/>
  <c r="S91"/>
  <c r="S90" s="1"/>
  <c r="R91"/>
  <c r="R90" s="1"/>
  <c r="Q91"/>
  <c r="Q90" s="1"/>
  <c r="P91"/>
  <c r="AN90"/>
  <c r="AM90"/>
  <c r="AK90"/>
  <c r="AG90"/>
  <c r="AF90"/>
  <c r="AC90"/>
  <c r="AB90"/>
  <c r="Y90"/>
  <c r="X90"/>
  <c r="O90"/>
  <c r="N90"/>
  <c r="P90" s="1"/>
  <c r="M90"/>
  <c r="L90"/>
  <c r="AE89"/>
  <c r="AE88" s="1"/>
  <c r="AE87" s="1"/>
  <c r="Q89"/>
  <c r="Q88" s="1"/>
  <c r="Q87" s="1"/>
  <c r="AI88"/>
  <c r="AI87" s="1"/>
  <c r="AH88"/>
  <c r="AH87" s="1"/>
  <c r="AG88"/>
  <c r="AG87" s="1"/>
  <c r="AF88"/>
  <c r="AF87" s="1"/>
  <c r="AD88"/>
  <c r="AD87" s="1"/>
  <c r="AC88"/>
  <c r="AC87" s="1"/>
  <c r="AB88"/>
  <c r="AB87" s="1"/>
  <c r="AA88"/>
  <c r="AA87" s="1"/>
  <c r="Z88"/>
  <c r="Y88"/>
  <c r="Y87" s="1"/>
  <c r="X88"/>
  <c r="X87" s="1"/>
  <c r="W88"/>
  <c r="W87" s="1"/>
  <c r="V88"/>
  <c r="V87" s="1"/>
  <c r="U88"/>
  <c r="U87" s="1"/>
  <c r="T88"/>
  <c r="T87" s="1"/>
  <c r="S88"/>
  <c r="S87" s="1"/>
  <c r="R88"/>
  <c r="P88"/>
  <c r="P87" s="1"/>
  <c r="AN87"/>
  <c r="AM87"/>
  <c r="AK87"/>
  <c r="Z87"/>
  <c r="R87"/>
  <c r="O87"/>
  <c r="N87"/>
  <c r="M87"/>
  <c r="L87"/>
  <c r="P86"/>
  <c r="AN85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O85"/>
  <c r="N85"/>
  <c r="P85" s="1"/>
  <c r="M85"/>
  <c r="L85"/>
  <c r="P84"/>
  <c r="AN83"/>
  <c r="AM83"/>
  <c r="AL83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S83"/>
  <c r="R83"/>
  <c r="Q83"/>
  <c r="O83"/>
  <c r="N83"/>
  <c r="M83"/>
  <c r="L83"/>
  <c r="AJ82"/>
  <c r="AK82" s="1"/>
  <c r="L82"/>
  <c r="P81"/>
  <c r="J81"/>
  <c r="AE80"/>
  <c r="Z80"/>
  <c r="R80"/>
  <c r="Q80"/>
  <c r="Q79" s="1"/>
  <c r="Q78" s="1"/>
  <c r="AI79"/>
  <c r="AI78" s="1"/>
  <c r="AH79"/>
  <c r="AH78" s="1"/>
  <c r="AG79"/>
  <c r="AG78" s="1"/>
  <c r="AF79"/>
  <c r="AF78" s="1"/>
  <c r="AE79"/>
  <c r="AE78" s="1"/>
  <c r="AD79"/>
  <c r="AD78" s="1"/>
  <c r="AC79"/>
  <c r="AB79"/>
  <c r="AB78" s="1"/>
  <c r="AA79"/>
  <c r="AA78" s="1"/>
  <c r="Z79"/>
  <c r="Z78" s="1"/>
  <c r="Y79"/>
  <c r="Y78" s="1"/>
  <c r="W79"/>
  <c r="W78" s="1"/>
  <c r="V79"/>
  <c r="V78" s="1"/>
  <c r="U79"/>
  <c r="U78" s="1"/>
  <c r="T79"/>
  <c r="T78" s="1"/>
  <c r="S79"/>
  <c r="S78" s="1"/>
  <c r="R79"/>
  <c r="R78" s="1"/>
  <c r="P79"/>
  <c r="J79"/>
  <c r="AN78"/>
  <c r="AN71" s="1"/>
  <c r="AM78"/>
  <c r="AC78"/>
  <c r="X78"/>
  <c r="O78"/>
  <c r="N78"/>
  <c r="P78" s="1"/>
  <c r="M78"/>
  <c r="L78"/>
  <c r="J78" s="1"/>
  <c r="AE76"/>
  <c r="AE75" s="1"/>
  <c r="AE74" s="1"/>
  <c r="Z76"/>
  <c r="Z75" s="1"/>
  <c r="Z74" s="1"/>
  <c r="X76"/>
  <c r="X75" s="1"/>
  <c r="X74" s="1"/>
  <c r="V76"/>
  <c r="V75" s="1"/>
  <c r="V74" s="1"/>
  <c r="R76"/>
  <c r="R75" s="1"/>
  <c r="R74" s="1"/>
  <c r="Q76"/>
  <c r="P76" s="1"/>
  <c r="AI75"/>
  <c r="AI74" s="1"/>
  <c r="AH75"/>
  <c r="AH74" s="1"/>
  <c r="AG75"/>
  <c r="AG74" s="1"/>
  <c r="AF75"/>
  <c r="AF74" s="1"/>
  <c r="AD75"/>
  <c r="AD74" s="1"/>
  <c r="AC75"/>
  <c r="AC74" s="1"/>
  <c r="AB75"/>
  <c r="AB74" s="1"/>
  <c r="AA75"/>
  <c r="AA74" s="1"/>
  <c r="Y75"/>
  <c r="Y74" s="1"/>
  <c r="W75"/>
  <c r="W74" s="1"/>
  <c r="U75"/>
  <c r="U74" s="1"/>
  <c r="T75"/>
  <c r="T74" s="1"/>
  <c r="S75"/>
  <c r="S74" s="1"/>
  <c r="Q75"/>
  <c r="Q74" s="1"/>
  <c r="P75"/>
  <c r="AK74"/>
  <c r="O74"/>
  <c r="N74"/>
  <c r="P74" s="1"/>
  <c r="M74"/>
  <c r="L74"/>
  <c r="J74" s="1"/>
  <c r="L73"/>
  <c r="J73" s="1"/>
  <c r="L72"/>
  <c r="J72" s="1"/>
  <c r="AM71"/>
  <c r="K71"/>
  <c r="L70"/>
  <c r="P69"/>
  <c r="AE68"/>
  <c r="AE67" s="1"/>
  <c r="AE66" s="1"/>
  <c r="AE63" s="1"/>
  <c r="Z68"/>
  <c r="S68"/>
  <c r="R68" s="1"/>
  <c r="R67" s="1"/>
  <c r="R66" s="1"/>
  <c r="R63" s="1"/>
  <c r="AF67"/>
  <c r="AA67"/>
  <c r="AA66" s="1"/>
  <c r="AA63" s="1"/>
  <c r="Z67"/>
  <c r="Z66" s="1"/>
  <c r="Z63" s="1"/>
  <c r="Y67"/>
  <c r="Y66" s="1"/>
  <c r="Y63" s="1"/>
  <c r="W67"/>
  <c r="W66" s="1"/>
  <c r="W63" s="1"/>
  <c r="V67"/>
  <c r="V66" s="1"/>
  <c r="V63" s="1"/>
  <c r="U67"/>
  <c r="U66" s="1"/>
  <c r="U63" s="1"/>
  <c r="T67"/>
  <c r="T66" s="1"/>
  <c r="T63" s="1"/>
  <c r="P67"/>
  <c r="P66" s="1"/>
  <c r="P63" s="1"/>
  <c r="AN66"/>
  <c r="AN63" s="1"/>
  <c r="AM66"/>
  <c r="AM63" s="1"/>
  <c r="AI66"/>
  <c r="AH66"/>
  <c r="AH63" s="1"/>
  <c r="AG66"/>
  <c r="AG63" s="1"/>
  <c r="AF66"/>
  <c r="AF63" s="1"/>
  <c r="AD66"/>
  <c r="AD63" s="1"/>
  <c r="AC66"/>
  <c r="AC63" s="1"/>
  <c r="AB66"/>
  <c r="AB63" s="1"/>
  <c r="X66"/>
  <c r="X63" s="1"/>
  <c r="O66"/>
  <c r="O63" s="1"/>
  <c r="N66"/>
  <c r="N63" s="1"/>
  <c r="M66"/>
  <c r="M63" s="1"/>
  <c r="L66"/>
  <c r="L63" s="1"/>
  <c r="L65"/>
  <c r="L64"/>
  <c r="AI63"/>
  <c r="K63"/>
  <c r="J63"/>
  <c r="J62"/>
  <c r="J61"/>
  <c r="AN60"/>
  <c r="AM60"/>
  <c r="AI60"/>
  <c r="AI54" s="1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J60" s="1"/>
  <c r="L59"/>
  <c r="J59" s="1"/>
  <c r="L58"/>
  <c r="J58" s="1"/>
  <c r="AN57"/>
  <c r="AM57"/>
  <c r="AM54" s="1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J56"/>
  <c r="J55"/>
  <c r="AL54"/>
  <c r="AI53"/>
  <c r="AH53"/>
  <c r="AG53"/>
  <c r="AF53"/>
  <c r="V51"/>
  <c r="V49" s="1"/>
  <c r="U51"/>
  <c r="U49" s="1"/>
  <c r="T51"/>
  <c r="T48" s="1"/>
  <c r="S51"/>
  <c r="S49" s="1"/>
  <c r="R51"/>
  <c r="R49" s="1"/>
  <c r="Q51"/>
  <c r="Q49" s="1"/>
  <c r="P51"/>
  <c r="P48" s="1"/>
  <c r="O51"/>
  <c r="O49" s="1"/>
  <c r="N51"/>
  <c r="N49" s="1"/>
  <c r="M51"/>
  <c r="M49" s="1"/>
  <c r="L51"/>
  <c r="L48" s="1"/>
  <c r="AN49"/>
  <c r="AN20" s="1"/>
  <c r="AN14" s="1"/>
  <c r="AM49"/>
  <c r="AL49"/>
  <c r="AI49"/>
  <c r="AH49"/>
  <c r="AG49"/>
  <c r="AF49"/>
  <c r="AE49"/>
  <c r="AD49"/>
  <c r="AC49"/>
  <c r="AB49"/>
  <c r="AA49"/>
  <c r="Z49"/>
  <c r="Y49"/>
  <c r="X49"/>
  <c r="W49"/>
  <c r="K49"/>
  <c r="K20" s="1"/>
  <c r="K14" s="1"/>
  <c r="J49"/>
  <c r="P46"/>
  <c r="Z45"/>
  <c r="Z44" s="1"/>
  <c r="Z43" s="1"/>
  <c r="Q45"/>
  <c r="AD44"/>
  <c r="AD43" s="1"/>
  <c r="Y44"/>
  <c r="Y43" s="1"/>
  <c r="X44"/>
  <c r="X43" s="1"/>
  <c r="Q44"/>
  <c r="Q43" s="1"/>
  <c r="P44"/>
  <c r="L44"/>
  <c r="L43" s="1"/>
  <c r="AN43"/>
  <c r="AM43"/>
  <c r="AI43"/>
  <c r="AH43"/>
  <c r="AG43"/>
  <c r="AF43"/>
  <c r="AE43"/>
  <c r="AC43"/>
  <c r="AB43"/>
  <c r="AA43"/>
  <c r="W43"/>
  <c r="V43"/>
  <c r="U43"/>
  <c r="T43"/>
  <c r="S43"/>
  <c r="R43"/>
  <c r="O43"/>
  <c r="N43"/>
  <c r="P43" s="1"/>
  <c r="M43"/>
  <c r="P42"/>
  <c r="P41"/>
  <c r="AN40"/>
  <c r="AM40"/>
  <c r="AL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O40"/>
  <c r="N40"/>
  <c r="P40" s="1"/>
  <c r="M40"/>
  <c r="L40"/>
  <c r="J40" s="1"/>
  <c r="J22" s="1"/>
  <c r="J18" s="1"/>
  <c r="AE39"/>
  <c r="Q39"/>
  <c r="P39" s="1"/>
  <c r="AE38"/>
  <c r="Q38"/>
  <c r="P38" s="1"/>
  <c r="AI37"/>
  <c r="AH37"/>
  <c r="AH24" s="1"/>
  <c r="AH20" s="1"/>
  <c r="AG37"/>
  <c r="AF37"/>
  <c r="AD37"/>
  <c r="AC37"/>
  <c r="AC24" s="1"/>
  <c r="AC20" s="1"/>
  <c r="AC14" s="1"/>
  <c r="AB37"/>
  <c r="AA37"/>
  <c r="Z37"/>
  <c r="Y37"/>
  <c r="Y24" s="1"/>
  <c r="Y20" s="1"/>
  <c r="Y14" s="1"/>
  <c r="W37"/>
  <c r="V37"/>
  <c r="U37"/>
  <c r="T37"/>
  <c r="S37"/>
  <c r="R37"/>
  <c r="N37"/>
  <c r="P37" s="1"/>
  <c r="L37"/>
  <c r="AE36"/>
  <c r="AE35" s="1"/>
  <c r="AE25" s="1"/>
  <c r="AE21" s="1"/>
  <c r="AE15" s="1"/>
  <c r="AC36"/>
  <c r="AC35" s="1"/>
  <c r="AC25" s="1"/>
  <c r="AC21" s="1"/>
  <c r="AC15" s="1"/>
  <c r="AA36"/>
  <c r="W36"/>
  <c r="W35" s="1"/>
  <c r="W25" s="1"/>
  <c r="W21" s="1"/>
  <c r="W15" s="1"/>
  <c r="S36"/>
  <c r="R36" s="1"/>
  <c r="R35" s="1"/>
  <c r="R25" s="1"/>
  <c r="R21" s="1"/>
  <c r="AI35"/>
  <c r="AH35"/>
  <c r="AG35"/>
  <c r="AG25" s="1"/>
  <c r="AG21" s="1"/>
  <c r="AG15" s="1"/>
  <c r="AF35"/>
  <c r="AF25" s="1"/>
  <c r="AF21" s="1"/>
  <c r="AF15" s="1"/>
  <c r="AD35"/>
  <c r="AD25" s="1"/>
  <c r="AD21" s="1"/>
  <c r="AB35"/>
  <c r="AA35"/>
  <c r="AA25" s="1"/>
  <c r="AA21" s="1"/>
  <c r="AA15" s="1"/>
  <c r="Y35"/>
  <c r="Y25" s="1"/>
  <c r="Y21" s="1"/>
  <c r="Y15" s="1"/>
  <c r="V35"/>
  <c r="U35"/>
  <c r="U25" s="1"/>
  <c r="U21" s="1"/>
  <c r="U15" s="1"/>
  <c r="T35"/>
  <c r="T25" s="1"/>
  <c r="T21" s="1"/>
  <c r="T15" s="1"/>
  <c r="P35"/>
  <c r="J35"/>
  <c r="J25" s="1"/>
  <c r="J21" s="1"/>
  <c r="J15" s="1"/>
  <c r="AE34"/>
  <c r="Z34"/>
  <c r="R34"/>
  <c r="P34" s="1"/>
  <c r="Q34"/>
  <c r="AE33"/>
  <c r="Z33"/>
  <c r="Q33"/>
  <c r="AE32"/>
  <c r="Z32"/>
  <c r="Q32"/>
  <c r="AE31"/>
  <c r="Z31"/>
  <c r="Q31"/>
  <c r="P31"/>
  <c r="AE30"/>
  <c r="AA30"/>
  <c r="Z30" s="1"/>
  <c r="T30"/>
  <c r="T27" s="1"/>
  <c r="S30"/>
  <c r="R30" s="1"/>
  <c r="P30" s="1"/>
  <c r="AE29"/>
  <c r="AC29"/>
  <c r="AA29"/>
  <c r="R29"/>
  <c r="Q29"/>
  <c r="P29" s="1"/>
  <c r="AE28"/>
  <c r="AC28"/>
  <c r="AA28"/>
  <c r="W28"/>
  <c r="W27" s="1"/>
  <c r="S28"/>
  <c r="R28" s="1"/>
  <c r="AI27"/>
  <c r="AH27"/>
  <c r="AH22" s="1"/>
  <c r="AH18" s="1"/>
  <c r="AG27"/>
  <c r="AF27"/>
  <c r="AD27"/>
  <c r="AB27"/>
  <c r="AB22" s="1"/>
  <c r="AB18" s="1"/>
  <c r="Y27"/>
  <c r="X27"/>
  <c r="V27"/>
  <c r="V22" s="1"/>
  <c r="V18" s="1"/>
  <c r="U27"/>
  <c r="U26" s="1"/>
  <c r="K27"/>
  <c r="K26" s="1"/>
  <c r="AN26"/>
  <c r="AM26"/>
  <c r="X26"/>
  <c r="O26"/>
  <c r="N26"/>
  <c r="M26"/>
  <c r="L26"/>
  <c r="AN25"/>
  <c r="AN21" s="1"/>
  <c r="AN15" s="1"/>
  <c r="AM25"/>
  <c r="AL25"/>
  <c r="AL21" s="1"/>
  <c r="AK25"/>
  <c r="AK21" s="1"/>
  <c r="AK15" s="1"/>
  <c r="AJ25"/>
  <c r="AJ21" s="1"/>
  <c r="AJ15" s="1"/>
  <c r="AI25"/>
  <c r="AI21" s="1"/>
  <c r="AI15" s="1"/>
  <c r="X25"/>
  <c r="P25"/>
  <c r="P21" s="1"/>
  <c r="P15" s="1"/>
  <c r="O25"/>
  <c r="N25"/>
  <c r="N21" s="1"/>
  <c r="M25"/>
  <c r="M21" s="1"/>
  <c r="M15" s="1"/>
  <c r="L25"/>
  <c r="L21" s="1"/>
  <c r="L15" s="1"/>
  <c r="K25"/>
  <c r="K21" s="1"/>
  <c r="K15" s="1"/>
  <c r="AI24"/>
  <c r="AG24"/>
  <c r="AG20" s="1"/>
  <c r="AG14" s="1"/>
  <c r="AF24"/>
  <c r="AF20" s="1"/>
  <c r="AD24"/>
  <c r="AB24"/>
  <c r="AB20" s="1"/>
  <c r="AB14" s="1"/>
  <c r="AA24"/>
  <c r="AA20" s="1"/>
  <c r="Z24"/>
  <c r="X24"/>
  <c r="X20" s="1"/>
  <c r="W24"/>
  <c r="W20" s="1"/>
  <c r="V24"/>
  <c r="U24"/>
  <c r="T24"/>
  <c r="S24"/>
  <c r="R24"/>
  <c r="O24"/>
  <c r="N24"/>
  <c r="M24"/>
  <c r="AI22"/>
  <c r="AI18" s="1"/>
  <c r="K22"/>
  <c r="K18" s="1"/>
  <c r="AM21"/>
  <c r="AM15" s="1"/>
  <c r="X21"/>
  <c r="X15" s="1"/>
  <c r="O21"/>
  <c r="O15" s="1"/>
  <c r="AM20"/>
  <c r="AM14" s="1"/>
  <c r="AL20"/>
  <c r="AI20"/>
  <c r="J20"/>
  <c r="J14" s="1"/>
  <c r="K19"/>
  <c r="K13" s="1"/>
  <c r="AL322" i="6"/>
  <c r="Z198"/>
  <c r="S293" l="1"/>
  <c r="AI293"/>
  <c r="AG293"/>
  <c r="AE293"/>
  <c r="AC293"/>
  <c r="R293"/>
  <c r="AH293"/>
  <c r="AF293"/>
  <c r="AD293"/>
  <c r="P208" i="15"/>
  <c r="Q207"/>
  <c r="Q206" s="1"/>
  <c r="N161"/>
  <c r="AB22" i="16"/>
  <c r="AB18" s="1"/>
  <c r="AN22"/>
  <c r="AN18" s="1"/>
  <c r="O54" i="15"/>
  <c r="AE54"/>
  <c r="O162"/>
  <c r="O125" s="1"/>
  <c r="S162"/>
  <c r="S125" s="1"/>
  <c r="W162"/>
  <c r="W125" s="1"/>
  <c r="W14" s="1"/>
  <c r="AA162"/>
  <c r="AA125" s="1"/>
  <c r="AA14" s="1"/>
  <c r="AE162"/>
  <c r="AE125" s="1"/>
  <c r="AI162"/>
  <c r="AI125" s="1"/>
  <c r="D19" i="17"/>
  <c r="M22" i="15"/>
  <c r="M18" s="1"/>
  <c r="AN22"/>
  <c r="AN18" s="1"/>
  <c r="AM22"/>
  <c r="AM18" s="1"/>
  <c r="AH108"/>
  <c r="AH106" s="1"/>
  <c r="U199"/>
  <c r="U198" s="1"/>
  <c r="AG22" i="16"/>
  <c r="AG18" s="1"/>
  <c r="W22"/>
  <c r="W18" s="1"/>
  <c r="O22"/>
  <c r="O18" s="1"/>
  <c r="AI14" i="15"/>
  <c r="L161"/>
  <c r="Y193"/>
  <c r="AB20" i="16"/>
  <c r="N162" i="15"/>
  <c r="N125" s="1"/>
  <c r="R162"/>
  <c r="R125" s="1"/>
  <c r="V162"/>
  <c r="V125" s="1"/>
  <c r="Z162"/>
  <c r="Z125" s="1"/>
  <c r="AD162"/>
  <c r="AD125" s="1"/>
  <c r="AH162"/>
  <c r="AH125" s="1"/>
  <c r="AI22" i="16"/>
  <c r="AI18" s="1"/>
  <c r="O125"/>
  <c r="M193"/>
  <c r="AH14" i="15"/>
  <c r="O22"/>
  <c r="O18" s="1"/>
  <c r="AG22"/>
  <c r="AG18" s="1"/>
  <c r="AG26" i="16"/>
  <c r="P208"/>
  <c r="AC27" i="15"/>
  <c r="AC22" s="1"/>
  <c r="AC18" s="1"/>
  <c r="Z207"/>
  <c r="Z206" s="1"/>
  <c r="AM22" i="16"/>
  <c r="AM18" s="1"/>
  <c r="AD326" i="6"/>
  <c r="AD280"/>
  <c r="Y326"/>
  <c r="Y280"/>
  <c r="AE326"/>
  <c r="AE280"/>
  <c r="AA331"/>
  <c r="AA280" s="1"/>
  <c r="T26" i="15"/>
  <c r="T22"/>
  <c r="T18" s="1"/>
  <c r="F13" i="17"/>
  <c r="H12"/>
  <c r="H11" s="1"/>
  <c r="X14" i="15"/>
  <c r="AF26"/>
  <c r="S27"/>
  <c r="AF22"/>
  <c r="AF18" s="1"/>
  <c r="M71"/>
  <c r="M125"/>
  <c r="AN14" i="16"/>
  <c r="O14"/>
  <c r="Y20"/>
  <c r="AG20"/>
  <c r="AF22"/>
  <c r="AF18" s="1"/>
  <c r="P37"/>
  <c r="P24" s="1"/>
  <c r="N24"/>
  <c r="N20" s="1"/>
  <c r="P40"/>
  <c r="N22"/>
  <c r="N18" s="1"/>
  <c r="R234" i="15"/>
  <c r="R233" s="1"/>
  <c r="P235"/>
  <c r="N22"/>
  <c r="N18" s="1"/>
  <c r="Z20"/>
  <c r="Z14" s="1"/>
  <c r="AD20"/>
  <c r="AD14" s="1"/>
  <c r="N15"/>
  <c r="Y26"/>
  <c r="AD15"/>
  <c r="V48"/>
  <c r="S14" i="16"/>
  <c r="AH15"/>
  <c r="AF14" i="15"/>
  <c r="R15"/>
  <c r="O71"/>
  <c r="AJ90"/>
  <c r="P200"/>
  <c r="Q199"/>
  <c r="Q198" s="1"/>
  <c r="N15" i="16"/>
  <c r="R49"/>
  <c r="R48"/>
  <c r="AE108"/>
  <c r="AE106" s="1"/>
  <c r="AE113"/>
  <c r="AE105" s="1"/>
  <c r="AE103" s="1"/>
  <c r="Q199"/>
  <c r="Q198" s="1"/>
  <c r="V237"/>
  <c r="V234" s="1"/>
  <c r="V233" s="1"/>
  <c r="Q237"/>
  <c r="W234"/>
  <c r="W233" s="1"/>
  <c r="G13" i="17"/>
  <c r="I12"/>
  <c r="M71" i="16"/>
  <c r="AN127"/>
  <c r="AN123" s="1"/>
  <c r="AM185"/>
  <c r="L193"/>
  <c r="P193"/>
  <c r="AB193"/>
  <c r="AF193"/>
  <c r="AN193"/>
  <c r="AM193"/>
  <c r="Q234"/>
  <c r="Q233" s="1"/>
  <c r="AI185" i="15"/>
  <c r="N193"/>
  <c r="AI193"/>
  <c r="AM193"/>
  <c r="J15" i="16"/>
  <c r="V15"/>
  <c r="R15"/>
  <c r="AE15"/>
  <c r="AJ78"/>
  <c r="AC108"/>
  <c r="AC106" s="1"/>
  <c r="AJ109"/>
  <c r="AJ116"/>
  <c r="M161"/>
  <c r="M124" s="1"/>
  <c r="AJ214"/>
  <c r="AK214" s="1"/>
  <c r="AM185" i="15"/>
  <c r="AM124" s="1"/>
  <c r="W14" i="16"/>
  <c r="N161"/>
  <c r="N193"/>
  <c r="AD193"/>
  <c r="AH193"/>
  <c r="AG193"/>
  <c r="Z234"/>
  <c r="Z233" s="1"/>
  <c r="J12" i="17"/>
  <c r="J11" s="1"/>
  <c r="J35" s="1"/>
  <c r="Z331" i="6"/>
  <c r="Z280" s="1"/>
  <c r="Q14" i="18"/>
  <c r="Q11" s="1"/>
  <c r="AL11" s="1"/>
  <c r="AJ13"/>
  <c r="AJ11" s="1"/>
  <c r="BE26"/>
  <c r="BC26"/>
  <c r="BD26" s="1"/>
  <c r="BC13"/>
  <c r="BC11" s="1"/>
  <c r="BE12"/>
  <c r="AP11"/>
  <c r="BE11" s="1"/>
  <c r="AK132"/>
  <c r="H35" i="17"/>
  <c r="L35"/>
  <c r="T113" i="16"/>
  <c r="T105" s="1"/>
  <c r="T103" s="1"/>
  <c r="T108"/>
  <c r="T106" s="1"/>
  <c r="P113"/>
  <c r="I11" i="17"/>
  <c r="AC27" i="16"/>
  <c r="Z29"/>
  <c r="V193"/>
  <c r="AJ90"/>
  <c r="U219"/>
  <c r="U218" s="1"/>
  <c r="AF127" i="15"/>
  <c r="AF123" s="1"/>
  <c r="N124"/>
  <c r="P49" i="16"/>
  <c r="P20" s="1"/>
  <c r="L54"/>
  <c r="J54" s="1"/>
  <c r="N54"/>
  <c r="P54"/>
  <c r="R54"/>
  <c r="V54"/>
  <c r="X54"/>
  <c r="Z54"/>
  <c r="AB54"/>
  <c r="AD54"/>
  <c r="AF54"/>
  <c r="AH54"/>
  <c r="AA161"/>
  <c r="AE161"/>
  <c r="AI161"/>
  <c r="AI124" s="1"/>
  <c r="I29" i="15"/>
  <c r="R48"/>
  <c r="P49"/>
  <c r="AJ78"/>
  <c r="Y161"/>
  <c r="AA161"/>
  <c r="AC161"/>
  <c r="AE161"/>
  <c r="AG161"/>
  <c r="AG124" s="1"/>
  <c r="AI161"/>
  <c r="AI124" s="1"/>
  <c r="AD113"/>
  <c r="AD105" s="1"/>
  <c r="AD103" s="1"/>
  <c r="AD108"/>
  <c r="AD106" s="1"/>
  <c r="W54"/>
  <c r="Q146"/>
  <c r="Q145" s="1"/>
  <c r="X152"/>
  <c r="X151" s="1"/>
  <c r="M161"/>
  <c r="O161"/>
  <c r="AL188"/>
  <c r="N48" i="16"/>
  <c r="V48"/>
  <c r="T49"/>
  <c r="T20" s="1"/>
  <c r="AE71"/>
  <c r="AI71"/>
  <c r="AF12" i="15"/>
  <c r="AF161" i="16"/>
  <c r="AF124" s="1"/>
  <c r="Q221"/>
  <c r="Q219" s="1"/>
  <c r="Q218" s="1"/>
  <c r="AJ218" s="1"/>
  <c r="AK218" s="1"/>
  <c r="Z28" i="15"/>
  <c r="AE27"/>
  <c r="S54"/>
  <c r="AA54"/>
  <c r="AJ87"/>
  <c r="L127"/>
  <c r="L123" s="1"/>
  <c r="AL164"/>
  <c r="AL161" s="1"/>
  <c r="V113" i="16"/>
  <c r="V105" s="1"/>
  <c r="V103" s="1"/>
  <c r="X161"/>
  <c r="Q175"/>
  <c r="Q174" s="1"/>
  <c r="M162"/>
  <c r="Q162"/>
  <c r="Q125" s="1"/>
  <c r="U162"/>
  <c r="U125" s="1"/>
  <c r="Y162"/>
  <c r="Y125" s="1"/>
  <c r="AC162"/>
  <c r="AC125" s="1"/>
  <c r="AG162"/>
  <c r="AG125" s="1"/>
  <c r="W71" i="15"/>
  <c r="Z152"/>
  <c r="Z151" s="1"/>
  <c r="AD193"/>
  <c r="Q237"/>
  <c r="Z237"/>
  <c r="AA71" i="16"/>
  <c r="O71"/>
  <c r="AB108"/>
  <c r="AB106" s="1"/>
  <c r="AB113"/>
  <c r="AB105" s="1"/>
  <c r="AB103" s="1"/>
  <c r="W26" i="15"/>
  <c r="Y71"/>
  <c r="AF193"/>
  <c r="Y71" i="16"/>
  <c r="AG71"/>
  <c r="AJ103"/>
  <c r="AB161"/>
  <c r="AB124" s="1"/>
  <c r="AH161"/>
  <c r="Z36" i="15"/>
  <c r="Z35" s="1"/>
  <c r="Z25" s="1"/>
  <c r="Z21" s="1"/>
  <c r="Z15" s="1"/>
  <c r="N54"/>
  <c r="P54"/>
  <c r="R54"/>
  <c r="T54"/>
  <c r="V54"/>
  <c r="X54"/>
  <c r="Z54"/>
  <c r="AB54"/>
  <c r="AD54"/>
  <c r="AF54"/>
  <c r="AH54"/>
  <c r="AE71"/>
  <c r="AG71"/>
  <c r="AI71"/>
  <c r="AF108"/>
  <c r="AF106" s="1"/>
  <c r="S127"/>
  <c r="S123" s="1"/>
  <c r="W127"/>
  <c r="W123" s="1"/>
  <c r="AA127"/>
  <c r="AA123" s="1"/>
  <c r="AG127"/>
  <c r="AG123" s="1"/>
  <c r="AI127"/>
  <c r="AI123" s="1"/>
  <c r="AE137"/>
  <c r="AE136" s="1"/>
  <c r="R161"/>
  <c r="V161"/>
  <c r="X161"/>
  <c r="O188"/>
  <c r="O185" s="1"/>
  <c r="M193"/>
  <c r="M124" s="1"/>
  <c r="O193"/>
  <c r="AA193"/>
  <c r="X193"/>
  <c r="X22" i="16"/>
  <c r="X18" s="1"/>
  <c r="AD26"/>
  <c r="AI26"/>
  <c r="Z36"/>
  <c r="Z35" s="1"/>
  <c r="Z25" s="1"/>
  <c r="Z21" s="1"/>
  <c r="Z15" s="1"/>
  <c r="L57"/>
  <c r="J57" s="1"/>
  <c r="O54"/>
  <c r="AJ57"/>
  <c r="S54"/>
  <c r="U54"/>
  <c r="W54"/>
  <c r="Y54"/>
  <c r="AA54"/>
  <c r="AC54"/>
  <c r="AE54"/>
  <c r="AG54"/>
  <c r="U97"/>
  <c r="U96" s="1"/>
  <c r="AE97"/>
  <c r="AE96" s="1"/>
  <c r="Q99"/>
  <c r="Q97" s="1"/>
  <c r="Q96" s="1"/>
  <c r="W108"/>
  <c r="W106" s="1"/>
  <c r="AI113"/>
  <c r="AI105" s="1"/>
  <c r="AI103" s="1"/>
  <c r="N127"/>
  <c r="N123" s="1"/>
  <c r="AE137"/>
  <c r="AE136" s="1"/>
  <c r="R137"/>
  <c r="R136" s="1"/>
  <c r="R127" s="1"/>
  <c r="R123" s="1"/>
  <c r="AN193" i="15"/>
  <c r="AN185"/>
  <c r="AH185"/>
  <c r="AH193"/>
  <c r="AJ43"/>
  <c r="AK43" s="1"/>
  <c r="N48"/>
  <c r="T49"/>
  <c r="T20" s="1"/>
  <c r="T14" s="1"/>
  <c r="V71"/>
  <c r="AJ116"/>
  <c r="U127"/>
  <c r="U123" s="1"/>
  <c r="Y127"/>
  <c r="Y123" s="1"/>
  <c r="AC127"/>
  <c r="AC123" s="1"/>
  <c r="AE127"/>
  <c r="AE123" s="1"/>
  <c r="AN127"/>
  <c r="AN123" s="1"/>
  <c r="AN12" s="1"/>
  <c r="AH127"/>
  <c r="AH123" s="1"/>
  <c r="AH12" s="1"/>
  <c r="Q137"/>
  <c r="Q136" s="1"/>
  <c r="R137"/>
  <c r="R136" s="1"/>
  <c r="R127" s="1"/>
  <c r="R123" s="1"/>
  <c r="Z137"/>
  <c r="Z136" s="1"/>
  <c r="O124"/>
  <c r="AA124"/>
  <c r="J193"/>
  <c r="AB219"/>
  <c r="AB218" s="1"/>
  <c r="AB193" s="1"/>
  <c r="Q36" i="16"/>
  <c r="P36" s="1"/>
  <c r="M127"/>
  <c r="M123" s="1"/>
  <c r="M12" s="1"/>
  <c r="O127"/>
  <c r="O123" s="1"/>
  <c r="AH127"/>
  <c r="AH123" s="1"/>
  <c r="AM127"/>
  <c r="AM123" s="1"/>
  <c r="L127"/>
  <c r="L123" s="1"/>
  <c r="Q146"/>
  <c r="Q145" s="1"/>
  <c r="X152"/>
  <c r="X151" s="1"/>
  <c r="X127" s="1"/>
  <c r="X123" s="1"/>
  <c r="T127"/>
  <c r="T123" s="1"/>
  <c r="Z152"/>
  <c r="Z151" s="1"/>
  <c r="Q169"/>
  <c r="Q168" s="1"/>
  <c r="AE193"/>
  <c r="Q207"/>
  <c r="Q206" s="1"/>
  <c r="V26" i="15"/>
  <c r="AB26"/>
  <c r="Y22"/>
  <c r="Y18" s="1"/>
  <c r="M54"/>
  <c r="Q54"/>
  <c r="U54"/>
  <c r="Y54"/>
  <c r="AC54"/>
  <c r="AG54"/>
  <c r="Z117"/>
  <c r="Z116" s="1"/>
  <c r="Z113" s="1"/>
  <c r="Y124"/>
  <c r="T161"/>
  <c r="X124"/>
  <c r="AN124"/>
  <c r="AE185"/>
  <c r="AE124" s="1"/>
  <c r="AE122" s="1"/>
  <c r="AF185"/>
  <c r="R193"/>
  <c r="V193"/>
  <c r="S193"/>
  <c r="U193"/>
  <c r="Z234"/>
  <c r="Z233" s="1"/>
  <c r="AM19" i="16"/>
  <c r="AM17" s="1"/>
  <c r="AN54"/>
  <c r="AN19" s="1"/>
  <c r="AN17" s="1"/>
  <c r="S161"/>
  <c r="W161"/>
  <c r="Z161"/>
  <c r="AD161"/>
  <c r="AD124" s="1"/>
  <c r="L161"/>
  <c r="L124" s="1"/>
  <c r="M125"/>
  <c r="L162"/>
  <c r="L125" s="1"/>
  <c r="N162"/>
  <c r="N125" s="1"/>
  <c r="N14" s="1"/>
  <c r="P162"/>
  <c r="R162"/>
  <c r="R125" s="1"/>
  <c r="T162"/>
  <c r="T125" s="1"/>
  <c r="V162"/>
  <c r="V125" s="1"/>
  <c r="X162"/>
  <c r="X125" s="1"/>
  <c r="X14" s="1"/>
  <c r="Z162"/>
  <c r="Z125" s="1"/>
  <c r="Z14" s="1"/>
  <c r="AB162"/>
  <c r="AB125" s="1"/>
  <c r="AB14" s="1"/>
  <c r="AD162"/>
  <c r="AD125" s="1"/>
  <c r="AD14" s="1"/>
  <c r="AF162"/>
  <c r="AF125" s="1"/>
  <c r="AF14" s="1"/>
  <c r="AH162"/>
  <c r="AH125" s="1"/>
  <c r="AH14" s="1"/>
  <c r="O188"/>
  <c r="O185" s="1"/>
  <c r="O124" s="1"/>
  <c r="O122" s="1"/>
  <c r="P205" i="15"/>
  <c r="Q204"/>
  <c r="Q203" s="1"/>
  <c r="T221"/>
  <c r="Q221"/>
  <c r="Q219" s="1"/>
  <c r="Q218" s="1"/>
  <c r="AJ218" s="1"/>
  <c r="W26" i="16"/>
  <c r="W25"/>
  <c r="W21" s="1"/>
  <c r="W15" s="1"/>
  <c r="P221"/>
  <c r="T219"/>
  <c r="T218" s="1"/>
  <c r="N20" i="15"/>
  <c r="N14" s="1"/>
  <c r="S22"/>
  <c r="S18" s="1"/>
  <c r="U22"/>
  <c r="U18" s="1"/>
  <c r="W22"/>
  <c r="W18" s="1"/>
  <c r="L24"/>
  <c r="L20" s="1"/>
  <c r="L14" s="1"/>
  <c r="V25"/>
  <c r="V21" s="1"/>
  <c r="V15" s="1"/>
  <c r="AB25"/>
  <c r="AB21" s="1"/>
  <c r="AB15" s="1"/>
  <c r="AD26"/>
  <c r="Z29"/>
  <c r="AJ60"/>
  <c r="AK60" s="1"/>
  <c r="S67"/>
  <c r="S66" s="1"/>
  <c r="S63" s="1"/>
  <c r="Q68"/>
  <c r="Q67" s="1"/>
  <c r="Q66" s="1"/>
  <c r="S71"/>
  <c r="AA71"/>
  <c r="AA19" s="1"/>
  <c r="AA13" s="1"/>
  <c r="AG19"/>
  <c r="AI19"/>
  <c r="AE97"/>
  <c r="AE96" s="1"/>
  <c r="Q99"/>
  <c r="AE113"/>
  <c r="AE105" s="1"/>
  <c r="AE103" s="1"/>
  <c r="AJ206"/>
  <c r="AK206" s="1"/>
  <c r="AJ223"/>
  <c r="AK223" s="1"/>
  <c r="T26" i="16"/>
  <c r="T22"/>
  <c r="T18" s="1"/>
  <c r="T97"/>
  <c r="T96" s="1"/>
  <c r="T71" s="1"/>
  <c r="T19" s="1"/>
  <c r="P99"/>
  <c r="R20" i="15"/>
  <c r="R14" s="1"/>
  <c r="V20"/>
  <c r="V14" s="1"/>
  <c r="Z27"/>
  <c r="AM19"/>
  <c r="AH71"/>
  <c r="AJ101"/>
  <c r="R124"/>
  <c r="V124"/>
  <c r="AB161"/>
  <c r="AA19" i="16"/>
  <c r="AG19"/>
  <c r="AI19"/>
  <c r="AI13" s="1"/>
  <c r="AE19"/>
  <c r="Q331" i="6"/>
  <c r="Q280" s="1"/>
  <c r="AJ214" i="15"/>
  <c r="AK214" s="1"/>
  <c r="W234"/>
  <c r="W233" s="1"/>
  <c r="Q234"/>
  <c r="U22" i="16"/>
  <c r="U18" s="1"/>
  <c r="Y22"/>
  <c r="Y18" s="1"/>
  <c r="L24"/>
  <c r="L20" s="1"/>
  <c r="U14"/>
  <c r="K26"/>
  <c r="N26"/>
  <c r="V26"/>
  <c r="AB26"/>
  <c r="AF26"/>
  <c r="AH26"/>
  <c r="Q28"/>
  <c r="Q27" s="1"/>
  <c r="Z27"/>
  <c r="AE27"/>
  <c r="P26"/>
  <c r="AA35"/>
  <c r="AA25" s="1"/>
  <c r="AA21" s="1"/>
  <c r="AA15" s="1"/>
  <c r="AJ43"/>
  <c r="AK43" s="1"/>
  <c r="AD22"/>
  <c r="AD18" s="1"/>
  <c r="AJ51"/>
  <c r="AK51" s="1"/>
  <c r="AK49" s="1"/>
  <c r="AK20" s="1"/>
  <c r="AK14" s="1"/>
  <c r="M54"/>
  <c r="Q54"/>
  <c r="AJ60"/>
  <c r="AK60" s="1"/>
  <c r="S67"/>
  <c r="S66" s="1"/>
  <c r="S63" s="1"/>
  <c r="Q68"/>
  <c r="Q67" s="1"/>
  <c r="Q66" s="1"/>
  <c r="N71"/>
  <c r="N19" s="1"/>
  <c r="S71"/>
  <c r="U71"/>
  <c r="W71"/>
  <c r="W19" s="1"/>
  <c r="AJ101"/>
  <c r="AJ106"/>
  <c r="U108"/>
  <c r="U106" s="1"/>
  <c r="X108"/>
  <c r="X106" s="1"/>
  <c r="Z117"/>
  <c r="Z116" s="1"/>
  <c r="Z113" s="1"/>
  <c r="S127"/>
  <c r="S123" s="1"/>
  <c r="AA127"/>
  <c r="AA123" s="1"/>
  <c r="AC127"/>
  <c r="AC123" s="1"/>
  <c r="AE127"/>
  <c r="AE123" s="1"/>
  <c r="AG127"/>
  <c r="AG123" s="1"/>
  <c r="AG12" s="1"/>
  <c r="AI127"/>
  <c r="AI123" s="1"/>
  <c r="AI12" s="1"/>
  <c r="AF136"/>
  <c r="AF127" s="1"/>
  <c r="AF123" s="1"/>
  <c r="AF122" s="1"/>
  <c r="Q137"/>
  <c r="Q136" s="1"/>
  <c r="AL136" s="1"/>
  <c r="Z137"/>
  <c r="Z136" s="1"/>
  <c r="Z127" s="1"/>
  <c r="Z123" s="1"/>
  <c r="V127"/>
  <c r="V123" s="1"/>
  <c r="AB127"/>
  <c r="AB123" s="1"/>
  <c r="AD127"/>
  <c r="AD123" s="1"/>
  <c r="Q152"/>
  <c r="Q151" s="1"/>
  <c r="U161"/>
  <c r="S193"/>
  <c r="S124" s="1"/>
  <c r="S122" s="1"/>
  <c r="W193"/>
  <c r="Y193"/>
  <c r="Y14"/>
  <c r="AC14"/>
  <c r="R20"/>
  <c r="R14" s="1"/>
  <c r="V20"/>
  <c r="V14" s="1"/>
  <c r="L22"/>
  <c r="L18" s="1"/>
  <c r="L12" s="1"/>
  <c r="AB71"/>
  <c r="AB19" s="1"/>
  <c r="AF71"/>
  <c r="AH71"/>
  <c r="L71"/>
  <c r="J71" s="1"/>
  <c r="J19" s="1"/>
  <c r="J17" s="1"/>
  <c r="R71"/>
  <c r="R19" s="1"/>
  <c r="X71"/>
  <c r="X19" s="1"/>
  <c r="AC71"/>
  <c r="AC19" s="1"/>
  <c r="AL116"/>
  <c r="AL113" s="1"/>
  <c r="M122"/>
  <c r="W124"/>
  <c r="R161"/>
  <c r="T161"/>
  <c r="V161"/>
  <c r="V124" s="1"/>
  <c r="AD122"/>
  <c r="P125"/>
  <c r="AE185"/>
  <c r="AE124" s="1"/>
  <c r="AE122" s="1"/>
  <c r="J185"/>
  <c r="J124" s="1"/>
  <c r="J122" s="1"/>
  <c r="N124"/>
  <c r="R193"/>
  <c r="T193"/>
  <c r="X193"/>
  <c r="X124" s="1"/>
  <c r="X122" s="1"/>
  <c r="Z193"/>
  <c r="Z124" s="1"/>
  <c r="Z122" s="1"/>
  <c r="U193"/>
  <c r="AA193"/>
  <c r="AA124" s="1"/>
  <c r="AC193"/>
  <c r="AH185"/>
  <c r="AH124" s="1"/>
  <c r="AH122" s="1"/>
  <c r="AN185"/>
  <c r="AN124" s="1"/>
  <c r="AN122" s="1"/>
  <c r="AL206"/>
  <c r="Q224"/>
  <c r="Q223" s="1"/>
  <c r="Q193" s="1"/>
  <c r="S331" i="6"/>
  <c r="S280" s="1"/>
  <c r="R334"/>
  <c r="R332"/>
  <c r="I35" i="17"/>
  <c r="K35"/>
  <c r="P189" i="6"/>
  <c r="P24" i="15"/>
  <c r="P20" s="1"/>
  <c r="P14" s="1"/>
  <c r="P26"/>
  <c r="K17"/>
  <c r="AE37"/>
  <c r="AE24" s="1"/>
  <c r="AE20" s="1"/>
  <c r="AE14" s="1"/>
  <c r="AI17"/>
  <c r="X22"/>
  <c r="X18" s="1"/>
  <c r="AG13"/>
  <c r="AI13"/>
  <c r="Q22" i="16"/>
  <c r="Q18" s="1"/>
  <c r="Z22"/>
  <c r="Z18" s="1"/>
  <c r="Z26"/>
  <c r="AE26"/>
  <c r="AE22"/>
  <c r="AE18" s="1"/>
  <c r="AD12"/>
  <c r="AJ49"/>
  <c r="AJ20" s="1"/>
  <c r="AJ14" s="1"/>
  <c r="AL43"/>
  <c r="AL22" s="1"/>
  <c r="AL18" s="1"/>
  <c r="AJ66"/>
  <c r="AF19"/>
  <c r="AF13" s="1"/>
  <c r="AH19"/>
  <c r="P71"/>
  <c r="AL74"/>
  <c r="V71"/>
  <c r="V19" s="1"/>
  <c r="V13" s="1"/>
  <c r="Z71"/>
  <c r="AJ87"/>
  <c r="AL90"/>
  <c r="AG17"/>
  <c r="AG14"/>
  <c r="AI17"/>
  <c r="AI14"/>
  <c r="K17"/>
  <c r="K12"/>
  <c r="K11" s="1"/>
  <c r="R27"/>
  <c r="P28"/>
  <c r="AC26"/>
  <c r="AC22"/>
  <c r="AC18" s="1"/>
  <c r="J12"/>
  <c r="AJ40"/>
  <c r="P22"/>
  <c r="P18" s="1"/>
  <c r="AK57"/>
  <c r="AK54" s="1"/>
  <c r="AJ54"/>
  <c r="AL66"/>
  <c r="AL63" s="1"/>
  <c r="Q63"/>
  <c r="AK78"/>
  <c r="AK71" s="1"/>
  <c r="AJ71"/>
  <c r="AL87"/>
  <c r="Y105"/>
  <c r="Y103" s="1"/>
  <c r="Y19"/>
  <c r="O12"/>
  <c r="AM12"/>
  <c r="AH17"/>
  <c r="Z19"/>
  <c r="AL78"/>
  <c r="AL109"/>
  <c r="P127"/>
  <c r="P123" s="1"/>
  <c r="AJ131"/>
  <c r="N12"/>
  <c r="T12"/>
  <c r="V12"/>
  <c r="X12"/>
  <c r="AB12"/>
  <c r="AF12"/>
  <c r="AH12"/>
  <c r="AN12"/>
  <c r="M20"/>
  <c r="M14" s="1"/>
  <c r="P25"/>
  <c r="P21" s="1"/>
  <c r="P15" s="1"/>
  <c r="S27"/>
  <c r="AA27"/>
  <c r="Q35"/>
  <c r="Q25" s="1"/>
  <c r="Q21" s="1"/>
  <c r="Q15" s="1"/>
  <c r="S35"/>
  <c r="S25" s="1"/>
  <c r="S21" s="1"/>
  <c r="S15" s="1"/>
  <c r="Q37"/>
  <c r="Q24" s="1"/>
  <c r="M48"/>
  <c r="M19" s="1"/>
  <c r="O48"/>
  <c r="O19" s="1"/>
  <c r="Q48"/>
  <c r="S48"/>
  <c r="S19" s="1"/>
  <c r="U48"/>
  <c r="U19" s="1"/>
  <c r="Q49"/>
  <c r="P63"/>
  <c r="P19" s="1"/>
  <c r="AD108"/>
  <c r="AD106" s="1"/>
  <c r="AD71" s="1"/>
  <c r="AD19" s="1"/>
  <c r="AF108"/>
  <c r="AF106" s="1"/>
  <c r="AH108"/>
  <c r="AH106" s="1"/>
  <c r="K122"/>
  <c r="AI122"/>
  <c r="AL131"/>
  <c r="U127"/>
  <c r="U123" s="1"/>
  <c r="W127"/>
  <c r="W123" s="1"/>
  <c r="Y127"/>
  <c r="Y123" s="1"/>
  <c r="AL164"/>
  <c r="AL161" s="1"/>
  <c r="U124"/>
  <c r="Y161"/>
  <c r="Y124" s="1"/>
  <c r="AC161"/>
  <c r="AC124" s="1"/>
  <c r="AC13" s="1"/>
  <c r="AG161"/>
  <c r="AG124" s="1"/>
  <c r="AG13" s="1"/>
  <c r="AM124"/>
  <c r="AM122" s="1"/>
  <c r="AL188"/>
  <c r="J193"/>
  <c r="AJ206"/>
  <c r="AK206" s="1"/>
  <c r="AK116"/>
  <c r="AK113" s="1"/>
  <c r="AJ113"/>
  <c r="AL133"/>
  <c r="AJ133"/>
  <c r="AK133" s="1"/>
  <c r="P161"/>
  <c r="AJ164"/>
  <c r="P185"/>
  <c r="AJ188"/>
  <c r="AG122"/>
  <c r="AL214"/>
  <c r="AL218"/>
  <c r="AL223"/>
  <c r="AL233"/>
  <c r="Q127"/>
  <c r="Q123" s="1"/>
  <c r="Q161"/>
  <c r="Q185"/>
  <c r="T113" i="15"/>
  <c r="T105" s="1"/>
  <c r="T103" s="1"/>
  <c r="T108"/>
  <c r="T106" s="1"/>
  <c r="X113"/>
  <c r="X105" s="1"/>
  <c r="X103" s="1"/>
  <c r="X108"/>
  <c r="X106" s="1"/>
  <c r="R27"/>
  <c r="P28"/>
  <c r="AE26"/>
  <c r="AE22"/>
  <c r="AE18" s="1"/>
  <c r="Q233"/>
  <c r="Q193"/>
  <c r="AC233"/>
  <c r="AC193"/>
  <c r="AG17"/>
  <c r="AM17"/>
  <c r="AD22"/>
  <c r="AD18" s="1"/>
  <c r="M20"/>
  <c r="M14" s="1"/>
  <c r="O20"/>
  <c r="O14" s="1"/>
  <c r="S20"/>
  <c r="S14" s="1"/>
  <c r="U20"/>
  <c r="U14" s="1"/>
  <c r="AH19"/>
  <c r="AE19"/>
  <c r="AF71"/>
  <c r="AF19" s="1"/>
  <c r="L71"/>
  <c r="J71" s="1"/>
  <c r="N71"/>
  <c r="N19" s="1"/>
  <c r="AL87"/>
  <c r="AA122"/>
  <c r="AG122"/>
  <c r="AI122"/>
  <c r="AL136"/>
  <c r="Z127"/>
  <c r="Z123" s="1"/>
  <c r="T127"/>
  <c r="T123" s="1"/>
  <c r="T12" s="1"/>
  <c r="V127"/>
  <c r="V123" s="1"/>
  <c r="V122" s="1"/>
  <c r="X127"/>
  <c r="X123" s="1"/>
  <c r="X122" s="1"/>
  <c r="AB127"/>
  <c r="AB123" s="1"/>
  <c r="AD127"/>
  <c r="AD123" s="1"/>
  <c r="Q152"/>
  <c r="Q151" s="1"/>
  <c r="U161"/>
  <c r="U124" s="1"/>
  <c r="U122" s="1"/>
  <c r="AC124"/>
  <c r="AC122" s="1"/>
  <c r="Z193"/>
  <c r="AA27"/>
  <c r="AC26"/>
  <c r="AG26"/>
  <c r="AI26"/>
  <c r="Q28"/>
  <c r="Q30"/>
  <c r="S35"/>
  <c r="S25" s="1"/>
  <c r="S21" s="1"/>
  <c r="S15" s="1"/>
  <c r="AH26"/>
  <c r="Q36"/>
  <c r="L22"/>
  <c r="L18" s="1"/>
  <c r="L54"/>
  <c r="J54" s="1"/>
  <c r="L57"/>
  <c r="J57" s="1"/>
  <c r="AJ57"/>
  <c r="AN54"/>
  <c r="AN19" s="1"/>
  <c r="Z71"/>
  <c r="Z19" s="1"/>
  <c r="R71"/>
  <c r="R19" s="1"/>
  <c r="R13" s="1"/>
  <c r="X71"/>
  <c r="AD71"/>
  <c r="AD19" s="1"/>
  <c r="Q97"/>
  <c r="Q96" s="1"/>
  <c r="Q71" s="1"/>
  <c r="AJ103"/>
  <c r="AJ106"/>
  <c r="V108"/>
  <c r="V106" s="1"/>
  <c r="AB108"/>
  <c r="AB106" s="1"/>
  <c r="AG108"/>
  <c r="AG106" s="1"/>
  <c r="K122"/>
  <c r="N127"/>
  <c r="N123" s="1"/>
  <c r="N122" s="1"/>
  <c r="M127"/>
  <c r="M123" s="1"/>
  <c r="O127"/>
  <c r="O123" s="1"/>
  <c r="O122" s="1"/>
  <c r="AM127"/>
  <c r="AM123" s="1"/>
  <c r="S161"/>
  <c r="S124" s="1"/>
  <c r="S122" s="1"/>
  <c r="W161"/>
  <c r="Z161"/>
  <c r="Z124" s="1"/>
  <c r="AD161"/>
  <c r="AD124" s="1"/>
  <c r="AF161"/>
  <c r="AF124" s="1"/>
  <c r="AF122" s="1"/>
  <c r="AH161"/>
  <c r="AH124" s="1"/>
  <c r="AH122" s="1"/>
  <c r="AN122"/>
  <c r="Q169"/>
  <c r="Q168" s="1"/>
  <c r="Q175"/>
  <c r="Q174" s="1"/>
  <c r="P193"/>
  <c r="AE193"/>
  <c r="I28"/>
  <c r="R22"/>
  <c r="R18" s="1"/>
  <c r="R26"/>
  <c r="J12"/>
  <c r="AJ40"/>
  <c r="P22"/>
  <c r="P18" s="1"/>
  <c r="L12"/>
  <c r="AK57"/>
  <c r="AK54" s="1"/>
  <c r="AJ54"/>
  <c r="AN13"/>
  <c r="AN17"/>
  <c r="AL66"/>
  <c r="AL63" s="1"/>
  <c r="Q63"/>
  <c r="Z22"/>
  <c r="Z18" s="1"/>
  <c r="Z26"/>
  <c r="AD12"/>
  <c r="AK78"/>
  <c r="AK71" s="1"/>
  <c r="AJ71"/>
  <c r="AL74"/>
  <c r="AL43"/>
  <c r="AL22" s="1"/>
  <c r="AL18" s="1"/>
  <c r="V19"/>
  <c r="AL78"/>
  <c r="AL109"/>
  <c r="AJ109"/>
  <c r="AK116"/>
  <c r="AK113" s="1"/>
  <c r="AJ113"/>
  <c r="AL116"/>
  <c r="AL113" s="1"/>
  <c r="Q113"/>
  <c r="AC113"/>
  <c r="AC105" s="1"/>
  <c r="AC103" s="1"/>
  <c r="AC108"/>
  <c r="AC106" s="1"/>
  <c r="P127"/>
  <c r="P123" s="1"/>
  <c r="AJ131"/>
  <c r="AK212"/>
  <c r="AH25"/>
  <c r="AH21" s="1"/>
  <c r="AH15" s="1"/>
  <c r="K12"/>
  <c r="K11" s="1"/>
  <c r="M12"/>
  <c r="S12"/>
  <c r="U12"/>
  <c r="W12"/>
  <c r="Y12"/>
  <c r="AC12"/>
  <c r="AE12"/>
  <c r="AG12"/>
  <c r="AG11" s="1"/>
  <c r="AI12"/>
  <c r="AI11" s="1"/>
  <c r="AM12"/>
  <c r="S26"/>
  <c r="AJ51"/>
  <c r="AJ66"/>
  <c r="P83"/>
  <c r="P71" s="1"/>
  <c r="AL131"/>
  <c r="AL218"/>
  <c r="T97"/>
  <c r="T96" s="1"/>
  <c r="T71" s="1"/>
  <c r="T19" s="1"/>
  <c r="P99"/>
  <c r="U113"/>
  <c r="U105" s="1"/>
  <c r="U103" s="1"/>
  <c r="U108"/>
  <c r="U106" s="1"/>
  <c r="W113"/>
  <c r="W105" s="1"/>
  <c r="W103" s="1"/>
  <c r="W108"/>
  <c r="W106" s="1"/>
  <c r="Y113"/>
  <c r="Y108"/>
  <c r="Y106" s="1"/>
  <c r="AL133"/>
  <c r="AJ133"/>
  <c r="AK133" s="1"/>
  <c r="P161"/>
  <c r="AJ164"/>
  <c r="J185"/>
  <c r="J124" s="1"/>
  <c r="L124"/>
  <c r="L122" s="1"/>
  <c r="P185"/>
  <c r="AJ188"/>
  <c r="P221"/>
  <c r="T219"/>
  <c r="T218" s="1"/>
  <c r="T193" s="1"/>
  <c r="T124" s="1"/>
  <c r="T122" s="1"/>
  <c r="Q37"/>
  <c r="Q24" s="1"/>
  <c r="Q20" s="1"/>
  <c r="Q14" s="1"/>
  <c r="AL14" s="1"/>
  <c r="M48"/>
  <c r="M19" s="1"/>
  <c r="O48"/>
  <c r="O19" s="1"/>
  <c r="O13" s="1"/>
  <c r="Q48"/>
  <c r="S48"/>
  <c r="S19" s="1"/>
  <c r="S13" s="1"/>
  <c r="U48"/>
  <c r="AL90"/>
  <c r="AL96"/>
  <c r="AL206"/>
  <c r="AL214"/>
  <c r="AL223"/>
  <c r="AL233"/>
  <c r="U97"/>
  <c r="U96" s="1"/>
  <c r="U71" s="1"/>
  <c r="AB97"/>
  <c r="AB96" s="1"/>
  <c r="AB71" s="1"/>
  <c r="AB19" s="1"/>
  <c r="P113"/>
  <c r="Q127"/>
  <c r="Q123" s="1"/>
  <c r="Q161"/>
  <c r="Q185"/>
  <c r="X97" i="6"/>
  <c r="V97"/>
  <c r="P180"/>
  <c r="AL96" i="16" l="1"/>
  <c r="AJ96"/>
  <c r="Q71"/>
  <c r="O12" i="15"/>
  <c r="X19"/>
  <c r="AB122" i="16"/>
  <c r="V122"/>
  <c r="AA122"/>
  <c r="AK218" i="15"/>
  <c r="AK193" s="1"/>
  <c r="AJ193"/>
  <c r="M122"/>
  <c r="S13" i="16"/>
  <c r="M13" i="15"/>
  <c r="AF17" i="16"/>
  <c r="G12" i="17"/>
  <c r="G11" s="1"/>
  <c r="G35" s="1"/>
  <c r="E13"/>
  <c r="D13"/>
  <c r="D12" s="1"/>
  <c r="D11" s="1"/>
  <c r="D35" s="1"/>
  <c r="F12"/>
  <c r="F11" s="1"/>
  <c r="AH13" i="15"/>
  <c r="AM122"/>
  <c r="AC122" i="16"/>
  <c r="AM13" i="15"/>
  <c r="AM11" s="1"/>
  <c r="P14" i="16"/>
  <c r="T14"/>
  <c r="Q19"/>
  <c r="R122" i="15"/>
  <c r="AF11" i="16"/>
  <c r="AI11"/>
  <c r="L122"/>
  <c r="AC71" i="15"/>
  <c r="AC19" s="1"/>
  <c r="AC13" s="1"/>
  <c r="AN11"/>
  <c r="AE13"/>
  <c r="AE11" s="1"/>
  <c r="AL15" i="16"/>
  <c r="N122"/>
  <c r="L14"/>
  <c r="AB124" i="15"/>
  <c r="AB122" s="1"/>
  <c r="Y122"/>
  <c r="X13" i="16"/>
  <c r="X17"/>
  <c r="AB13"/>
  <c r="AB11" s="1"/>
  <c r="AB17"/>
  <c r="W13"/>
  <c r="W17"/>
  <c r="T17"/>
  <c r="N13"/>
  <c r="N11" s="1"/>
  <c r="N17"/>
  <c r="P19" i="15"/>
  <c r="AG11" i="16"/>
  <c r="AL127"/>
  <c r="AL123" s="1"/>
  <c r="V11"/>
  <c r="Z13"/>
  <c r="R124"/>
  <c r="R122" s="1"/>
  <c r="AA13"/>
  <c r="W193" i="15"/>
  <c r="W124" s="1"/>
  <c r="W122" s="1"/>
  <c r="AL193"/>
  <c r="AL193" i="16"/>
  <c r="X11"/>
  <c r="AH13"/>
  <c r="AH11" s="1"/>
  <c r="R331" i="6"/>
  <c r="R280" s="1"/>
  <c r="T124" i="16"/>
  <c r="T122" s="1"/>
  <c r="J13"/>
  <c r="J11" s="1"/>
  <c r="AN13"/>
  <c r="AN11" s="1"/>
  <c r="AJ223"/>
  <c r="L19"/>
  <c r="AE13"/>
  <c r="Z13" i="15"/>
  <c r="AD13" i="16"/>
  <c r="AD17"/>
  <c r="AK188"/>
  <c r="AK185" s="1"/>
  <c r="AJ185"/>
  <c r="AK164"/>
  <c r="AK161" s="1"/>
  <c r="AJ161"/>
  <c r="W122"/>
  <c r="W12"/>
  <c r="W11" s="1"/>
  <c r="O17"/>
  <c r="O13"/>
  <c r="O11" s="1"/>
  <c r="I29"/>
  <c r="S26"/>
  <c r="S22"/>
  <c r="S18" s="1"/>
  <c r="Y17"/>
  <c r="Y13"/>
  <c r="P17"/>
  <c r="P12"/>
  <c r="AC17"/>
  <c r="AC12"/>
  <c r="AC11" s="1"/>
  <c r="Z17"/>
  <c r="Z12"/>
  <c r="Z11" s="1"/>
  <c r="AL185"/>
  <c r="AL124" s="1"/>
  <c r="AL122" s="1"/>
  <c r="Q20"/>
  <c r="Q14" s="1"/>
  <c r="AL14" s="1"/>
  <c r="AM13"/>
  <c r="AM11" s="1"/>
  <c r="AL71"/>
  <c r="V17"/>
  <c r="Q26"/>
  <c r="Y122"/>
  <c r="Y12"/>
  <c r="U122"/>
  <c r="U12"/>
  <c r="U17"/>
  <c r="U13"/>
  <c r="M17"/>
  <c r="M13"/>
  <c r="M11" s="1"/>
  <c r="AA26"/>
  <c r="AA22"/>
  <c r="AA18" s="1"/>
  <c r="AK131"/>
  <c r="AK127" s="1"/>
  <c r="AK123" s="1"/>
  <c r="AJ127"/>
  <c r="AJ123" s="1"/>
  <c r="AJ22"/>
  <c r="AJ18" s="1"/>
  <c r="AK40"/>
  <c r="AK22" s="1"/>
  <c r="AK18" s="1"/>
  <c r="I28"/>
  <c r="R22"/>
  <c r="R18" s="1"/>
  <c r="R26"/>
  <c r="AK66"/>
  <c r="AK63" s="1"/>
  <c r="AK19" s="1"/>
  <c r="AJ63"/>
  <c r="AJ19" s="1"/>
  <c r="AE17"/>
  <c r="AE12"/>
  <c r="AE11" s="1"/>
  <c r="Q17"/>
  <c r="Q12"/>
  <c r="Q124"/>
  <c r="Q122" s="1"/>
  <c r="P124"/>
  <c r="P122" s="1"/>
  <c r="AL19"/>
  <c r="AL17" s="1"/>
  <c r="AD11"/>
  <c r="AD13" i="15"/>
  <c r="AD11" s="1"/>
  <c r="AD17"/>
  <c r="N17"/>
  <c r="N13"/>
  <c r="AF17"/>
  <c r="AF13"/>
  <c r="AF11" s="1"/>
  <c r="X17"/>
  <c r="X13"/>
  <c r="P36"/>
  <c r="Q35"/>
  <c r="Q25" s="1"/>
  <c r="Q21" s="1"/>
  <c r="Q15" s="1"/>
  <c r="AL15" s="1"/>
  <c r="AA26"/>
  <c r="AA22"/>
  <c r="AA18" s="1"/>
  <c r="Q19"/>
  <c r="AH11"/>
  <c r="Q27"/>
  <c r="Q22" s="1"/>
  <c r="Q18" s="1"/>
  <c r="Z122"/>
  <c r="AJ96"/>
  <c r="N12"/>
  <c r="V12"/>
  <c r="M11"/>
  <c r="M17"/>
  <c r="AD122"/>
  <c r="J19"/>
  <c r="J17" s="1"/>
  <c r="L19"/>
  <c r="X12"/>
  <c r="AB12"/>
  <c r="AE17"/>
  <c r="AB13"/>
  <c r="AB17"/>
  <c r="T13"/>
  <c r="T11" s="1"/>
  <c r="T17"/>
  <c r="Y105"/>
  <c r="Y103" s="1"/>
  <c r="Y19"/>
  <c r="AK66"/>
  <c r="AK63" s="1"/>
  <c r="AJ63"/>
  <c r="V13"/>
  <c r="V11" s="1"/>
  <c r="V17"/>
  <c r="Z17"/>
  <c r="Z12"/>
  <c r="Z11" s="1"/>
  <c r="AK40"/>
  <c r="AK22" s="1"/>
  <c r="AK18" s="1"/>
  <c r="AJ22"/>
  <c r="AJ18" s="1"/>
  <c r="R17"/>
  <c r="R12"/>
  <c r="R11" s="1"/>
  <c r="AK188"/>
  <c r="AK185" s="1"/>
  <c r="AJ185"/>
  <c r="AK164"/>
  <c r="AK161" s="1"/>
  <c r="AJ161"/>
  <c r="AK51"/>
  <c r="AK49" s="1"/>
  <c r="AK20" s="1"/>
  <c r="AK14" s="1"/>
  <c r="AJ49"/>
  <c r="AJ20" s="1"/>
  <c r="AJ14" s="1"/>
  <c r="AK131"/>
  <c r="AK127" s="1"/>
  <c r="AK123" s="1"/>
  <c r="AJ127"/>
  <c r="AJ123" s="1"/>
  <c r="P17"/>
  <c r="P12"/>
  <c r="Q17"/>
  <c r="Q12"/>
  <c r="P124"/>
  <c r="P13" s="1"/>
  <c r="AL185"/>
  <c r="AL124" s="1"/>
  <c r="AL127"/>
  <c r="AL123" s="1"/>
  <c r="S11"/>
  <c r="AC17"/>
  <c r="S17"/>
  <c r="AK19"/>
  <c r="Q26"/>
  <c r="Q124"/>
  <c r="Q122" s="1"/>
  <c r="U19"/>
  <c r="J122"/>
  <c r="AC11"/>
  <c r="O11"/>
  <c r="W19"/>
  <c r="O17"/>
  <c r="AL71"/>
  <c r="AL19" s="1"/>
  <c r="AL17" s="1"/>
  <c r="AH17"/>
  <c r="AJ19"/>
  <c r="AB11" l="1"/>
  <c r="AJ124" i="16"/>
  <c r="AJ13" s="1"/>
  <c r="AJ124" i="15"/>
  <c r="AJ122" s="1"/>
  <c r="Y11" i="16"/>
  <c r="AK124"/>
  <c r="AK122" s="1"/>
  <c r="P122" i="15"/>
  <c r="F35" i="17"/>
  <c r="M11"/>
  <c r="AK124" i="15"/>
  <c r="AK13" s="1"/>
  <c r="N11"/>
  <c r="C13" i="17"/>
  <c r="C12" s="1"/>
  <c r="C11" s="1"/>
  <c r="C35" s="1"/>
  <c r="E12"/>
  <c r="E11" s="1"/>
  <c r="E35" s="1"/>
  <c r="P13" i="16"/>
  <c r="Q13" i="15"/>
  <c r="L13" i="16"/>
  <c r="L11" s="1"/>
  <c r="L17"/>
  <c r="R13"/>
  <c r="AK223"/>
  <c r="AK193" s="1"/>
  <c r="AJ193"/>
  <c r="T13"/>
  <c r="T11" s="1"/>
  <c r="R17"/>
  <c r="R12"/>
  <c r="AK17"/>
  <c r="AK12"/>
  <c r="AA17"/>
  <c r="AA12"/>
  <c r="AA11" s="1"/>
  <c r="AL26"/>
  <c r="AJ26"/>
  <c r="AK26" s="1"/>
  <c r="S17"/>
  <c r="S12"/>
  <c r="S11" s="1"/>
  <c r="U11"/>
  <c r="P11"/>
  <c r="AL12"/>
  <c r="AJ17"/>
  <c r="AJ12"/>
  <c r="Q13"/>
  <c r="AL13" s="1"/>
  <c r="L17" i="15"/>
  <c r="L13"/>
  <c r="L11" s="1"/>
  <c r="J13"/>
  <c r="J11" s="1"/>
  <c r="AA17"/>
  <c r="AA12"/>
  <c r="AA11" s="1"/>
  <c r="X11"/>
  <c r="W13"/>
  <c r="W11" s="1"/>
  <c r="W17"/>
  <c r="AK17"/>
  <c r="AK12"/>
  <c r="U13"/>
  <c r="U11" s="1"/>
  <c r="U17"/>
  <c r="AL26"/>
  <c r="AJ26"/>
  <c r="AK26" s="1"/>
  <c r="AL12"/>
  <c r="Q11"/>
  <c r="AJ17"/>
  <c r="AJ12"/>
  <c r="Y13"/>
  <c r="Y11" s="1"/>
  <c r="Y17"/>
  <c r="AL13"/>
  <c r="AL122"/>
  <c r="P11"/>
  <c r="X326" i="6"/>
  <c r="Q295"/>
  <c r="Q294" s="1"/>
  <c r="Z295"/>
  <c r="Z294" s="1"/>
  <c r="Q288"/>
  <c r="X288"/>
  <c r="Z216"/>
  <c r="Z215"/>
  <c r="X216"/>
  <c r="X215"/>
  <c r="Q216"/>
  <c r="Q215"/>
  <c r="Q198"/>
  <c r="X43"/>
  <c r="Z44"/>
  <c r="Z43" s="1"/>
  <c r="AD43"/>
  <c r="Q44"/>
  <c r="Q43" s="1"/>
  <c r="Y43"/>
  <c r="Z141"/>
  <c r="Z140" s="1"/>
  <c r="Q97"/>
  <c r="Q96" s="1"/>
  <c r="Q28"/>
  <c r="Z33"/>
  <c r="AI322"/>
  <c r="AI326"/>
  <c r="AI316"/>
  <c r="AI315" s="1"/>
  <c r="AI311"/>
  <c r="AI310" s="1"/>
  <c r="AI307"/>
  <c r="AI306" s="1"/>
  <c r="AI291"/>
  <c r="AI290" s="1"/>
  <c r="AI285"/>
  <c r="AI282"/>
  <c r="AI270"/>
  <c r="AI267" s="1"/>
  <c r="AI251"/>
  <c r="AI249"/>
  <c r="AI244"/>
  <c r="AI243" s="1"/>
  <c r="AI232"/>
  <c r="AI238"/>
  <c r="AI237" s="1"/>
  <c r="AI211"/>
  <c r="AI210" s="1"/>
  <c r="AI207"/>
  <c r="AI193"/>
  <c r="AI185"/>
  <c r="AI189"/>
  <c r="AI180"/>
  <c r="AI156"/>
  <c r="AI153" s="1"/>
  <c r="AI132" s="1"/>
  <c r="AI129" s="1"/>
  <c r="AI139"/>
  <c r="AI126"/>
  <c r="AI122"/>
  <c r="AI121" s="1"/>
  <c r="AI116"/>
  <c r="AI115" s="1"/>
  <c r="AI113"/>
  <c r="AI112" s="1"/>
  <c r="AI109"/>
  <c r="AI106"/>
  <c r="AI100"/>
  <c r="AI99" s="1"/>
  <c r="AI96"/>
  <c r="AI95" s="1"/>
  <c r="AI81"/>
  <c r="AI78" s="1"/>
  <c r="AI67"/>
  <c r="AI61" s="1"/>
  <c r="AI60"/>
  <c r="AI56" s="1"/>
  <c r="AI42"/>
  <c r="AI39"/>
  <c r="AI36"/>
  <c r="AI23" s="1"/>
  <c r="AI34"/>
  <c r="AI24" s="1"/>
  <c r="AI20" s="1"/>
  <c r="AI26"/>
  <c r="AI279" l="1"/>
  <c r="Q293"/>
  <c r="AL293" s="1"/>
  <c r="Z293"/>
  <c r="AJ13" i="15"/>
  <c r="AJ122" i="16"/>
  <c r="AJ11"/>
  <c r="AJ11" i="15"/>
  <c r="AK13" i="16"/>
  <c r="AK11" s="1"/>
  <c r="AK11" i="15"/>
  <c r="AK122"/>
  <c r="AI21" i="6"/>
  <c r="AI17" s="1"/>
  <c r="AI92"/>
  <c r="AI18" s="1"/>
  <c r="AI19"/>
  <c r="AI14"/>
  <c r="R11" i="16"/>
  <c r="AI230" i="6"/>
  <c r="AI179" s="1"/>
  <c r="Q11" i="16"/>
  <c r="AL11" s="1"/>
  <c r="AI181" i="6"/>
  <c r="AI177" s="1"/>
  <c r="AL11" i="15"/>
  <c r="AI229" i="6"/>
  <c r="AI178" s="1"/>
  <c r="AI137"/>
  <c r="AI133" s="1"/>
  <c r="AI25"/>
  <c r="L326"/>
  <c r="L315"/>
  <c r="L310"/>
  <c r="L306"/>
  <c r="L304"/>
  <c r="L285"/>
  <c r="M210"/>
  <c r="N210"/>
  <c r="L210"/>
  <c r="AJ293" l="1"/>
  <c r="AK293" s="1"/>
  <c r="AI13"/>
  <c r="AI176"/>
  <c r="AI16"/>
  <c r="AI11"/>
  <c r="L129"/>
  <c r="L133"/>
  <c r="AE127"/>
  <c r="Y139"/>
  <c r="W139"/>
  <c r="U139"/>
  <c r="AN139"/>
  <c r="AM139"/>
  <c r="AK139"/>
  <c r="AH139"/>
  <c r="AG139"/>
  <c r="AF139"/>
  <c r="AE139"/>
  <c r="AD139"/>
  <c r="AC139"/>
  <c r="AB139"/>
  <c r="AA139"/>
  <c r="X139"/>
  <c r="V139"/>
  <c r="T139"/>
  <c r="S139"/>
  <c r="L139"/>
  <c r="P137"/>
  <c r="P133" s="1"/>
  <c r="AN133"/>
  <c r="AM133"/>
  <c r="AL133"/>
  <c r="AK133"/>
  <c r="P132"/>
  <c r="P129" s="1"/>
  <c r="AN129"/>
  <c r="AM129"/>
  <c r="AK129"/>
  <c r="AI12" l="1"/>
  <c r="AI10" s="1"/>
  <c r="P126"/>
  <c r="AN126"/>
  <c r="AM126"/>
  <c r="AL126"/>
  <c r="AK126"/>
  <c r="AH126"/>
  <c r="AG126"/>
  <c r="AF126"/>
  <c r="AE126"/>
  <c r="AD126"/>
  <c r="AC126"/>
  <c r="AB126"/>
  <c r="O126"/>
  <c r="N126"/>
  <c r="M126"/>
  <c r="L126"/>
  <c r="M56"/>
  <c r="N56"/>
  <c r="O56"/>
  <c r="P56"/>
  <c r="P53" s="1"/>
  <c r="L56"/>
  <c r="L53" s="1"/>
  <c r="L36"/>
  <c r="N36"/>
  <c r="D21" i="8"/>
  <c r="O53" i="6" l="1"/>
  <c r="O54"/>
  <c r="M53"/>
  <c r="M54"/>
  <c r="N53"/>
  <c r="N54"/>
  <c r="AJ126"/>
  <c r="W286"/>
  <c r="X286"/>
  <c r="Y286"/>
  <c r="Q330"/>
  <c r="Q327" s="1"/>
  <c r="Q326" s="1"/>
  <c r="V288"/>
  <c r="V286" s="1"/>
  <c r="AE292"/>
  <c r="AE291" s="1"/>
  <c r="AA286"/>
  <c r="AB286"/>
  <c r="AC286"/>
  <c r="Z288"/>
  <c r="Z287"/>
  <c r="Q213"/>
  <c r="Z286" l="1"/>
  <c r="Z285" s="1"/>
  <c r="V330"/>
  <c r="V326" s="1"/>
  <c r="W326"/>
  <c r="V292"/>
  <c r="AE97"/>
  <c r="AE96" s="1"/>
  <c r="AE95" s="1"/>
  <c r="AD96"/>
  <c r="AD95" s="1"/>
  <c r="AF96"/>
  <c r="AF95" s="1"/>
  <c r="AG96"/>
  <c r="AG95" s="1"/>
  <c r="AH96"/>
  <c r="AH95" s="1"/>
  <c r="AB96"/>
  <c r="Z97"/>
  <c r="AC34"/>
  <c r="AC24" s="1"/>
  <c r="AC20" s="1"/>
  <c r="Z30"/>
  <c r="Z31"/>
  <c r="Z32"/>
  <c r="W26"/>
  <c r="AH326"/>
  <c r="AH322"/>
  <c r="AH316"/>
  <c r="AH315" s="1"/>
  <c r="AH311"/>
  <c r="AH310" s="1"/>
  <c r="AH307"/>
  <c r="AH306" s="1"/>
  <c r="AH291"/>
  <c r="AH290" s="1"/>
  <c r="AH285"/>
  <c r="AH282"/>
  <c r="AH270"/>
  <c r="AH267" s="1"/>
  <c r="AH251"/>
  <c r="AH249"/>
  <c r="AH244"/>
  <c r="AH243" s="1"/>
  <c r="AH238"/>
  <c r="AH237" s="1"/>
  <c r="AH232"/>
  <c r="AH211"/>
  <c r="AH210" s="1"/>
  <c r="AH207"/>
  <c r="AH189"/>
  <c r="AH185"/>
  <c r="AH180"/>
  <c r="AH156"/>
  <c r="AH122"/>
  <c r="AH121" s="1"/>
  <c r="AH116"/>
  <c r="AH115" s="1"/>
  <c r="AH113"/>
  <c r="AH112" s="1"/>
  <c r="AH109"/>
  <c r="AH106"/>
  <c r="AH100"/>
  <c r="AH99" s="1"/>
  <c r="AH81"/>
  <c r="AH78" s="1"/>
  <c r="AH67"/>
  <c r="AH64"/>
  <c r="AH60"/>
  <c r="AH56" s="1"/>
  <c r="AH42"/>
  <c r="AH39"/>
  <c r="AH36"/>
  <c r="AH23" s="1"/>
  <c r="AH34"/>
  <c r="AH24" s="1"/>
  <c r="AH20" s="1"/>
  <c r="AH26"/>
  <c r="AC326"/>
  <c r="AB322"/>
  <c r="AC322"/>
  <c r="AD322"/>
  <c r="AB316"/>
  <c r="AB315" s="1"/>
  <c r="AC316"/>
  <c r="AC315" s="1"/>
  <c r="AD316"/>
  <c r="AD315" s="1"/>
  <c r="AC311"/>
  <c r="AC310" s="1"/>
  <c r="AD311"/>
  <c r="AD310" s="1"/>
  <c r="AB306"/>
  <c r="AC306"/>
  <c r="AD306"/>
  <c r="AC291"/>
  <c r="AC290" s="1"/>
  <c r="AD290"/>
  <c r="AD286"/>
  <c r="AD285" s="1"/>
  <c r="AC285"/>
  <c r="AC282"/>
  <c r="AD282"/>
  <c r="AC271"/>
  <c r="AC270" s="1"/>
  <c r="AC267" s="1"/>
  <c r="AD271"/>
  <c r="AD270" s="1"/>
  <c r="AD267" s="1"/>
  <c r="AC251"/>
  <c r="AD251"/>
  <c r="AC249"/>
  <c r="AD249"/>
  <c r="AC244"/>
  <c r="AC243" s="1"/>
  <c r="AD244"/>
  <c r="AD243" s="1"/>
  <c r="AC238"/>
  <c r="AC237" s="1"/>
  <c r="AD238"/>
  <c r="AD237" s="1"/>
  <c r="AC232"/>
  <c r="AD232"/>
  <c r="AC207"/>
  <c r="AD207"/>
  <c r="AC203"/>
  <c r="AC202" s="1"/>
  <c r="AD203"/>
  <c r="AD202" s="1"/>
  <c r="AC194"/>
  <c r="AC193" s="1"/>
  <c r="AD194"/>
  <c r="AD193" s="1"/>
  <c r="AC189"/>
  <c r="AD189"/>
  <c r="AD185"/>
  <c r="AC180"/>
  <c r="AD180"/>
  <c r="AC157"/>
  <c r="AC156" s="1"/>
  <c r="AD157"/>
  <c r="AD156" s="1"/>
  <c r="AC122"/>
  <c r="AC121" s="1"/>
  <c r="AD122"/>
  <c r="AD121" s="1"/>
  <c r="AC116"/>
  <c r="AC115" s="1"/>
  <c r="AD116"/>
  <c r="AD115" s="1"/>
  <c r="AC113"/>
  <c r="AC112" s="1"/>
  <c r="AD113"/>
  <c r="AD112" s="1"/>
  <c r="AC109"/>
  <c r="AD109"/>
  <c r="AC106"/>
  <c r="AD106"/>
  <c r="AC99"/>
  <c r="AD99"/>
  <c r="AC81"/>
  <c r="AC78" s="1"/>
  <c r="AD81"/>
  <c r="AD78" s="1"/>
  <c r="AD67"/>
  <c r="AC64"/>
  <c r="AC61" s="1"/>
  <c r="AD64"/>
  <c r="AC42"/>
  <c r="AD42"/>
  <c r="AC39"/>
  <c r="AD39"/>
  <c r="AC36"/>
  <c r="AC23" s="1"/>
  <c r="AC19" s="1"/>
  <c r="AD36"/>
  <c r="AD23" s="1"/>
  <c r="AD19" s="1"/>
  <c r="AD34"/>
  <c r="AD24" s="1"/>
  <c r="AD20" s="1"/>
  <c r="AC26"/>
  <c r="AD26"/>
  <c r="AH193"/>
  <c r="Q205"/>
  <c r="X203"/>
  <c r="X202" s="1"/>
  <c r="Y203"/>
  <c r="Y202" s="1"/>
  <c r="AA203"/>
  <c r="AA202" s="1"/>
  <c r="AB203"/>
  <c r="AB202" s="1"/>
  <c r="Z205"/>
  <c r="Z203" s="1"/>
  <c r="Z202" s="1"/>
  <c r="AD61" l="1"/>
  <c r="AC279"/>
  <c r="AD279"/>
  <c r="AH61"/>
  <c r="AH279"/>
  <c r="AH92"/>
  <c r="AD230"/>
  <c r="AD179" s="1"/>
  <c r="AD13" s="1"/>
  <c r="AH19"/>
  <c r="AH21"/>
  <c r="AH17" s="1"/>
  <c r="AC230"/>
  <c r="AC179" s="1"/>
  <c r="AC13" s="1"/>
  <c r="AC21"/>
  <c r="AC17" s="1"/>
  <c r="AD21"/>
  <c r="AD17" s="1"/>
  <c r="AD14"/>
  <c r="P205"/>
  <c r="Q203"/>
  <c r="Q202" s="1"/>
  <c r="AD25"/>
  <c r="AD153"/>
  <c r="AD132" s="1"/>
  <c r="AD129" s="1"/>
  <c r="AD137"/>
  <c r="AD133" s="1"/>
  <c r="AC153"/>
  <c r="AC132" s="1"/>
  <c r="AC129" s="1"/>
  <c r="AC137"/>
  <c r="AC133" s="1"/>
  <c r="AH153"/>
  <c r="AH132" s="1"/>
  <c r="AH129" s="1"/>
  <c r="AH137"/>
  <c r="AH133" s="1"/>
  <c r="AC14"/>
  <c r="AC25"/>
  <c r="AH230"/>
  <c r="AH179" s="1"/>
  <c r="AC96"/>
  <c r="AC95" s="1"/>
  <c r="AH229"/>
  <c r="AH178" s="1"/>
  <c r="AH14"/>
  <c r="AH181"/>
  <c r="AH177" s="1"/>
  <c r="AH25"/>
  <c r="AC229"/>
  <c r="AC178" s="1"/>
  <c r="AD229"/>
  <c r="AD178" s="1"/>
  <c r="AC181"/>
  <c r="AC177" s="1"/>
  <c r="AD181"/>
  <c r="AD177" s="1"/>
  <c r="P330"/>
  <c r="T213"/>
  <c r="T211" s="1"/>
  <c r="T210" s="1"/>
  <c r="AD92" l="1"/>
  <c r="AD18" s="1"/>
  <c r="AC92"/>
  <c r="AC18" s="1"/>
  <c r="AC176"/>
  <c r="AC11"/>
  <c r="AD11"/>
  <c r="AH176"/>
  <c r="AH18"/>
  <c r="AH13"/>
  <c r="AH11"/>
  <c r="P97"/>
  <c r="T29"/>
  <c r="AH12" l="1"/>
  <c r="AH10" s="1"/>
  <c r="AD12"/>
  <c r="AD10" s="1"/>
  <c r="AD16"/>
  <c r="AC12"/>
  <c r="AC10" s="1"/>
  <c r="AD176"/>
  <c r="AH16"/>
  <c r="AC16"/>
  <c r="Q313" l="1"/>
  <c r="T313"/>
  <c r="P313" s="1"/>
  <c r="T295"/>
  <c r="T294" s="1"/>
  <c r="S286"/>
  <c r="R286"/>
  <c r="T286"/>
  <c r="Q287"/>
  <c r="AB285"/>
  <c r="AB282"/>
  <c r="AB271"/>
  <c r="AB270" s="1"/>
  <c r="AB267" s="1"/>
  <c r="AB251"/>
  <c r="AB249"/>
  <c r="AB244"/>
  <c r="AB243" s="1"/>
  <c r="AB238"/>
  <c r="AB237" s="1"/>
  <c r="AB232"/>
  <c r="AB207"/>
  <c r="AB194"/>
  <c r="AB193" s="1"/>
  <c r="AB189"/>
  <c r="AB180"/>
  <c r="AB157"/>
  <c r="AB156" s="1"/>
  <c r="AB116"/>
  <c r="AB115" s="1"/>
  <c r="AB113"/>
  <c r="AB112" s="1"/>
  <c r="AB109"/>
  <c r="AB106"/>
  <c r="AB99"/>
  <c r="AB81"/>
  <c r="AB78" s="1"/>
  <c r="AB64"/>
  <c r="AB61" s="1"/>
  <c r="AB42"/>
  <c r="AB39"/>
  <c r="AB36"/>
  <c r="AB23" s="1"/>
  <c r="AB19" s="1"/>
  <c r="AB26"/>
  <c r="AB34"/>
  <c r="AB24" s="1"/>
  <c r="AB20" s="1"/>
  <c r="T124"/>
  <c r="P124" s="1"/>
  <c r="AB95"/>
  <c r="T293" l="1"/>
  <c r="AB21"/>
  <c r="AB17" s="1"/>
  <c r="AB153"/>
  <c r="AB132" s="1"/>
  <c r="AB129" s="1"/>
  <c r="AB137"/>
  <c r="AB133" s="1"/>
  <c r="Z313"/>
  <c r="AB311"/>
  <c r="AB310" s="1"/>
  <c r="AB122"/>
  <c r="AB121" s="1"/>
  <c r="Z124"/>
  <c r="U286"/>
  <c r="P295"/>
  <c r="AB230"/>
  <c r="AB179" s="1"/>
  <c r="AB229"/>
  <c r="AB14"/>
  <c r="AB25"/>
  <c r="AB92" l="1"/>
  <c r="AB18" s="1"/>
  <c r="Q286"/>
  <c r="P287"/>
  <c r="AB13"/>
  <c r="AA326"/>
  <c r="U326"/>
  <c r="T326"/>
  <c r="Z214"/>
  <c r="AB181"/>
  <c r="AB177" s="1"/>
  <c r="AB11" s="1"/>
  <c r="AG211"/>
  <c r="AG210" s="1"/>
  <c r="Z213"/>
  <c r="Z211" l="1"/>
  <c r="Z210" s="1"/>
  <c r="AB16"/>
  <c r="AB326"/>
  <c r="Z330"/>
  <c r="AF291"/>
  <c r="AG291"/>
  <c r="AB291"/>
  <c r="AB290" s="1"/>
  <c r="T291"/>
  <c r="U291"/>
  <c r="AB178" l="1"/>
  <c r="AB279"/>
  <c r="AG290"/>
  <c r="Z199"/>
  <c r="Z200"/>
  <c r="AB12" l="1"/>
  <c r="AB10" s="1"/>
  <c r="AB176"/>
  <c r="AG26"/>
  <c r="AG34"/>
  <c r="AG36"/>
  <c r="AG23" s="1"/>
  <c r="AG60"/>
  <c r="AG56" s="1"/>
  <c r="AG99"/>
  <c r="AG92" s="1"/>
  <c r="AG113"/>
  <c r="AG112" s="1"/>
  <c r="AG116"/>
  <c r="AG115" s="1"/>
  <c r="AG122"/>
  <c r="AG121" s="1"/>
  <c r="AG194"/>
  <c r="AG193" s="1"/>
  <c r="AG232"/>
  <c r="AG238"/>
  <c r="AG237" s="1"/>
  <c r="AF244"/>
  <c r="AG244"/>
  <c r="AG243" s="1"/>
  <c r="AG306"/>
  <c r="AG311"/>
  <c r="AG310" s="1"/>
  <c r="AG316"/>
  <c r="AG315" s="1"/>
  <c r="AG322"/>
  <c r="AG326"/>
  <c r="AG285"/>
  <c r="AG282"/>
  <c r="AG270"/>
  <c r="AG267" s="1"/>
  <c r="AG251"/>
  <c r="AG249"/>
  <c r="AG207"/>
  <c r="AG189"/>
  <c r="AG185"/>
  <c r="AG180"/>
  <c r="AG156"/>
  <c r="AE109"/>
  <c r="AF109"/>
  <c r="AG109"/>
  <c r="AG106"/>
  <c r="AG81"/>
  <c r="AG78" s="1"/>
  <c r="AG67"/>
  <c r="AG64"/>
  <c r="AG42"/>
  <c r="AG39"/>
  <c r="Q27"/>
  <c r="P24"/>
  <c r="N35" i="8"/>
  <c r="AG279" i="6" l="1"/>
  <c r="AG61"/>
  <c r="AG19"/>
  <c r="AG21"/>
  <c r="AG17" s="1"/>
  <c r="AG153"/>
  <c r="AG132" s="1"/>
  <c r="AG129" s="1"/>
  <c r="AG137"/>
  <c r="AG133" s="1"/>
  <c r="Q292"/>
  <c r="P292" s="1"/>
  <c r="AG230"/>
  <c r="AG179" s="1"/>
  <c r="AG25"/>
  <c r="AG229"/>
  <c r="AG181"/>
  <c r="AG177" s="1"/>
  <c r="AG24"/>
  <c r="AG20" s="1"/>
  <c r="AG14" s="1"/>
  <c r="R33"/>
  <c r="R83"/>
  <c r="Z96"/>
  <c r="Z95" s="1"/>
  <c r="P104"/>
  <c r="P99" s="1"/>
  <c r="Z292"/>
  <c r="R198"/>
  <c r="T96"/>
  <c r="T95" s="1"/>
  <c r="U96"/>
  <c r="U95" s="1"/>
  <c r="V96"/>
  <c r="V95" s="1"/>
  <c r="W96"/>
  <c r="W95" s="1"/>
  <c r="X96"/>
  <c r="X95" s="1"/>
  <c r="Y96"/>
  <c r="Y95" s="1"/>
  <c r="AA96"/>
  <c r="AA95" s="1"/>
  <c r="R97"/>
  <c r="R96" s="1"/>
  <c r="R95" s="1"/>
  <c r="Z319"/>
  <c r="Z118"/>
  <c r="R319"/>
  <c r="R159"/>
  <c r="R118"/>
  <c r="R103"/>
  <c r="P210"/>
  <c r="P116"/>
  <c r="P115" s="1"/>
  <c r="P25"/>
  <c r="R292"/>
  <c r="Q159"/>
  <c r="S157"/>
  <c r="T157"/>
  <c r="U157"/>
  <c r="V157"/>
  <c r="W157"/>
  <c r="X157"/>
  <c r="Y157"/>
  <c r="AA157"/>
  <c r="AA156" s="1"/>
  <c r="Z159"/>
  <c r="Z139" s="1"/>
  <c r="Z158"/>
  <c r="R272"/>
  <c r="P272" s="1"/>
  <c r="P271" s="1"/>
  <c r="Z103"/>
  <c r="Z100" s="1"/>
  <c r="S327"/>
  <c r="S326" s="1"/>
  <c r="R328"/>
  <c r="Z329"/>
  <c r="Q319"/>
  <c r="Q118"/>
  <c r="S116"/>
  <c r="S96"/>
  <c r="S95" s="1"/>
  <c r="Z27"/>
  <c r="Z35"/>
  <c r="Z28"/>
  <c r="Z29"/>
  <c r="R27"/>
  <c r="P27" s="1"/>
  <c r="R28"/>
  <c r="R29"/>
  <c r="L272"/>
  <c r="L156"/>
  <c r="L153" s="1"/>
  <c r="L123"/>
  <c r="L124"/>
  <c r="L95"/>
  <c r="M81"/>
  <c r="N81"/>
  <c r="O81"/>
  <c r="L43"/>
  <c r="N25"/>
  <c r="O25"/>
  <c r="M25"/>
  <c r="AJ326"/>
  <c r="AK326"/>
  <c r="AM326"/>
  <c r="AN326"/>
  <c r="AF322"/>
  <c r="AF316"/>
  <c r="AF315" s="1"/>
  <c r="AE312"/>
  <c r="AE311" s="1"/>
  <c r="AF311"/>
  <c r="AF310" s="1"/>
  <c r="AF306"/>
  <c r="AE308"/>
  <c r="AE307" s="1"/>
  <c r="AF290"/>
  <c r="AF285"/>
  <c r="AF282"/>
  <c r="AF271"/>
  <c r="AF270" s="1"/>
  <c r="AF267" s="1"/>
  <c r="AF251"/>
  <c r="AF249"/>
  <c r="AF243"/>
  <c r="AF238"/>
  <c r="AF237" s="1"/>
  <c r="AE235"/>
  <c r="AF232"/>
  <c r="AF207"/>
  <c r="AE196"/>
  <c r="AE197"/>
  <c r="AE198"/>
  <c r="AE199"/>
  <c r="AE201"/>
  <c r="AE195"/>
  <c r="AF194"/>
  <c r="AE194" s="1"/>
  <c r="AF189"/>
  <c r="AF185"/>
  <c r="AF180"/>
  <c r="AF156"/>
  <c r="AE124"/>
  <c r="AE123"/>
  <c r="AF122"/>
  <c r="AF121" s="1"/>
  <c r="AE118"/>
  <c r="AE119"/>
  <c r="AE117"/>
  <c r="AF116"/>
  <c r="AF115" s="1"/>
  <c r="AE114"/>
  <c r="AE113" s="1"/>
  <c r="AF113"/>
  <c r="AF112" s="1"/>
  <c r="AF106"/>
  <c r="AE103"/>
  <c r="AF99"/>
  <c r="AE83"/>
  <c r="AF82"/>
  <c r="AF81" s="1"/>
  <c r="AF78" s="1"/>
  <c r="AF67"/>
  <c r="AF64"/>
  <c r="AF60"/>
  <c r="AF56" s="1"/>
  <c r="AF42"/>
  <c r="AF39"/>
  <c r="AF36"/>
  <c r="AF23" s="1"/>
  <c r="AE37"/>
  <c r="AE38"/>
  <c r="AE35"/>
  <c r="AF34"/>
  <c r="AF24" s="1"/>
  <c r="AF20" s="1"/>
  <c r="AE28"/>
  <c r="AE29"/>
  <c r="AE30"/>
  <c r="AE31"/>
  <c r="AE32"/>
  <c r="AE33"/>
  <c r="AE27"/>
  <c r="AF26"/>
  <c r="D18" i="8"/>
  <c r="AF279" i="6" l="1"/>
  <c r="AF61"/>
  <c r="AG178"/>
  <c r="AG12" s="1"/>
  <c r="Z327"/>
  <c r="Z326" s="1"/>
  <c r="AG18"/>
  <c r="AG16" s="1"/>
  <c r="AF19"/>
  <c r="AF25"/>
  <c r="AF21"/>
  <c r="AF17" s="1"/>
  <c r="AG13"/>
  <c r="S34"/>
  <c r="Q35"/>
  <c r="P35" s="1"/>
  <c r="Q157"/>
  <c r="Q139"/>
  <c r="AJ139" s="1"/>
  <c r="AF153"/>
  <c r="AF132" s="1"/>
  <c r="AF129" s="1"/>
  <c r="AF137"/>
  <c r="AF133" s="1"/>
  <c r="R157"/>
  <c r="R139"/>
  <c r="AF193"/>
  <c r="AF181" s="1"/>
  <c r="AF177" s="1"/>
  <c r="Q95"/>
  <c r="R327"/>
  <c r="R326" s="1"/>
  <c r="P328"/>
  <c r="AG11"/>
  <c r="AF14"/>
  <c r="AF230"/>
  <c r="AF179" s="1"/>
  <c r="Z26"/>
  <c r="Z157"/>
  <c r="AE116"/>
  <c r="L42"/>
  <c r="L21" s="1"/>
  <c r="R26"/>
  <c r="AF229"/>
  <c r="K14" i="8"/>
  <c r="L14"/>
  <c r="K15"/>
  <c r="L15"/>
  <c r="K16"/>
  <c r="L16"/>
  <c r="K17"/>
  <c r="L17"/>
  <c r="D32"/>
  <c r="AA194" i="6"/>
  <c r="AA193" s="1"/>
  <c r="Y194"/>
  <c r="Y193" s="1"/>
  <c r="AF178" l="1"/>
  <c r="AF176" s="1"/>
  <c r="AL95"/>
  <c r="AF92"/>
  <c r="AF18" s="1"/>
  <c r="AF16" s="1"/>
  <c r="AL139"/>
  <c r="AG10"/>
  <c r="AG176"/>
  <c r="AF13"/>
  <c r="AF11"/>
  <c r="AF12" l="1"/>
  <c r="AF10" s="1"/>
  <c r="AA34"/>
  <c r="Q37"/>
  <c r="AA291" l="1"/>
  <c r="AA290" s="1"/>
  <c r="Y290"/>
  <c r="R291"/>
  <c r="R290" s="1"/>
  <c r="S291"/>
  <c r="S290" s="1"/>
  <c r="T290"/>
  <c r="U290"/>
  <c r="W291"/>
  <c r="W290" s="1"/>
  <c r="AE290"/>
  <c r="AJ291"/>
  <c r="AJ290" s="1"/>
  <c r="AK291"/>
  <c r="AK290" s="1"/>
  <c r="AL291"/>
  <c r="AL290" s="1"/>
  <c r="AM291"/>
  <c r="AM290" s="1"/>
  <c r="AN291"/>
  <c r="AN290" s="1"/>
  <c r="X290"/>
  <c r="Q291"/>
  <c r="Q290" s="1"/>
  <c r="Q248"/>
  <c r="Q246"/>
  <c r="Q245"/>
  <c r="AE244"/>
  <c r="AA244"/>
  <c r="Y244"/>
  <c r="W244"/>
  <c r="V244"/>
  <c r="U244"/>
  <c r="T244"/>
  <c r="S244"/>
  <c r="R244"/>
  <c r="Q241"/>
  <c r="Q240"/>
  <c r="Q242"/>
  <c r="Q239"/>
  <c r="AJ238"/>
  <c r="AK238"/>
  <c r="AL238"/>
  <c r="AM238"/>
  <c r="AN238"/>
  <c r="R238"/>
  <c r="S238"/>
  <c r="T238"/>
  <c r="U238"/>
  <c r="V238"/>
  <c r="W238"/>
  <c r="Y238"/>
  <c r="AA238"/>
  <c r="AE238"/>
  <c r="Z238"/>
  <c r="Z244" l="1"/>
  <c r="Q247"/>
  <c r="Q244" s="1"/>
  <c r="Q238"/>
  <c r="X212"/>
  <c r="X211" s="1"/>
  <c r="X210" s="1"/>
  <c r="Q212"/>
  <c r="Q211" s="1"/>
  <c r="Q210" s="1"/>
  <c r="X193"/>
  <c r="Q199"/>
  <c r="Q201"/>
  <c r="Q197"/>
  <c r="S194"/>
  <c r="S193" s="1"/>
  <c r="U194"/>
  <c r="U193" s="1"/>
  <c r="W194"/>
  <c r="W193" s="1"/>
  <c r="Z194" l="1"/>
  <c r="Z193" s="1"/>
  <c r="AA311"/>
  <c r="AA310" s="1"/>
  <c r="Y311"/>
  <c r="W311"/>
  <c r="V311"/>
  <c r="U311"/>
  <c r="T311"/>
  <c r="S311"/>
  <c r="R311"/>
  <c r="Q311"/>
  <c r="T122"/>
  <c r="U122"/>
  <c r="V122"/>
  <c r="W122"/>
  <c r="Y122"/>
  <c r="Y121" s="1"/>
  <c r="AA122"/>
  <c r="AE122"/>
  <c r="Z122"/>
  <c r="Q320"/>
  <c r="Q318"/>
  <c r="Q119"/>
  <c r="Z116"/>
  <c r="Q117"/>
  <c r="R316"/>
  <c r="S316"/>
  <c r="T316"/>
  <c r="U316"/>
  <c r="V316"/>
  <c r="W316"/>
  <c r="Y316"/>
  <c r="AA316"/>
  <c r="Z316"/>
  <c r="AE316"/>
  <c r="R116"/>
  <c r="T116"/>
  <c r="U116"/>
  <c r="V116"/>
  <c r="W116"/>
  <c r="Y116"/>
  <c r="AA116"/>
  <c r="R113"/>
  <c r="S113"/>
  <c r="T113"/>
  <c r="U113"/>
  <c r="V113"/>
  <c r="W113"/>
  <c r="X113"/>
  <c r="Y113"/>
  <c r="AA113"/>
  <c r="Z113"/>
  <c r="Q114"/>
  <c r="Q113" s="1"/>
  <c r="Q103"/>
  <c r="Q32"/>
  <c r="Q31"/>
  <c r="AA36"/>
  <c r="P37"/>
  <c r="V26"/>
  <c r="X26"/>
  <c r="Y26"/>
  <c r="S36"/>
  <c r="T36"/>
  <c r="U36"/>
  <c r="V36"/>
  <c r="W36"/>
  <c r="Y36"/>
  <c r="Y34"/>
  <c r="P23"/>
  <c r="P19" s="1"/>
  <c r="Q38"/>
  <c r="P38" s="1"/>
  <c r="AE36"/>
  <c r="Z36"/>
  <c r="R36"/>
  <c r="Q116" l="1"/>
  <c r="Q115" s="1"/>
  <c r="Q36"/>
  <c r="Q23" s="1"/>
  <c r="Q19" s="1"/>
  <c r="Y25"/>
  <c r="Q316"/>
  <c r="P290"/>
  <c r="AE23"/>
  <c r="AE19" s="1"/>
  <c r="AA23"/>
  <c r="AA19" s="1"/>
  <c r="Z23"/>
  <c r="Z19" s="1"/>
  <c r="Y23"/>
  <c r="Y19" s="1"/>
  <c r="X23"/>
  <c r="X19" s="1"/>
  <c r="W23"/>
  <c r="W19" s="1"/>
  <c r="V23"/>
  <c r="V19" s="1"/>
  <c r="U23"/>
  <c r="U19" s="1"/>
  <c r="T23"/>
  <c r="T19" s="1"/>
  <c r="S23"/>
  <c r="S19" s="1"/>
  <c r="R23"/>
  <c r="R19" s="1"/>
  <c r="N23"/>
  <c r="N19" s="1"/>
  <c r="O23"/>
  <c r="O19" s="1"/>
  <c r="N24"/>
  <c r="N20" s="1"/>
  <c r="O24"/>
  <c r="O20" s="1"/>
  <c r="P20"/>
  <c r="Q285"/>
  <c r="R285"/>
  <c r="S285"/>
  <c r="T285"/>
  <c r="U285"/>
  <c r="V285"/>
  <c r="W285"/>
  <c r="X285"/>
  <c r="Y285"/>
  <c r="AA285"/>
  <c r="AE285"/>
  <c r="AJ285"/>
  <c r="AK285"/>
  <c r="AL285"/>
  <c r="AM285"/>
  <c r="AN285"/>
  <c r="N282"/>
  <c r="O282"/>
  <c r="P282"/>
  <c r="Q282"/>
  <c r="R282"/>
  <c r="S282"/>
  <c r="T282"/>
  <c r="U282"/>
  <c r="V282"/>
  <c r="W282"/>
  <c r="X282"/>
  <c r="Y282"/>
  <c r="Z282"/>
  <c r="AA282"/>
  <c r="AE282"/>
  <c r="AJ282"/>
  <c r="AK282"/>
  <c r="AL282"/>
  <c r="AM282"/>
  <c r="AN282"/>
  <c r="N251"/>
  <c r="O251"/>
  <c r="P251"/>
  <c r="Q251"/>
  <c r="R251"/>
  <c r="S251"/>
  <c r="T251"/>
  <c r="U251"/>
  <c r="V251"/>
  <c r="W251"/>
  <c r="X251"/>
  <c r="Y251"/>
  <c r="Z251"/>
  <c r="AA251"/>
  <c r="AE251"/>
  <c r="AJ251"/>
  <c r="AK251"/>
  <c r="AL251"/>
  <c r="AM251"/>
  <c r="AN251"/>
  <c r="N249"/>
  <c r="N230" s="1"/>
  <c r="O249"/>
  <c r="P249"/>
  <c r="Q249"/>
  <c r="Q230" s="1"/>
  <c r="R249"/>
  <c r="R230" s="1"/>
  <c r="S249"/>
  <c r="S230" s="1"/>
  <c r="T249"/>
  <c r="T230" s="1"/>
  <c r="U249"/>
  <c r="U230" s="1"/>
  <c r="V249"/>
  <c r="V230" s="1"/>
  <c r="W249"/>
  <c r="W230" s="1"/>
  <c r="X249"/>
  <c r="X230" s="1"/>
  <c r="Y249"/>
  <c r="Y230" s="1"/>
  <c r="Z249"/>
  <c r="AA249"/>
  <c r="AE249"/>
  <c r="AJ249"/>
  <c r="AK249"/>
  <c r="AL249"/>
  <c r="AM249"/>
  <c r="AN249"/>
  <c r="N243"/>
  <c r="O243"/>
  <c r="P243"/>
  <c r="Q243"/>
  <c r="R243"/>
  <c r="S243"/>
  <c r="T243"/>
  <c r="U243"/>
  <c r="V243"/>
  <c r="W243"/>
  <c r="X243"/>
  <c r="Y243"/>
  <c r="Z243"/>
  <c r="AA243"/>
  <c r="AE243"/>
  <c r="AJ243"/>
  <c r="AK243"/>
  <c r="AL243"/>
  <c r="AM243"/>
  <c r="AN243"/>
  <c r="N237"/>
  <c r="O237"/>
  <c r="P237"/>
  <c r="Q237"/>
  <c r="R237"/>
  <c r="S237"/>
  <c r="T237"/>
  <c r="U237"/>
  <c r="V237"/>
  <c r="W237"/>
  <c r="X237"/>
  <c r="Y237"/>
  <c r="Z237"/>
  <c r="AA237"/>
  <c r="AE237"/>
  <c r="AJ237"/>
  <c r="AK237"/>
  <c r="AL237"/>
  <c r="AM237"/>
  <c r="AN237"/>
  <c r="N270"/>
  <c r="N267" s="1"/>
  <c r="O271"/>
  <c r="L271" s="1"/>
  <c r="P270"/>
  <c r="P267" s="1"/>
  <c r="R271"/>
  <c r="R270" s="1"/>
  <c r="R267" s="1"/>
  <c r="S271"/>
  <c r="S270" s="1"/>
  <c r="S267" s="1"/>
  <c r="T271"/>
  <c r="T270" s="1"/>
  <c r="T267" s="1"/>
  <c r="U271"/>
  <c r="U270" s="1"/>
  <c r="U267" s="1"/>
  <c r="W271"/>
  <c r="W270" s="1"/>
  <c r="W267" s="1"/>
  <c r="X271"/>
  <c r="X270" s="1"/>
  <c r="X267" s="1"/>
  <c r="Y271"/>
  <c r="Y270" s="1"/>
  <c r="Y267" s="1"/>
  <c r="AA271"/>
  <c r="AA270" s="1"/>
  <c r="AA267" s="1"/>
  <c r="AE271"/>
  <c r="AE270" s="1"/>
  <c r="AE267" s="1"/>
  <c r="AJ271"/>
  <c r="AK271"/>
  <c r="AL271"/>
  <c r="AM271"/>
  <c r="AN271"/>
  <c r="M270"/>
  <c r="M267" s="1"/>
  <c r="Z271"/>
  <c r="Z270" s="1"/>
  <c r="Z267" s="1"/>
  <c r="V271"/>
  <c r="V270" s="1"/>
  <c r="V267" s="1"/>
  <c r="Q271"/>
  <c r="Q270" s="1"/>
  <c r="Q267" s="1"/>
  <c r="O210"/>
  <c r="AJ210"/>
  <c r="AK210"/>
  <c r="AL210"/>
  <c r="AM210"/>
  <c r="AN210"/>
  <c r="N207"/>
  <c r="N181" s="1"/>
  <c r="O207"/>
  <c r="O181" s="1"/>
  <c r="P207"/>
  <c r="Q207"/>
  <c r="R207"/>
  <c r="S207"/>
  <c r="T207"/>
  <c r="U207"/>
  <c r="V207"/>
  <c r="W207"/>
  <c r="X207"/>
  <c r="Y207"/>
  <c r="Z207"/>
  <c r="AA207"/>
  <c r="AE207"/>
  <c r="AJ207"/>
  <c r="AK207"/>
  <c r="AL207"/>
  <c r="AM207"/>
  <c r="AN207"/>
  <c r="Q121"/>
  <c r="AL121" s="1"/>
  <c r="R121"/>
  <c r="S121"/>
  <c r="T121"/>
  <c r="U121"/>
  <c r="V121"/>
  <c r="W121"/>
  <c r="X121"/>
  <c r="Z121"/>
  <c r="AA121"/>
  <c r="AE121"/>
  <c r="AK121"/>
  <c r="AM121"/>
  <c r="AN121"/>
  <c r="R115"/>
  <c r="S115"/>
  <c r="T115"/>
  <c r="U115"/>
  <c r="V115"/>
  <c r="W115"/>
  <c r="X115"/>
  <c r="Y115"/>
  <c r="Z115"/>
  <c r="AA115"/>
  <c r="AE115"/>
  <c r="AK115"/>
  <c r="AM115"/>
  <c r="AN115"/>
  <c r="N112"/>
  <c r="N92" s="1"/>
  <c r="O112"/>
  <c r="O92" s="1"/>
  <c r="P112"/>
  <c r="P92" s="1"/>
  <c r="Q112"/>
  <c r="R112"/>
  <c r="S112"/>
  <c r="T112"/>
  <c r="U112"/>
  <c r="V112"/>
  <c r="W112"/>
  <c r="X112"/>
  <c r="Y112"/>
  <c r="Z112"/>
  <c r="AA112"/>
  <c r="AE112"/>
  <c r="AK112"/>
  <c r="AM112"/>
  <c r="AN112"/>
  <c r="Q109"/>
  <c r="R109"/>
  <c r="S109"/>
  <c r="T109"/>
  <c r="U109"/>
  <c r="V109"/>
  <c r="W109"/>
  <c r="X109"/>
  <c r="Y109"/>
  <c r="Z109"/>
  <c r="AA109"/>
  <c r="AJ109"/>
  <c r="AK109"/>
  <c r="AL109"/>
  <c r="AM109"/>
  <c r="AN109"/>
  <c r="Q106"/>
  <c r="R106"/>
  <c r="S106"/>
  <c r="T106"/>
  <c r="U106"/>
  <c r="V106"/>
  <c r="W106"/>
  <c r="X106"/>
  <c r="Y106"/>
  <c r="Z106"/>
  <c r="AA106"/>
  <c r="AE106"/>
  <c r="AJ106"/>
  <c r="AK106"/>
  <c r="AL106"/>
  <c r="AM106"/>
  <c r="AN106"/>
  <c r="Q92" l="1"/>
  <c r="P181"/>
  <c r="P177" s="1"/>
  <c r="O230"/>
  <c r="O179" s="1"/>
  <c r="P230"/>
  <c r="P179" s="1"/>
  <c r="P13" s="1"/>
  <c r="O177"/>
  <c r="AL270"/>
  <c r="O270"/>
  <c r="O267" s="1"/>
  <c r="AA230"/>
  <c r="AA179" s="1"/>
  <c r="Y179"/>
  <c r="W179"/>
  <c r="U179"/>
  <c r="S179"/>
  <c r="Q179"/>
  <c r="AJ115"/>
  <c r="AJ112"/>
  <c r="AJ121"/>
  <c r="AE230"/>
  <c r="AE179" s="1"/>
  <c r="Z230"/>
  <c r="Z179" s="1"/>
  <c r="X179"/>
  <c r="V179"/>
  <c r="T179"/>
  <c r="R179"/>
  <c r="N179"/>
  <c r="AJ270"/>
  <c r="P14"/>
  <c r="N13" l="1"/>
  <c r="O13"/>
  <c r="L121"/>
  <c r="L99"/>
  <c r="L25"/>
  <c r="M24"/>
  <c r="M20" s="1"/>
  <c r="L24"/>
  <c r="M290"/>
  <c r="L290"/>
  <c r="L193" l="1"/>
  <c r="M112"/>
  <c r="M92" s="1"/>
  <c r="L112"/>
  <c r="L109"/>
  <c r="J326"/>
  <c r="X322"/>
  <c r="Y322"/>
  <c r="Z322"/>
  <c r="AA322"/>
  <c r="AE322"/>
  <c r="AJ322"/>
  <c r="AK322"/>
  <c r="AM322"/>
  <c r="AN322"/>
  <c r="J322"/>
  <c r="Q323"/>
  <c r="R323"/>
  <c r="P323" s="1"/>
  <c r="J315"/>
  <c r="J325"/>
  <c r="J327"/>
  <c r="Z315"/>
  <c r="AA315"/>
  <c r="AE315"/>
  <c r="AM315"/>
  <c r="AN315"/>
  <c r="J316"/>
  <c r="S315"/>
  <c r="T315"/>
  <c r="U315"/>
  <c r="V315"/>
  <c r="W315"/>
  <c r="X315"/>
  <c r="Y315"/>
  <c r="Q317"/>
  <c r="Q315" s="1"/>
  <c r="R317"/>
  <c r="R315" s="1"/>
  <c r="J321"/>
  <c r="J314"/>
  <c r="Y310"/>
  <c r="X310"/>
  <c r="V310"/>
  <c r="U310"/>
  <c r="T310"/>
  <c r="R310"/>
  <c r="Q310"/>
  <c r="AN310"/>
  <c r="AM310"/>
  <c r="AE310"/>
  <c r="W310"/>
  <c r="S310"/>
  <c r="J310"/>
  <c r="AJ315" l="1"/>
  <c r="AK315" s="1"/>
  <c r="P317"/>
  <c r="AJ310"/>
  <c r="AK310" s="1"/>
  <c r="AL310"/>
  <c r="M282"/>
  <c r="L282"/>
  <c r="L279" s="1"/>
  <c r="L281"/>
  <c r="K279"/>
  <c r="L278"/>
  <c r="L270"/>
  <c r="L267" s="1"/>
  <c r="M251"/>
  <c r="L251"/>
  <c r="M249"/>
  <c r="L249"/>
  <c r="M243"/>
  <c r="L243"/>
  <c r="M237"/>
  <c r="L237"/>
  <c r="L232"/>
  <c r="M207"/>
  <c r="M181" s="1"/>
  <c r="L207"/>
  <c r="L185"/>
  <c r="M156"/>
  <c r="L115"/>
  <c r="L92" s="1"/>
  <c r="M230" l="1"/>
  <c r="M179" s="1"/>
  <c r="L229"/>
  <c r="L178" s="1"/>
  <c r="L230"/>
  <c r="M23"/>
  <c r="M19" s="1"/>
  <c r="I14" i="8" l="1"/>
  <c r="J14"/>
  <c r="I15"/>
  <c r="J15"/>
  <c r="I16"/>
  <c r="J16"/>
  <c r="I17"/>
  <c r="J17"/>
  <c r="P30" i="6"/>
  <c r="Q30"/>
  <c r="V291"/>
  <c r="V290" s="1"/>
  <c r="V194"/>
  <c r="V193" s="1"/>
  <c r="Q196"/>
  <c r="Z82"/>
  <c r="Q82"/>
  <c r="R82"/>
  <c r="S82"/>
  <c r="T82"/>
  <c r="U82"/>
  <c r="V82"/>
  <c r="W82"/>
  <c r="AE82"/>
  <c r="Q33" l="1"/>
  <c r="P33"/>
  <c r="S26"/>
  <c r="P28"/>
  <c r="P29"/>
  <c r="Q29"/>
  <c r="U26"/>
  <c r="AE26"/>
  <c r="AE34"/>
  <c r="AA26"/>
  <c r="G16" i="8"/>
  <c r="H16"/>
  <c r="G14"/>
  <c r="H14"/>
  <c r="G15"/>
  <c r="H15"/>
  <c r="G17"/>
  <c r="H17"/>
  <c r="AJ105" i="6"/>
  <c r="AK105" s="1"/>
  <c r="AJ56"/>
  <c r="AJ19" s="1"/>
  <c r="S25" l="1"/>
  <c r="T26"/>
  <c r="Q26"/>
  <c r="AK56"/>
  <c r="AK19" s="1"/>
  <c r="AE25"/>
  <c r="AE24"/>
  <c r="AE20" s="1"/>
  <c r="Q195"/>
  <c r="Q193" s="1"/>
  <c r="AL193" s="1"/>
  <c r="AJ24"/>
  <c r="AK24"/>
  <c r="AL24"/>
  <c r="AM24"/>
  <c r="AN24"/>
  <c r="R201"/>
  <c r="R195"/>
  <c r="AJ194"/>
  <c r="AK194"/>
  <c r="AL194"/>
  <c r="AM194"/>
  <c r="AN194"/>
  <c r="R194" l="1"/>
  <c r="R193" s="1"/>
  <c r="T194"/>
  <c r="T193" s="1"/>
  <c r="F28" i="8"/>
  <c r="Q34" i="6" l="1"/>
  <c r="Q25" s="1"/>
  <c r="D16" i="8"/>
  <c r="C16"/>
  <c r="N18"/>
  <c r="O18" s="1"/>
  <c r="D35"/>
  <c r="D34"/>
  <c r="D33"/>
  <c r="D31"/>
  <c r="D29"/>
  <c r="L28"/>
  <c r="K28"/>
  <c r="J28"/>
  <c r="I28"/>
  <c r="H28"/>
  <c r="G28"/>
  <c r="E28"/>
  <c r="C28"/>
  <c r="D27"/>
  <c r="D26"/>
  <c r="D25"/>
  <c r="D24"/>
  <c r="D23"/>
  <c r="D22"/>
  <c r="L20"/>
  <c r="K20"/>
  <c r="J20"/>
  <c r="H20"/>
  <c r="G20"/>
  <c r="F20"/>
  <c r="E20"/>
  <c r="C20"/>
  <c r="D19"/>
  <c r="D8"/>
  <c r="F17"/>
  <c r="D17" s="1"/>
  <c r="E17"/>
  <c r="C17" s="1"/>
  <c r="F15"/>
  <c r="D15" s="1"/>
  <c r="E15"/>
  <c r="C15" s="1"/>
  <c r="F14"/>
  <c r="D14" s="1"/>
  <c r="E14"/>
  <c r="C14" s="1"/>
  <c r="L13"/>
  <c r="K13"/>
  <c r="J13"/>
  <c r="I13"/>
  <c r="H13"/>
  <c r="G13"/>
  <c r="H12" l="1"/>
  <c r="H36" s="1"/>
  <c r="D20"/>
  <c r="D28"/>
  <c r="I12"/>
  <c r="I36" s="1"/>
  <c r="G12"/>
  <c r="G36" s="1"/>
  <c r="L12"/>
  <c r="L36" s="1"/>
  <c r="K12"/>
  <c r="K36" s="1"/>
  <c r="Q24" i="6"/>
  <c r="Q20" s="1"/>
  <c r="J12" i="8"/>
  <c r="J36" s="1"/>
  <c r="C13"/>
  <c r="C12" s="1"/>
  <c r="C36" s="1"/>
  <c r="E13"/>
  <c r="E12" s="1"/>
  <c r="E36" s="1"/>
  <c r="D13"/>
  <c r="F13"/>
  <c r="F12" s="1"/>
  <c r="D12" l="1"/>
  <c r="D36" s="1"/>
  <c r="M12"/>
  <c r="F36"/>
  <c r="Z306" i="6" l="1"/>
  <c r="T306"/>
  <c r="T279" s="1"/>
  <c r="U306"/>
  <c r="U279" s="1"/>
  <c r="Y306"/>
  <c r="Y279" s="1"/>
  <c r="AA306"/>
  <c r="AA279" s="1"/>
  <c r="S306"/>
  <c r="S279" s="1"/>
  <c r="R306"/>
  <c r="R279" s="1"/>
  <c r="Q307"/>
  <c r="Q306" s="1"/>
  <c r="Q279" s="1"/>
  <c r="AA24"/>
  <c r="AA20" s="1"/>
  <c r="Z34"/>
  <c r="S24"/>
  <c r="S20" s="1"/>
  <c r="T34"/>
  <c r="U34"/>
  <c r="V34"/>
  <c r="V24" s="1"/>
  <c r="V20" s="1"/>
  <c r="W34"/>
  <c r="W24" s="1"/>
  <c r="W20" s="1"/>
  <c r="X24"/>
  <c r="X20" s="1"/>
  <c r="Y24"/>
  <c r="Y20" s="1"/>
  <c r="R35"/>
  <c r="R34" s="1"/>
  <c r="AE193"/>
  <c r="AM193"/>
  <c r="AN193"/>
  <c r="P81"/>
  <c r="P64"/>
  <c r="AL189"/>
  <c r="R189"/>
  <c r="S189"/>
  <c r="T189"/>
  <c r="U189"/>
  <c r="V189"/>
  <c r="W189"/>
  <c r="X189"/>
  <c r="Y189"/>
  <c r="Z189"/>
  <c r="AA189"/>
  <c r="AE189"/>
  <c r="AM189"/>
  <c r="AN189"/>
  <c r="AL185"/>
  <c r="AE185"/>
  <c r="AM185"/>
  <c r="AN185"/>
  <c r="Q39"/>
  <c r="R39"/>
  <c r="S39"/>
  <c r="T39"/>
  <c r="U39"/>
  <c r="V39"/>
  <c r="W39"/>
  <c r="X39"/>
  <c r="Y39"/>
  <c r="Z39"/>
  <c r="AA39"/>
  <c r="AE39"/>
  <c r="AL39"/>
  <c r="AM39"/>
  <c r="AN39"/>
  <c r="V306"/>
  <c r="V279" s="1"/>
  <c r="W306"/>
  <c r="W279" s="1"/>
  <c r="X306"/>
  <c r="X279" s="1"/>
  <c r="AE306"/>
  <c r="AE279" s="1"/>
  <c r="AM306"/>
  <c r="AM279" s="1"/>
  <c r="AN306"/>
  <c r="AN279" s="1"/>
  <c r="P304"/>
  <c r="P279" s="1"/>
  <c r="AM270"/>
  <c r="AN270"/>
  <c r="R232"/>
  <c r="R229" s="1"/>
  <c r="R178" s="1"/>
  <c r="S232"/>
  <c r="S229" s="1"/>
  <c r="S178" s="1"/>
  <c r="T232"/>
  <c r="T229" s="1"/>
  <c r="T178" s="1"/>
  <c r="U232"/>
  <c r="U229" s="1"/>
  <c r="U178" s="1"/>
  <c r="V232"/>
  <c r="V229" s="1"/>
  <c r="V178" s="1"/>
  <c r="W232"/>
  <c r="W229" s="1"/>
  <c r="W178" s="1"/>
  <c r="X232"/>
  <c r="X229" s="1"/>
  <c r="X178" s="1"/>
  <c r="Y232"/>
  <c r="Y229" s="1"/>
  <c r="Y178" s="1"/>
  <c r="Z232"/>
  <c r="Z229" s="1"/>
  <c r="AA232"/>
  <c r="AA229" s="1"/>
  <c r="AA178" s="1"/>
  <c r="AE232"/>
  <c r="AM232"/>
  <c r="AM229" s="1"/>
  <c r="AN232"/>
  <c r="AN229" s="1"/>
  <c r="Q232"/>
  <c r="Q229" s="1"/>
  <c r="P232"/>
  <c r="P229" s="1"/>
  <c r="Q13"/>
  <c r="U13"/>
  <c r="W13"/>
  <c r="Y13"/>
  <c r="AJ179"/>
  <c r="AK179"/>
  <c r="AL179"/>
  <c r="AM179"/>
  <c r="AN179"/>
  <c r="Q180"/>
  <c r="Q14" s="1"/>
  <c r="R180"/>
  <c r="S180"/>
  <c r="T180"/>
  <c r="U180"/>
  <c r="V180"/>
  <c r="W180"/>
  <c r="X180"/>
  <c r="Y180"/>
  <c r="Z180"/>
  <c r="AA180"/>
  <c r="AE180"/>
  <c r="AE14" s="1"/>
  <c r="AJ180"/>
  <c r="AK180"/>
  <c r="AL180"/>
  <c r="AM180"/>
  <c r="AN180"/>
  <c r="Q156"/>
  <c r="R156"/>
  <c r="S156"/>
  <c r="T156"/>
  <c r="U156"/>
  <c r="V156"/>
  <c r="W156"/>
  <c r="X156"/>
  <c r="Y156"/>
  <c r="Z156"/>
  <c r="AA153"/>
  <c r="AE156"/>
  <c r="AM156"/>
  <c r="AM153" s="1"/>
  <c r="AN156"/>
  <c r="AN153" s="1"/>
  <c r="P156"/>
  <c r="P153" s="1"/>
  <c r="R99"/>
  <c r="R92" s="1"/>
  <c r="S99"/>
  <c r="S92" s="1"/>
  <c r="T99"/>
  <c r="T92" s="1"/>
  <c r="U99"/>
  <c r="U92" s="1"/>
  <c r="V99"/>
  <c r="W99"/>
  <c r="X99"/>
  <c r="Y99"/>
  <c r="Z99"/>
  <c r="Z92" s="1"/>
  <c r="AA99"/>
  <c r="AA92" s="1"/>
  <c r="AE99"/>
  <c r="AM99"/>
  <c r="AM92" s="1"/>
  <c r="AN99"/>
  <c r="AN92" s="1"/>
  <c r="R81"/>
  <c r="R78" s="1"/>
  <c r="S81"/>
  <c r="S78" s="1"/>
  <c r="T81"/>
  <c r="T78" s="1"/>
  <c r="U81"/>
  <c r="U78" s="1"/>
  <c r="V81"/>
  <c r="V78" s="1"/>
  <c r="W81"/>
  <c r="W78" s="1"/>
  <c r="X81"/>
  <c r="X78" s="1"/>
  <c r="Y81"/>
  <c r="Y78" s="1"/>
  <c r="Z81"/>
  <c r="Z78" s="1"/>
  <c r="AA81"/>
  <c r="AA78" s="1"/>
  <c r="AE81"/>
  <c r="AE78" s="1"/>
  <c r="AM81"/>
  <c r="AM78" s="1"/>
  <c r="AN81"/>
  <c r="AN78" s="1"/>
  <c r="Q81"/>
  <c r="R64"/>
  <c r="S64"/>
  <c r="T64"/>
  <c r="U64"/>
  <c r="V64"/>
  <c r="W64"/>
  <c r="X64"/>
  <c r="Y64"/>
  <c r="Y61" s="1"/>
  <c r="Z64"/>
  <c r="Z61" s="1"/>
  <c r="AA64"/>
  <c r="AA61" s="1"/>
  <c r="AE64"/>
  <c r="AM64"/>
  <c r="AN64"/>
  <c r="R67"/>
  <c r="R61" s="1"/>
  <c r="S67"/>
  <c r="S61" s="1"/>
  <c r="T67"/>
  <c r="T61" s="1"/>
  <c r="U67"/>
  <c r="U61" s="1"/>
  <c r="V67"/>
  <c r="V61" s="1"/>
  <c r="W67"/>
  <c r="W61" s="1"/>
  <c r="X67"/>
  <c r="X61" s="1"/>
  <c r="AE67"/>
  <c r="AE61" s="1"/>
  <c r="AM67"/>
  <c r="AN67"/>
  <c r="Q67"/>
  <c r="Q64"/>
  <c r="P67"/>
  <c r="Q42"/>
  <c r="R42"/>
  <c r="S42"/>
  <c r="T42"/>
  <c r="U42"/>
  <c r="V42"/>
  <c r="W42"/>
  <c r="X42"/>
  <c r="Y42"/>
  <c r="Z42"/>
  <c r="AA42"/>
  <c r="AE42"/>
  <c r="AM42"/>
  <c r="AN42"/>
  <c r="P17"/>
  <c r="AN25"/>
  <c r="AM25"/>
  <c r="AJ20"/>
  <c r="AK20"/>
  <c r="AL20"/>
  <c r="AM20"/>
  <c r="AN20"/>
  <c r="Q61" l="1"/>
  <c r="P178"/>
  <c r="AM14"/>
  <c r="AM21"/>
  <c r="V21"/>
  <c r="V17" s="1"/>
  <c r="R21"/>
  <c r="Y21"/>
  <c r="Y17" s="1"/>
  <c r="U21"/>
  <c r="U17" s="1"/>
  <c r="AJ39"/>
  <c r="Q21"/>
  <c r="Q17" s="1"/>
  <c r="Z21"/>
  <c r="Z17" s="1"/>
  <c r="AE21"/>
  <c r="AE17" s="1"/>
  <c r="X21"/>
  <c r="X17" s="1"/>
  <c r="T21"/>
  <c r="T17" s="1"/>
  <c r="AN21"/>
  <c r="AN17" s="1"/>
  <c r="AA21"/>
  <c r="AA17" s="1"/>
  <c r="W21"/>
  <c r="W17" s="1"/>
  <c r="S21"/>
  <c r="AL81"/>
  <c r="U24"/>
  <c r="U20" s="1"/>
  <c r="U14" s="1"/>
  <c r="U25"/>
  <c r="R24"/>
  <c r="R20" s="1"/>
  <c r="R14" s="1"/>
  <c r="R25"/>
  <c r="T24"/>
  <c r="T20" s="1"/>
  <c r="T25"/>
  <c r="AL232"/>
  <c r="AL229" s="1"/>
  <c r="AL156"/>
  <c r="AL153" s="1"/>
  <c r="Q178"/>
  <c r="Z24"/>
  <c r="Z20" s="1"/>
  <c r="Z14" s="1"/>
  <c r="Z25"/>
  <c r="AE153"/>
  <c r="AE132" s="1"/>
  <c r="AE129" s="1"/>
  <c r="AE137"/>
  <c r="AE133" s="1"/>
  <c r="Z153"/>
  <c r="X153"/>
  <c r="X132" s="1"/>
  <c r="X137"/>
  <c r="V153"/>
  <c r="V132" s="1"/>
  <c r="V137"/>
  <c r="T153"/>
  <c r="R153"/>
  <c r="Y153"/>
  <c r="Y132" s="1"/>
  <c r="Y137"/>
  <c r="W153"/>
  <c r="W132" s="1"/>
  <c r="W137"/>
  <c r="U153"/>
  <c r="S153"/>
  <c r="Q153"/>
  <c r="AJ133"/>
  <c r="AM13"/>
  <c r="AM267"/>
  <c r="AM178" s="1"/>
  <c r="AE181"/>
  <c r="AE177" s="1"/>
  <c r="AM61"/>
  <c r="AM18" s="1"/>
  <c r="X14"/>
  <c r="AJ67"/>
  <c r="AK67" s="1"/>
  <c r="AK14"/>
  <c r="AM17"/>
  <c r="AA181"/>
  <c r="AA177" s="1"/>
  <c r="T14"/>
  <c r="AN181"/>
  <c r="AN177" s="1"/>
  <c r="V14"/>
  <c r="Z181"/>
  <c r="Z177" s="1"/>
  <c r="V181"/>
  <c r="V177" s="1"/>
  <c r="R181"/>
  <c r="R177" s="1"/>
  <c r="AM181"/>
  <c r="AM177" s="1"/>
  <c r="AK13"/>
  <c r="Q181"/>
  <c r="Q177" s="1"/>
  <c r="X181"/>
  <c r="X177" s="1"/>
  <c r="T181"/>
  <c r="T177" s="1"/>
  <c r="AN267"/>
  <c r="AN178" s="1"/>
  <c r="Y181"/>
  <c r="Y177" s="1"/>
  <c r="W181"/>
  <c r="W177" s="1"/>
  <c r="U181"/>
  <c r="U177" s="1"/>
  <c r="S181"/>
  <c r="S177" s="1"/>
  <c r="AE229"/>
  <c r="AE178" s="1"/>
  <c r="AJ304"/>
  <c r="AK304" s="1"/>
  <c r="AJ81"/>
  <c r="Y14"/>
  <c r="W14"/>
  <c r="X25"/>
  <c r="W25"/>
  <c r="AN61"/>
  <c r="AN18" s="1"/>
  <c r="AA18"/>
  <c r="AJ64"/>
  <c r="AK64" s="1"/>
  <c r="AK270"/>
  <c r="AA13"/>
  <c r="AN14"/>
  <c r="AJ14"/>
  <c r="AN13"/>
  <c r="AJ13"/>
  <c r="X13"/>
  <c r="V13"/>
  <c r="T13"/>
  <c r="V25"/>
  <c r="AJ42"/>
  <c r="AK42" s="1"/>
  <c r="AE13"/>
  <c r="Z13"/>
  <c r="R13"/>
  <c r="AJ185"/>
  <c r="AK185" s="1"/>
  <c r="AA25"/>
  <c r="AJ156"/>
  <c r="AA14"/>
  <c r="AJ232"/>
  <c r="AJ229" s="1"/>
  <c r="Q78"/>
  <c r="AK95"/>
  <c r="AL42"/>
  <c r="Q18"/>
  <c r="P78"/>
  <c r="AJ189"/>
  <c r="AK189" s="1"/>
  <c r="S14"/>
  <c r="S13"/>
  <c r="P308"/>
  <c r="P61"/>
  <c r="M177"/>
  <c r="AE92" l="1"/>
  <c r="P18"/>
  <c r="P16" s="1"/>
  <c r="AN176"/>
  <c r="AL78"/>
  <c r="AL21"/>
  <c r="AL17" s="1"/>
  <c r="AK39"/>
  <c r="AK21" s="1"/>
  <c r="AK17" s="1"/>
  <c r="AJ21"/>
  <c r="AJ17" s="1"/>
  <c r="W133"/>
  <c r="Y133"/>
  <c r="V133"/>
  <c r="X133"/>
  <c r="Q176"/>
  <c r="U18"/>
  <c r="U16" s="1"/>
  <c r="S18"/>
  <c r="S12" s="1"/>
  <c r="T18"/>
  <c r="T12" s="1"/>
  <c r="Z18"/>
  <c r="Z16" s="1"/>
  <c r="AE18"/>
  <c r="AE16" s="1"/>
  <c r="AA12"/>
  <c r="AA16"/>
  <c r="R18"/>
  <c r="R12" s="1"/>
  <c r="AJ129"/>
  <c r="W176"/>
  <c r="AK61"/>
  <c r="AE11"/>
  <c r="AN16"/>
  <c r="S176"/>
  <c r="X176"/>
  <c r="AM176"/>
  <c r="T176"/>
  <c r="AN11"/>
  <c r="Z11"/>
  <c r="AM11"/>
  <c r="T11"/>
  <c r="V176"/>
  <c r="AA11"/>
  <c r="AM12"/>
  <c r="V11"/>
  <c r="AJ61"/>
  <c r="AL181"/>
  <c r="AL177" s="1"/>
  <c r="AN12"/>
  <c r="Y11"/>
  <c r="AM16"/>
  <c r="U176"/>
  <c r="U11"/>
  <c r="W11"/>
  <c r="S17"/>
  <c r="I28"/>
  <c r="AA176"/>
  <c r="Y176"/>
  <c r="X11"/>
  <c r="P11"/>
  <c r="AL61"/>
  <c r="AK156"/>
  <c r="AK153" s="1"/>
  <c r="AJ153"/>
  <c r="R176"/>
  <c r="AK81"/>
  <c r="AK78" s="1"/>
  <c r="AJ78"/>
  <c r="AK232"/>
  <c r="AK229" s="1"/>
  <c r="AK193"/>
  <c r="AK181" s="1"/>
  <c r="AK177" s="1"/>
  <c r="AJ181"/>
  <c r="AJ177" s="1"/>
  <c r="Q11"/>
  <c r="J62"/>
  <c r="J63"/>
  <c r="J100"/>
  <c r="J104"/>
  <c r="L105"/>
  <c r="J95"/>
  <c r="L94"/>
  <c r="J94" s="1"/>
  <c r="L93"/>
  <c r="K92"/>
  <c r="L91"/>
  <c r="J307"/>
  <c r="J309"/>
  <c r="L65"/>
  <c r="J65" s="1"/>
  <c r="L66"/>
  <c r="J66" s="1"/>
  <c r="J68"/>
  <c r="J70"/>
  <c r="N64"/>
  <c r="O64"/>
  <c r="N67"/>
  <c r="O67"/>
  <c r="M67"/>
  <c r="M64"/>
  <c r="V92" l="1"/>
  <c r="V18" s="1"/>
  <c r="V12" s="1"/>
  <c r="V10" s="1"/>
  <c r="Y92"/>
  <c r="Y18" s="1"/>
  <c r="W92"/>
  <c r="W18" s="1"/>
  <c r="W16" s="1"/>
  <c r="X92"/>
  <c r="X18" s="1"/>
  <c r="J93"/>
  <c r="T16"/>
  <c r="AA10"/>
  <c r="AE12"/>
  <c r="AE10" s="1"/>
  <c r="AJ306"/>
  <c r="AJ267" s="1"/>
  <c r="AJ178" s="1"/>
  <c r="P176"/>
  <c r="AM10"/>
  <c r="T10"/>
  <c r="AN10"/>
  <c r="AE176"/>
  <c r="U12"/>
  <c r="U10" s="1"/>
  <c r="AL11"/>
  <c r="R17"/>
  <c r="R11" s="1"/>
  <c r="R10" s="1"/>
  <c r="I27"/>
  <c r="Q12"/>
  <c r="Q10" s="1"/>
  <c r="N61"/>
  <c r="M61"/>
  <c r="O61"/>
  <c r="S11"/>
  <c r="S10" s="1"/>
  <c r="S16"/>
  <c r="AK11"/>
  <c r="AJ11"/>
  <c r="AJ25"/>
  <c r="AK25" s="1"/>
  <c r="Q16"/>
  <c r="J306"/>
  <c r="J67"/>
  <c r="L64"/>
  <c r="J64" s="1"/>
  <c r="K189"/>
  <c r="K181" s="1"/>
  <c r="K177" s="1"/>
  <c r="Y12" l="1"/>
  <c r="Y10" s="1"/>
  <c r="Y16"/>
  <c r="X12"/>
  <c r="X10" s="1"/>
  <c r="X16"/>
  <c r="W12"/>
  <c r="W10" s="1"/>
  <c r="V16"/>
  <c r="AJ279"/>
  <c r="AJ176"/>
  <c r="AK306"/>
  <c r="AK267" s="1"/>
  <c r="AL279"/>
  <c r="AL267"/>
  <c r="AL178" s="1"/>
  <c r="AL176" s="1"/>
  <c r="AJ99"/>
  <c r="AJ92" s="1"/>
  <c r="AL99"/>
  <c r="AL92" s="1"/>
  <c r="AL18" s="1"/>
  <c r="AL16" s="1"/>
  <c r="R16"/>
  <c r="J99"/>
  <c r="J92"/>
  <c r="J61"/>
  <c r="AJ18" l="1"/>
  <c r="AK99"/>
  <c r="AK92" s="1"/>
  <c r="AK18" s="1"/>
  <c r="AK279"/>
  <c r="AK178"/>
  <c r="AK176" s="1"/>
  <c r="P12"/>
  <c r="K19"/>
  <c r="J19"/>
  <c r="K78"/>
  <c r="K18" s="1"/>
  <c r="J78"/>
  <c r="K152"/>
  <c r="J153"/>
  <c r="K267"/>
  <c r="J179"/>
  <c r="K229"/>
  <c r="J229"/>
  <c r="K180"/>
  <c r="J180"/>
  <c r="K24"/>
  <c r="K20" s="1"/>
  <c r="AJ16" l="1"/>
  <c r="AJ12"/>
  <c r="AJ10" s="1"/>
  <c r="P10"/>
  <c r="AL10" s="1"/>
  <c r="AL12"/>
  <c r="AK16"/>
  <c r="AK12"/>
  <c r="AK10" s="1"/>
  <c r="K178"/>
  <c r="K12" s="1"/>
  <c r="J18"/>
  <c r="K14"/>
  <c r="J13"/>
  <c r="J34"/>
  <c r="J24" s="1"/>
  <c r="J20" s="1"/>
  <c r="J14" s="1"/>
  <c r="K26"/>
  <c r="K21" s="1"/>
  <c r="K17" s="1"/>
  <c r="K16" l="1"/>
  <c r="K11"/>
  <c r="K25"/>
  <c r="J193"/>
  <c r="J181" s="1"/>
  <c r="J177" s="1"/>
  <c r="N304" l="1"/>
  <c r="N279" s="1"/>
  <c r="O304"/>
  <c r="O279" s="1"/>
  <c r="M304"/>
  <c r="M279" s="1"/>
  <c r="N177" l="1"/>
  <c r="N180"/>
  <c r="N14" s="1"/>
  <c r="O180"/>
  <c r="O14" s="1"/>
  <c r="M180"/>
  <c r="M14" l="1"/>
  <c r="N17"/>
  <c r="O17"/>
  <c r="J39"/>
  <c r="J21" l="1"/>
  <c r="J17" s="1"/>
  <c r="M17"/>
  <c r="J16" l="1"/>
  <c r="J11"/>
  <c r="N156"/>
  <c r="O156"/>
  <c r="M153"/>
  <c r="N153" l="1"/>
  <c r="O153"/>
  <c r="L189"/>
  <c r="L181" s="1"/>
  <c r="N232" l="1"/>
  <c r="N229" s="1"/>
  <c r="N178" s="1"/>
  <c r="O232"/>
  <c r="O229" s="1"/>
  <c r="O178" s="1"/>
  <c r="M232"/>
  <c r="M229" s="1"/>
  <c r="M178" s="1"/>
  <c r="J279" l="1"/>
  <c r="M13" l="1"/>
  <c r="N78"/>
  <c r="N18" s="1"/>
  <c r="N16" s="1"/>
  <c r="O78"/>
  <c r="O18" l="1"/>
  <c r="O16" s="1"/>
  <c r="N12"/>
  <c r="M78"/>
  <c r="M18" s="1"/>
  <c r="M16" s="1"/>
  <c r="J293"/>
  <c r="O12" l="1"/>
  <c r="L81"/>
  <c r="L78" s="1"/>
  <c r="L18" s="1"/>
  <c r="J290"/>
  <c r="J267" l="1"/>
  <c r="J178" s="1"/>
  <c r="J12" s="1"/>
  <c r="J10" s="1"/>
  <c r="J176" l="1"/>
  <c r="L23"/>
  <c r="L79"/>
  <c r="L80"/>
  <c r="L154"/>
  <c r="L155"/>
  <c r="L269"/>
  <c r="L180" s="1"/>
  <c r="L19" l="1"/>
  <c r="L20"/>
  <c r="L12"/>
  <c r="K179"/>
  <c r="K176" l="1"/>
  <c r="K13"/>
  <c r="K10" s="1"/>
  <c r="L14" l="1"/>
  <c r="L266" l="1"/>
  <c r="L177" s="1"/>
  <c r="L152"/>
  <c r="L17" s="1"/>
  <c r="L16" s="1"/>
  <c r="L268"/>
  <c r="L179" s="1"/>
  <c r="L11" l="1"/>
  <c r="N11"/>
  <c r="N10" s="1"/>
  <c r="O176"/>
  <c r="N176"/>
  <c r="M12" l="1"/>
  <c r="M11"/>
  <c r="O11"/>
  <c r="O10" s="1"/>
  <c r="M176" l="1"/>
  <c r="L176" l="1"/>
  <c r="L13"/>
  <c r="L10" s="1"/>
  <c r="M10"/>
  <c r="Z311" l="1"/>
  <c r="Z310" s="1"/>
  <c r="Z279" s="1"/>
  <c r="Z291"/>
  <c r="Z290" s="1"/>
  <c r="Z178" l="1"/>
  <c r="Z12" s="1"/>
  <c r="Z10" s="1"/>
  <c r="Z176" l="1"/>
</calcChain>
</file>

<file path=xl/sharedStrings.xml><?xml version="1.0" encoding="utf-8"?>
<sst xmlns="http://schemas.openxmlformats.org/spreadsheetml/2006/main" count="2195" uniqueCount="441">
  <si>
    <t>Источник финансирования</t>
  </si>
  <si>
    <t>Год начала строительства/ проектирования</t>
  </si>
  <si>
    <t>Год окончания строительства/ проектирования</t>
  </si>
  <si>
    <t>№ п/п</t>
  </si>
  <si>
    <t>Наименование мероприятий</t>
  </si>
  <si>
    <t xml:space="preserve">Проектная мощность </t>
  </si>
  <si>
    <t>Диаметр, мм</t>
  </si>
  <si>
    <t>Водоотведение.</t>
  </si>
  <si>
    <t>График финансирования и реализации мероприятий (тыс. руб.)</t>
  </si>
  <si>
    <t>прочие средства</t>
  </si>
  <si>
    <t>бюджетные средства</t>
  </si>
  <si>
    <t xml:space="preserve">Всего </t>
  </si>
  <si>
    <t xml:space="preserve">1. Водоснабжение </t>
  </si>
  <si>
    <t>2.</t>
  </si>
  <si>
    <t>Протяженность сетей, п. м</t>
  </si>
  <si>
    <t>проектирование</t>
  </si>
  <si>
    <t>строительство</t>
  </si>
  <si>
    <t xml:space="preserve"> Строительство новых сетей не связанных с подключением</t>
  </si>
  <si>
    <t>Расширение Восточной водопроводной станции г. Калининграда</t>
  </si>
  <si>
    <t>собственные средства (плата за подключен.)</t>
  </si>
  <si>
    <t>собственные средства (амортизация)</t>
  </si>
  <si>
    <t>всего</t>
  </si>
  <si>
    <t>1.2.</t>
  </si>
  <si>
    <t>1.2.1.</t>
  </si>
  <si>
    <t>2.2.</t>
  </si>
  <si>
    <t>1.1.</t>
  </si>
  <si>
    <t>1.1.1.</t>
  </si>
  <si>
    <t>2.1.</t>
  </si>
  <si>
    <t>Реконструкция ВНС "Аллея Смелых" и строительство двух резервуаров чистой воды по 6000 м3.</t>
  </si>
  <si>
    <t>1.3.</t>
  </si>
  <si>
    <t>2.2.1.</t>
  </si>
  <si>
    <t>2.3.</t>
  </si>
  <si>
    <t>реконструкция</t>
  </si>
  <si>
    <t>1.1.2.</t>
  </si>
  <si>
    <t>2.1.1.</t>
  </si>
  <si>
    <t>Реконструкция КНС-5 по ул.Косогорной, 5  в           г. Калининграде</t>
  </si>
  <si>
    <t>Строительство нового водозабора для Восточной водопроводной станции (ВВС)</t>
  </si>
  <si>
    <t>1.1.3.</t>
  </si>
  <si>
    <t xml:space="preserve">Строительство второй очереди очистных сооружений г. Калининград.                                                                                                                                                                            </t>
  </si>
  <si>
    <t>Проектирование</t>
  </si>
  <si>
    <t>Увеличение мощности и производительности существующих объектов за исключением сетей за счет платы за подключение</t>
  </si>
  <si>
    <t>Модернизация или реконструкция существующих объектов за исключением сетей</t>
  </si>
  <si>
    <t>2.1.2.</t>
  </si>
  <si>
    <t>2х240/100</t>
  </si>
  <si>
    <t>до  90 000</t>
  </si>
  <si>
    <t>Мероприятия по защите централизованных систем водоснабжения и (или) водоотведения и их отдельных объектов от угроз техногенного, природного характера и террористических актов, по предотвращению возникновения аварийных ситуаций, снижению риска и смягчению последствий чрезвычайных ситуаций.</t>
  </si>
  <si>
    <t>1.3.1.</t>
  </si>
  <si>
    <t>1.4.</t>
  </si>
  <si>
    <t>1.4.1.</t>
  </si>
  <si>
    <t>Строительство новых сетей водоснабжения  в целях подключения объектов капитального строительства</t>
  </si>
  <si>
    <t>2.3.1.</t>
  </si>
  <si>
    <t xml:space="preserve">Финансовая потребность общая,                 тыс. руб. </t>
  </si>
  <si>
    <t>источник финансирования    программа 2016- 2018г                 тыс.руб.</t>
  </si>
  <si>
    <t>Реконструкция участка водопроводной сети по ул.Дзержинского в г. Калининграде</t>
  </si>
  <si>
    <t>Реконструкция участка водопроводной сети по ул.Зои Космодемьянской в г. Калининграде</t>
  </si>
  <si>
    <t>Реконструкция Южной водопроводной станции №2 г.Калининград (реконструкция системы обеззараживания воды)</t>
  </si>
  <si>
    <t>1.5.</t>
  </si>
  <si>
    <t>1.5.1.</t>
  </si>
  <si>
    <t>1.5.2.</t>
  </si>
  <si>
    <t>1.5.3.</t>
  </si>
  <si>
    <t>1.6.</t>
  </si>
  <si>
    <t>1.6.1.</t>
  </si>
  <si>
    <t xml:space="preserve"> Модернизация или реконструкция существующих сетей </t>
  </si>
  <si>
    <t>2.1.3.</t>
  </si>
  <si>
    <r>
      <t>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/ч</t>
    </r>
  </si>
  <si>
    <r>
      <t>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/
сутки</t>
    </r>
  </si>
  <si>
    <t>Строительство разгрузочного коллектора бытовой канализации по ул. Тихорецкой в Московском районе г.Калининграда</t>
  </si>
  <si>
    <t>Объем финансирования  за 1 квартал</t>
  </si>
  <si>
    <t>Объем финансирования  за 2 квартал</t>
  </si>
  <si>
    <t>Объем финансирования  за 3 квартал</t>
  </si>
  <si>
    <t>Объем финансирования  за 4 квартал</t>
  </si>
  <si>
    <t>Освоено (закрыто актами выполненных работ), тыс. руб.</t>
  </si>
  <si>
    <t>Введено (оформлено актами ввода в эксплуатацию), тыс. руб</t>
  </si>
  <si>
    <t>Осталось профинансировать по результатам отчетного периода*</t>
  </si>
  <si>
    <t>Отклонение***</t>
  </si>
  <si>
    <t>Причины отклонений</t>
  </si>
  <si>
    <t>тыс. рублей</t>
  </si>
  <si>
    <t>%</t>
  </si>
  <si>
    <t>в том числе за счет</t>
  </si>
  <si>
    <t>план**</t>
  </si>
  <si>
    <t>факт**</t>
  </si>
  <si>
    <t>план</t>
  </si>
  <si>
    <t>факт</t>
  </si>
  <si>
    <t xml:space="preserve">план </t>
  </si>
  <si>
    <t>уточнения стоимости по результатам утвержденной ПСД</t>
  </si>
  <si>
    <t>уточнения стоимости по результатам закупочных процедур</t>
  </si>
  <si>
    <t>2019г.</t>
  </si>
  <si>
    <t>Строительство подземного (скважинного) водозабора и станции водоочистки в мкр. Прегольский г. Калининград.</t>
  </si>
  <si>
    <t>Устройство ограждения из ж/б плит санитарной зоны водохранилища Нескучное.</t>
  </si>
  <si>
    <t>Реконструкция системы обезвоживания осадка очистных сооружений г. Калининграда.</t>
  </si>
  <si>
    <t>без учета НДС</t>
  </si>
  <si>
    <t>______________В.В. Дегтярёв</t>
  </si>
  <si>
    <t>М.П.</t>
  </si>
  <si>
    <t>МП "Городмкой центр геодеии"</t>
  </si>
  <si>
    <t>Заместитель директора по капитальному строительству</t>
  </si>
  <si>
    <t>А.О. Орехов</t>
  </si>
  <si>
    <t>Заместитель директора по ЭФиК</t>
  </si>
  <si>
    <t>С.В. Левченко</t>
  </si>
  <si>
    <t>Начальник ОРПР</t>
  </si>
  <si>
    <t>Е.В. Мичурова</t>
  </si>
  <si>
    <t>Заместитель главного бухгалтера</t>
  </si>
  <si>
    <t>И.А. Гладышева</t>
  </si>
  <si>
    <t>Ввод мощностей</t>
  </si>
  <si>
    <t>Вывод мощностей</t>
  </si>
  <si>
    <t>план*</t>
  </si>
  <si>
    <t>км</t>
  </si>
  <si>
    <t>м3 сут.</t>
  </si>
  <si>
    <t>1.2.2.</t>
  </si>
  <si>
    <t>1.2.3.</t>
  </si>
  <si>
    <t>Заместитель директора по экономике, финансам и контролю</t>
  </si>
  <si>
    <t>№№</t>
  </si>
  <si>
    <t>II кв.</t>
  </si>
  <si>
    <t>III кв.</t>
  </si>
  <si>
    <t>IV кв.</t>
  </si>
  <si>
    <t>1.</t>
  </si>
  <si>
    <t>Собственные средства</t>
  </si>
  <si>
    <t>Прибыль, направляемая на инвестиции:</t>
  </si>
  <si>
    <t xml:space="preserve">   </t>
  </si>
  <si>
    <t>в т.ч. инвестиционная составляющая в тарифе</t>
  </si>
  <si>
    <t>в т.ч. прибыль со свободного сектора</t>
  </si>
  <si>
    <t>в т.ч. от технологического присоединения (для электросетевых компаний)</t>
  </si>
  <si>
    <t>1.1.3.1.</t>
  </si>
  <si>
    <t>в т.ч. от технологического присоединения генерации</t>
  </si>
  <si>
    <t>1.1.3.2.</t>
  </si>
  <si>
    <t>в т.ч. от технологического присоединения потребителей</t>
  </si>
  <si>
    <t>1.1.4.</t>
  </si>
  <si>
    <t>Прочая прибыль</t>
  </si>
  <si>
    <t>Амортизация</t>
  </si>
  <si>
    <t>Амортизация, учтенная в тарифе</t>
  </si>
  <si>
    <t>Прочая амортизация</t>
  </si>
  <si>
    <t>Недоиспользованная амортизация прошлых лет</t>
  </si>
  <si>
    <t>Возврат НДС</t>
  </si>
  <si>
    <t>Прочие собственные средства</t>
  </si>
  <si>
    <t>в т.ч. средства допэмиссии</t>
  </si>
  <si>
    <t>Остаток собственных средств на начало года</t>
  </si>
  <si>
    <t>Привлеченные средства, в т.ч.:</t>
  </si>
  <si>
    <t>Кредиты</t>
  </si>
  <si>
    <t>Облигационные займы</t>
  </si>
  <si>
    <t>Займы организаций</t>
  </si>
  <si>
    <t>2.4.</t>
  </si>
  <si>
    <t>Бюджетное финансирование</t>
  </si>
  <si>
    <t>2.5.</t>
  </si>
  <si>
    <t>Средства внешних инвесторов</t>
  </si>
  <si>
    <t>2.6.</t>
  </si>
  <si>
    <t>Использование лизинга</t>
  </si>
  <si>
    <t>2.7.</t>
  </si>
  <si>
    <t>Прочие привлеченные средства</t>
  </si>
  <si>
    <t>ВСЕГО источников финансирования</t>
  </si>
  <si>
    <t>* План в соответствии с утвержденной инвестиционной программой</t>
  </si>
  <si>
    <t>** Накопленным итогом за год</t>
  </si>
  <si>
    <t>Начальник  ФЭО</t>
  </si>
  <si>
    <t>Заместитель директора по инвестиционной политике</t>
  </si>
  <si>
    <t>и технологическому присоединению</t>
  </si>
  <si>
    <t>В.Н. Говоровская</t>
  </si>
  <si>
    <t>ИП Тимофеев К.А. - кадастровые работы</t>
  </si>
  <si>
    <t>ИП Алешков К.В. - разработка ПОДД</t>
  </si>
  <si>
    <t>всего в 2019 г.</t>
  </si>
  <si>
    <t>Выполнение работ по контракту до 30.09.2019г.</t>
  </si>
  <si>
    <t xml:space="preserve">Е.Е. Мичурова </t>
  </si>
  <si>
    <t xml:space="preserve">                         </t>
  </si>
  <si>
    <t xml:space="preserve">Ж.В. Шумская </t>
  </si>
  <si>
    <t>КГХ - компенсационное озеленение</t>
  </si>
  <si>
    <t>"____"___________2020г.</t>
  </si>
  <si>
    <t>удален из ИП</t>
  </si>
  <si>
    <t>1.5.5</t>
  </si>
  <si>
    <t>1.5.6</t>
  </si>
  <si>
    <r>
      <t xml:space="preserve">Реконструкция нежилого здания - склада извести  под склад хранения гипохлорита натрия на Центральной водопроводной станции в г. Калининграде.                                                </t>
    </r>
    <r>
      <rPr>
        <sz val="10"/>
        <rFont val="Times New Roman"/>
        <family val="1"/>
        <charset val="204"/>
      </rPr>
      <t>Проектирование.</t>
    </r>
  </si>
  <si>
    <t>1.5.7</t>
  </si>
  <si>
    <t>Реконструкция здания жилого дома путем перепланировки помещения подвала № 1, расположенного по адресу: ул. Тихорецкая, д.45, г. Калининград.</t>
  </si>
  <si>
    <t>Калининградтеплосеть, оплата</t>
  </si>
  <si>
    <t>1.5.8</t>
  </si>
  <si>
    <t>Реконструкция административно-бытового корпуса под здание производственной лаборатории по Балтийскому шоссее. 127 в г. Калининграде.</t>
  </si>
  <si>
    <t>2.1.4.</t>
  </si>
  <si>
    <t>Реконструкция коллектора от КНС-8 по ул. Тихорецкой в г. Калининграде до проектируемой камеры действующего коллектора по ул. Железнодорожной.</t>
  </si>
  <si>
    <t>2.1.5.</t>
  </si>
  <si>
    <t>Реконструкция  очистных сооружений мкр. Прибрежный.</t>
  </si>
  <si>
    <t>2.1.6.</t>
  </si>
  <si>
    <t>Строительство КНС в пос. Родники с коллекторами, в целях подключения областного онкологического центра Калининградской области.</t>
  </si>
  <si>
    <t>Строительство коллектора в мкр. им.А.Космодемьянского  г.Калининграда</t>
  </si>
  <si>
    <t>2.2.2.</t>
  </si>
  <si>
    <t>Строительство магистрального коллектора северо-западной части г. Калининграда по ул. Б. Окружная 1-я от промколлектора до пер. Малый проезд (СНТ "Радуга").</t>
  </si>
  <si>
    <t>2.2.3.</t>
  </si>
  <si>
    <t>Строительство магистрального коллектора северо-западной части г. Калининграда по ул. Б. Окружная 1-я - ул. Б. Окружная 2-я от пер. Малый проезд (СНТ "Радуга") до ул. Ломоносова".</t>
  </si>
  <si>
    <t>2.2.4.</t>
  </si>
  <si>
    <t>2.2.5.</t>
  </si>
  <si>
    <t>Строительство канализационного коллектора для последующего  подключения индивидуальных жилых домов по ул. Монетной, ул. Живописной, ул. Гончарной, ул. Рассветной в микрорайоне ул. Горького - И.Сусанина в г. Калининграде.</t>
  </si>
  <si>
    <t>бюджетные средства                                                 (ГБ)</t>
  </si>
  <si>
    <t>Строительство сетей бытовой канализации по ул. Толбухина - ул. Тульской в г. Калининграде.</t>
  </si>
  <si>
    <t>Строительство канализационной сети по ул. Алданской, Лужской в мкр. им. А. Космодемьянского г. Калининграда.</t>
  </si>
  <si>
    <t>2.4.1.</t>
  </si>
  <si>
    <t>2.4.2.</t>
  </si>
  <si>
    <t>2.4.3.</t>
  </si>
  <si>
    <t>Реконструкция Цеха механического обезвоживания на площадке очистных сооружений г. Калининграда.</t>
  </si>
  <si>
    <t>2.4.4.</t>
  </si>
  <si>
    <t>2.4.5.</t>
  </si>
  <si>
    <t>2.4.6.</t>
  </si>
  <si>
    <t>Строительство канализационной насосной станции с напорными коллекторами в мкр.Прегольский г.Калининграда</t>
  </si>
  <si>
    <t>2.4.7.</t>
  </si>
  <si>
    <t>2.4.8.</t>
  </si>
  <si>
    <t>2.4.9.</t>
  </si>
  <si>
    <t>2.4.10.</t>
  </si>
  <si>
    <t>Реконструкция КНС-2 в г. Калининграде</t>
  </si>
  <si>
    <t>Реконструкция КНС-1 в г. Калининграде</t>
  </si>
  <si>
    <t>объект из АИП удален</t>
  </si>
  <si>
    <t>удален  из ИП</t>
  </si>
  <si>
    <t xml:space="preserve">Совершенствование существующей системы технологического процесса гидролиза Московской насосной станции №2 (2 и 3 этапы) </t>
  </si>
  <si>
    <t>Модернизация</t>
  </si>
  <si>
    <t xml:space="preserve">Реконструкция функционирующих помещений и технических устройств, по обеззараживанию воды гипохоритом натрия на Южной водопроводной станции № 2 в г. Калининграде.                                                                                        </t>
  </si>
  <si>
    <t xml:space="preserve">    Проектирование..</t>
  </si>
  <si>
    <t xml:space="preserve">Реконструкция нежилого здания - склада хлора  под склад хранения гипохлорита натрия на Южной  водопроводной станции № 2 в 
г. Калининграде.                                                                </t>
  </si>
  <si>
    <t>Реконструкция КНС-15 по ул.Суворова, 59  в           г. Калининграде.</t>
  </si>
  <si>
    <t>Строительство новых сетей водоотведения в целях подключения объектов капитального строительства.</t>
  </si>
  <si>
    <t>АИП</t>
  </si>
  <si>
    <t>Строительство новых сетей, не связанных с подключением.</t>
  </si>
  <si>
    <t>Модернизация или реконструкция существующих объектов за исключением сетей.</t>
  </si>
  <si>
    <t xml:space="preserve">Модернизация канализационной насосной станции КНС № 9 по адресу: г. Калининград, Калининградская обл., ул.Нарвская,54. </t>
  </si>
  <si>
    <t>Модернизация.</t>
  </si>
  <si>
    <t>Калининградтеплосеть оплата</t>
  </si>
  <si>
    <t>Реконструкция</t>
  </si>
  <si>
    <t>Увеличение мощности и производительности существующих объектов за исключением сетей за счет платы за подключение.</t>
  </si>
  <si>
    <t>ООО НЦ "Балтэкспертиза" -независимая экспертиза на ВВС</t>
  </si>
  <si>
    <t>ООО "Прогресс Проект" - авторский надзор</t>
  </si>
  <si>
    <t>ООО "СК "Аякс" - строительный конироль</t>
  </si>
  <si>
    <t xml:space="preserve">ИП Нестерук А. Н. </t>
  </si>
  <si>
    <t>областной бюджет</t>
  </si>
  <si>
    <t>городской бюджет</t>
  </si>
  <si>
    <t>ООО "ЯнтарьСервисБалтик" - (НДС-водоканал, СМР)</t>
  </si>
  <si>
    <t>за                     4 кв.</t>
  </si>
  <si>
    <t>Администрация муниципального образования "Гвардейский городской округ".</t>
  </si>
  <si>
    <t>ЭКОФЕС - разработка ПД</t>
  </si>
  <si>
    <t>Городской центр геодезии - изыск.</t>
  </si>
  <si>
    <t>Центр комплексного проектирования - ПД</t>
  </si>
  <si>
    <t>Центр  инженерных изысканий - изыскания</t>
  </si>
  <si>
    <t>ООО "СК "Маяк" - разаработка ПД</t>
  </si>
  <si>
    <t>Российский центр защиты леса - обследование ул. Тихорецкой</t>
  </si>
  <si>
    <t>ООО "ЗападГазЭнергоИнвест" - СМР</t>
  </si>
  <si>
    <t>ИП Гасанова С.В. - корректировка ПД</t>
  </si>
  <si>
    <t>ООО "Европроект иК" - разработка ПД</t>
  </si>
  <si>
    <t>Городской центр  геодезии - изыскания</t>
  </si>
  <si>
    <t>ГАУ КО "ЦПЭи ЦС" - экспертиза ПД</t>
  </si>
  <si>
    <t>ООО "ЗападГазЭнергоИнвест" - разраб. ПД</t>
  </si>
  <si>
    <t>ООО "ГНБ Плюс"  - разработка ПД</t>
  </si>
  <si>
    <t>ООО "Гороне дело" - разаработка РД</t>
  </si>
  <si>
    <t>ООО "Гороне дело" - разаработка ПД</t>
  </si>
  <si>
    <t>ООО "Калининградсвязь" - разаработка ПД</t>
  </si>
  <si>
    <t>АДС ООО - разработка ПОДД (по счету  без договора)</t>
  </si>
  <si>
    <t>Директор ГП КО "Водоканал"</t>
  </si>
  <si>
    <t>ПД разработана, готовятся документы в экспертизу</t>
  </si>
  <si>
    <t>в стадии выполнения изысканий</t>
  </si>
  <si>
    <t>в стадии разработки ПД</t>
  </si>
  <si>
    <t>в стадии подготовки документов для конкурсных процедур на выбор проектировщика</t>
  </si>
  <si>
    <t>В стадии сдачи ПД на государственную экспертизу.</t>
  </si>
  <si>
    <t>ПД разработана, готовится  документы на государственную экспертизу.</t>
  </si>
  <si>
    <t>СИБ</t>
  </si>
  <si>
    <t>за 1 кв.</t>
  </si>
  <si>
    <t>за 2 кв.</t>
  </si>
  <si>
    <t>за                     1 кв.</t>
  </si>
  <si>
    <t>всего в 2020 г.</t>
  </si>
  <si>
    <t>ООО "ЦИИ" - изыскания</t>
  </si>
  <si>
    <t>ООО "КПСП"- разработка ПД</t>
  </si>
  <si>
    <t>ГАУ КО "ЦПЭиЦС" - экспертиза СМ</t>
  </si>
  <si>
    <t>ООО "СК "ЧистоГрад" - вып. работ</t>
  </si>
  <si>
    <t>2020 год              без НДС</t>
  </si>
  <si>
    <t>ООО "ЛАЙТЭКО" - вырубка деревьев</t>
  </si>
  <si>
    <t>проектирование завершено</t>
  </si>
  <si>
    <t>всего в 2020г.</t>
  </si>
  <si>
    <t>1. Водоснабжение</t>
  </si>
  <si>
    <t>ИП Гасанова С.В. - авторский надзор</t>
  </si>
  <si>
    <t>за                    2кв.</t>
  </si>
  <si>
    <t>АО "Янтарьэнерго" - технолог. Присоединение</t>
  </si>
  <si>
    <t>ООО "Прогресс Проект" разработка ПД</t>
  </si>
  <si>
    <t>Центр кадастровых услуг</t>
  </si>
  <si>
    <t>КГХ -адм. - снос деревьев компенсация</t>
  </si>
  <si>
    <t>ЗАПАДЭКОПРОЕКТ ООО разработка ПД сан-защиты зоны</t>
  </si>
  <si>
    <t>МП "Городской центр геодеии"</t>
  </si>
  <si>
    <t>ГАУ КО "ЦПЭиЦС" - экспертиза ПД</t>
  </si>
  <si>
    <t>ООО "СК "Маяк" - разработка ПД</t>
  </si>
  <si>
    <t>ЭКОФЕС - инженеринг - СМР</t>
  </si>
  <si>
    <t>за 3 кв.</t>
  </si>
  <si>
    <t>за 4 кв.</t>
  </si>
  <si>
    <t>ООО Прогесс Проект - разработка ПД</t>
  </si>
  <si>
    <t>инженерные изыскания  выполнены</t>
  </si>
  <si>
    <t>работы выполнены</t>
  </si>
  <si>
    <t>обследовавние выполнено</t>
  </si>
  <si>
    <t>Финансовая потребность, общая тыс. руб. без НДС</t>
  </si>
  <si>
    <t xml:space="preserve"> Строительство водопровода Д 160мм по ул.Сержанта Мишина в г.Калининграде.</t>
  </si>
  <si>
    <t>Строительство водопровода по ул. Тихоокеанской  -  ул.Механической  от ул. Благодатной до ул. Славянской в  г. Калининграда.</t>
  </si>
  <si>
    <t>1.5.3</t>
  </si>
  <si>
    <t>1.5.4</t>
  </si>
  <si>
    <t>Строительство нового здания электролизной, для размещения склада соли, электролизных установок и установок по дозированию гипохлорита натрия на Центральной водопроводной станции в г. Калининграде.                                                      проектирование</t>
  </si>
  <si>
    <t>1.5.9</t>
  </si>
  <si>
    <t>1.5.10</t>
  </si>
  <si>
    <t>1.5.11</t>
  </si>
  <si>
    <t>Строительство склада на территории Восточной водопроводной станции.</t>
  </si>
  <si>
    <t>Проектирование.</t>
  </si>
  <si>
    <t>Строительство здания-лаборатории по поверке средств измерений.</t>
  </si>
  <si>
    <t>Строительство</t>
  </si>
  <si>
    <t xml:space="preserve">Модернизации ячеек ЗРУ 6 кВ, расположенных в насосной станции второго подъема ЮВС-2 в п. М. Борисово, д. 10а     </t>
  </si>
  <si>
    <t xml:space="preserve">Строительство КНС с напорными коллекторами  от пр-та Победы с подключением в существующую шахту № 5 (ор-р - ул. Дубовая аллея) в г.Калининграде                                 </t>
  </si>
  <si>
    <t>"____"___________2021г.</t>
  </si>
  <si>
    <t>ТрансЭнергоСнаб ООО - электромонтажные работы</t>
  </si>
  <si>
    <t>Центр кадастровых услуг ООО</t>
  </si>
  <si>
    <t>ООО "Стандарт Оценка" - оценка рыночной ст-ти</t>
  </si>
  <si>
    <t>Сыромахо Д.В. ИП - описание границ публичного сервитута</t>
  </si>
  <si>
    <t xml:space="preserve">Центр геодезии </t>
  </si>
  <si>
    <t>"____"____________2021  г.</t>
  </si>
  <si>
    <t>работы завершены</t>
  </si>
  <si>
    <t xml:space="preserve">Объем финансирования  в 2020 г.                                              </t>
  </si>
  <si>
    <t>И.о. директора ГП КО "Водоканал"</t>
  </si>
  <si>
    <t>____________В.В. Семичев</t>
  </si>
  <si>
    <t>Левченко С.В.</t>
  </si>
  <si>
    <t>Орехов А.О.</t>
  </si>
  <si>
    <t>Заместитель дирекора по инвестиционной политике</t>
  </si>
  <si>
    <t xml:space="preserve"> и технологическому присоединению</t>
  </si>
  <si>
    <t>Говоровская В.Н.</t>
  </si>
  <si>
    <t>Заместитель главного</t>
  </si>
  <si>
    <t>бухгалтера</t>
  </si>
  <si>
    <t>Отчет об исполнении  Инвестиционной программы по объектам ГП КО "Водоканал"  на  2019-2023 г. г. без  НДС                                
за  2020 года.</t>
  </si>
  <si>
    <t>Пояснения</t>
  </si>
  <si>
    <t>Работы завершены с экономией  средств.</t>
  </si>
  <si>
    <t>Работы завершены. КС-11 от 28.08.2020г.  Договор с ООО "ЭКОФЕС-инжиниринг" был заключен 19.01.20г.  №  02.01.20 .</t>
  </si>
  <si>
    <t>Обследование склада извести выполнено в 2019 году и оплачены работы в 2019 году.</t>
  </si>
  <si>
    <t>приступить к реконструкции  в 2020 году не представлялось возможным, так как возникла необходимость в переоформлении аренды помещений.</t>
  </si>
  <si>
    <t>положительное заключение экспертизы сметной документации на данный объект получено в конце 2020 года, поэтому к реконструкции приступить возможно в 2021 году.</t>
  </si>
  <si>
    <t>Работы выполнены в полном объеме - КС -11   б/н от 30.12.2020г., поэтому оплата по договору осущесвится в 2021 году.</t>
  </si>
  <si>
    <t xml:space="preserve">Проектная документация  разработана. </t>
  </si>
  <si>
    <t>Начало работ - сентябрь 2019 года.  Работы выполнены в полном объеме - разрешение на ввод в эксплуатацию от 31.07.2020 года.  Объем финансирования выполненных работ произведен с учетом выполнения работ  в 2019 году.</t>
  </si>
  <si>
    <t>Работы на объекте завершены.  Объект введен в эксплуатацию.  ГП КО "Водоканал" не является заказчиком по строительству на данном объекте.</t>
  </si>
  <si>
    <t>Договор с ООО "ЧистоГрад" заключен  30.07.19г. Со сроком окончания работ 15.06.2020г., поэтому финансирование работ осуществлялось в 2019-2020г.г.</t>
  </si>
  <si>
    <t>В 2020 году ГП КО "Водоканал" не являлся заказчиком по реконструкции объекта - финансирование через предприятие не осуществлялось.</t>
  </si>
  <si>
    <t>А.С. Мурадянц</t>
  </si>
  <si>
    <t>____________А.С. Мурадянц</t>
  </si>
  <si>
    <t>Объем финансирования  - 2021 год</t>
  </si>
  <si>
    <t>1. Водоотведение.</t>
  </si>
  <si>
    <t>ООО "Калининградпромстройпроект - разработка ПД</t>
  </si>
  <si>
    <t>ГАУ КО "ЦПЭ иЦС" - экспертиза ПИР</t>
  </si>
  <si>
    <t>ГАУ КО "ЦПЭиЦС" - экспертиза ПИР</t>
  </si>
  <si>
    <t>ГАУ КО "ЦПЭиЦС" - экспертиза СД</t>
  </si>
  <si>
    <t>ООО "СК "Чистоград" - СМР</t>
  </si>
  <si>
    <t>всего в 2021г.</t>
  </si>
  <si>
    <t>всего в 2021 г.</t>
  </si>
  <si>
    <t>ООО "Калининградпромстройпроект" - авторский надзор</t>
  </si>
  <si>
    <t>ЭИЗ - подсчет запаса воды</t>
  </si>
  <si>
    <t>ГАУ КО ЦПЭиЦС - экспертиза ПД</t>
  </si>
  <si>
    <t>И .А. Гладышева</t>
  </si>
  <si>
    <t>I квартал</t>
  </si>
  <si>
    <t>Отчет об источниках финансирования инвестиционных программ    (2019-2023г.г.)                                                                                                                                                                                              тыс. руб.  с  НДС</t>
  </si>
  <si>
    <t>Отчет об источниках финансирования инвестиционных программ    (2019-2023г.г.)                                                                                                                                                                                              тыс. руб.  с НДС</t>
  </si>
  <si>
    <t>Всего</t>
  </si>
  <si>
    <t xml:space="preserve">Объем финансирования  в 2021 г.                                    с НДС                     </t>
  </si>
  <si>
    <t>Городской центр геодезии</t>
  </si>
  <si>
    <t>ГАУ КО "ЦПЭиЦС - эксп. ПД</t>
  </si>
  <si>
    <t>ГАУ КО "ЦПЭиЦС" - эксп.</t>
  </si>
  <si>
    <t>ГАУ КО "ЦПЭиЦС"</t>
  </si>
  <si>
    <t>ЗападГазЭнергоИнвест - СМР</t>
  </si>
  <si>
    <t>Норматив  - ПД</t>
  </si>
  <si>
    <t>Янтарьэнерго - тех. Прис.</t>
  </si>
  <si>
    <t>ВДПО - обследование дымоходов</t>
  </si>
  <si>
    <t>АО "Янтарьэнерго"-подключ.</t>
  </si>
  <si>
    <t>Ж.В. Шумская</t>
  </si>
  <si>
    <t>ООО "Шуяпроект" - разраб. ПД</t>
  </si>
  <si>
    <t>ИП Гасанова С.В. - разраб. ПД</t>
  </si>
  <si>
    <t>Руководитель ГТП</t>
  </si>
  <si>
    <t>А.И. Дьяченко</t>
  </si>
  <si>
    <t>Строительство разгрузочного коллектора бытовой канализации по ул. Тихорецкой в Московском районе г.Калининграда.</t>
  </si>
  <si>
    <t>Строительство коллектора в мкр. им.А.Космодемьянского  г.Калининграда.</t>
  </si>
  <si>
    <t xml:space="preserve">Строительство КНС с напорными коллекторами  от пр-та Победы с подключением в существующую шахту № 5 (ор-р - ул. Дубовая аллея) в г.Калининграде.                                </t>
  </si>
  <si>
    <t>Реконструкция КНС-5 по ул.Косогорной, 5  в           г. Калининграде.</t>
  </si>
  <si>
    <t>Строительство канализационной насосной станции с напорными коллекторами в мкр.Прегольский г.Калининграда.</t>
  </si>
  <si>
    <t>Реконструкция КНС-2 в г. Калининграде.</t>
  </si>
  <si>
    <t>Реконструкция КНС-1 в г. Калининграде.</t>
  </si>
  <si>
    <t>Совершенствование существующей системы технологического процесса гидролиза Московской насосной станции №2 (2 и 3 этапы).</t>
  </si>
  <si>
    <t>Реконструкция участка водопроводной сети по ул.Зои Космодемьянской в г. Калининграде.</t>
  </si>
  <si>
    <t>Расширение Восточной водопроводной станции г. Калининграда.</t>
  </si>
  <si>
    <t>Отчет о вводах/выводах объектов  Инвестиционной программы по объектам ГП КО "Водоканал"                                       на  2019-2023 г. г. с  НДС                                
за  9 месяцев  2021 года.</t>
  </si>
  <si>
    <t>ООО "ИРИС" - разработка ПОДД</t>
  </si>
  <si>
    <t>КГХ  - компенсационное озеленение</t>
  </si>
  <si>
    <t>ЦПЭиЦС - экспертиза ПИР</t>
  </si>
  <si>
    <t>собственный средства</t>
  </si>
  <si>
    <t>Сыромахо Д.В.</t>
  </si>
  <si>
    <t xml:space="preserve"> Строительство водопровода Д 160мм по ул. Сержанта Мишина в г.Калининграде.</t>
  </si>
  <si>
    <t>Строительсов скважинного водозабора и сетей водоснабжения мкр. Совхозный в г. Калининграде.</t>
  </si>
  <si>
    <t>Финансовая потребность, 2019-223г.г. тыс. руб. без НДС</t>
  </si>
  <si>
    <t>1.3.2.</t>
  </si>
  <si>
    <t>Реконструкция сетей водоснабжения и водоотведения в районе ул. Шевченко и Московский проспект в г. Калининграде</t>
  </si>
  <si>
    <t>1.4.2.</t>
  </si>
  <si>
    <t>Строительство участка водопроводной сети Д 160-200мм в районе д.№8 по ул. Земнухова в г.Калининграде</t>
  </si>
  <si>
    <t>1.4.3.</t>
  </si>
  <si>
    <t>Строительство водопроводной сети по ул. Клинской от ул. Муромской до ул. Ангарской в г. Калининграде</t>
  </si>
  <si>
    <t>1.5.12</t>
  </si>
  <si>
    <t>Реконструкция нежилого здания водоподъёмной установки по ул. Нарвской, д.19а в г. Калининграде</t>
  </si>
  <si>
    <t>1.5.13</t>
  </si>
  <si>
    <t>Реконструкция нежилого здания водоподъёмной установки по ул. Генерала Толстикова, д.77а в г. Калининграде</t>
  </si>
  <si>
    <t>1.7.</t>
  </si>
  <si>
    <t>Вывод из эксплуатации, консервация и демонтаж объектов за исключением сетей</t>
  </si>
  <si>
    <t>1.7.1.</t>
  </si>
  <si>
    <t>Демонтаж нежилого здания насосной подкачки по ул. Коммунистическая 56а-56г в г.Калининграде</t>
  </si>
  <si>
    <t>1.7.2.</t>
  </si>
  <si>
    <t>Демонтаж нежилого здания водоподъемной установки по ул. Коммунистическая, 46е в г.Калининграде</t>
  </si>
  <si>
    <t>Реконструкция очистных сооружений г. Калининград, с увеличением производительности до 250тыс. М3/сут.</t>
  </si>
  <si>
    <t>2.1.7.</t>
  </si>
  <si>
    <t xml:space="preserve">Реконструкция КНС-2 по ул. Строительная, д. 9б в мкр. Прибрежный г. Калининграда </t>
  </si>
  <si>
    <t>2.1.8.</t>
  </si>
  <si>
    <t>Реконструкция КНС по ул. Лесопильной в г. Калининграде</t>
  </si>
  <si>
    <t>2.1.9.</t>
  </si>
  <si>
    <t>Реконструкция КНС-3 по ул. Парковая, 1 в мкр. Прибрежный г. Калининграде</t>
  </si>
  <si>
    <t>2.2.6.</t>
  </si>
  <si>
    <t>Строительство коллектора в мкр. им.А.Космодемьянского  по ул. Урицкого г.Калининграде.</t>
  </si>
  <si>
    <t>бюджетные средства                                                 (амортизация)</t>
  </si>
  <si>
    <t>Модернизация и реконструкция существующих сетей</t>
  </si>
  <si>
    <t>Реконструкция сетей водоснабжения и водоотведения в районе ул. Шевченко и Московский проспект в г.Калининграде</t>
  </si>
  <si>
    <t xml:space="preserve">бюджетные средства      </t>
  </si>
  <si>
    <t>Строительство канализационной сети по ул. Левитана в г.Калининграде</t>
  </si>
  <si>
    <t>2.5.1.</t>
  </si>
  <si>
    <t>2.5.2.</t>
  </si>
  <si>
    <t>2.5.6.</t>
  </si>
  <si>
    <t>2.5.7.</t>
  </si>
  <si>
    <t>2.5.8.</t>
  </si>
  <si>
    <t>2.5.9.</t>
  </si>
  <si>
    <t>2.5.10.</t>
  </si>
  <si>
    <t>2.5.5.</t>
  </si>
  <si>
    <t>2.5.3.</t>
  </si>
  <si>
    <t>2.5.4.</t>
  </si>
  <si>
    <t>2.7.1.</t>
  </si>
  <si>
    <t>Демонтаж КНС малая по ул. Беланова в мкр. Чкаловск г. Калининграда</t>
  </si>
  <si>
    <t>Модернизация или реконструкция существующих сетей</t>
  </si>
  <si>
    <t>2.6.1.</t>
  </si>
  <si>
    <t>Реконструкция внутриквартальной канализационной сети ул.Октябрьская-Солнечный бульвар в г.Калининграде</t>
  </si>
  <si>
    <t>2.6.2.</t>
  </si>
  <si>
    <t>Реконструкция канализационного коллектора по ул.Баженова в г.Калининграде</t>
  </si>
  <si>
    <t>Отчет об исполнении  Инвестиционной программы по объектам ГП КО "Водоканал"  на  2019-2023 г. г. с  НДС                                
за  2021 год.</t>
  </si>
  <si>
    <t>АМ Квадр - ПД</t>
  </si>
  <si>
    <t>ЦПЭ и ЦС-экспертиза</t>
  </si>
  <si>
    <t>ООО Прогресс Проект - разработка ПД</t>
  </si>
  <si>
    <t>Янтарьэнерго-техприсоединение</t>
  </si>
  <si>
    <t>Авангард-логистика-ПОДД</t>
  </si>
  <si>
    <t>ГП КО "Водоканал"</t>
  </si>
  <si>
    <t>"____"____________2022  г.</t>
  </si>
  <si>
    <t>_______________А.С. Мурадянц</t>
  </si>
  <si>
    <t xml:space="preserve"> за  2021 год.  </t>
  </si>
  <si>
    <t>"____"____________2022 г.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</si>
</sst>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0"/>
  </numFmts>
  <fonts count="6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scheme val="minor"/>
    </font>
    <font>
      <vertAlign val="superscript"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b/>
      <sz val="11"/>
      <color rgb="FF00B0F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FFCC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1"/>
      <color rgb="FF00B0F0"/>
      <name val="Calibri"/>
      <family val="2"/>
      <scheme val="minor"/>
    </font>
    <font>
      <b/>
      <sz val="11"/>
      <color theme="5"/>
      <name val="Times New Roman"/>
      <family val="1"/>
      <charset val="204"/>
    </font>
    <font>
      <b/>
      <i/>
      <sz val="11"/>
      <color theme="5"/>
      <name val="Times New Roman"/>
      <family val="1"/>
      <charset val="204"/>
    </font>
    <font>
      <b/>
      <sz val="11"/>
      <color theme="5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rgb="FFFF0000"/>
      <name val="Times New Roman"/>
      <family val="1"/>
      <charset val="204"/>
    </font>
    <font>
      <sz val="9"/>
      <name val="Calibri"/>
      <family val="2"/>
      <scheme val="minor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FF0000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1082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vertical="top"/>
    </xf>
    <xf numFmtId="4" fontId="1" fillId="0" borderId="3" xfId="0" applyNumberFormat="1" applyFont="1" applyFill="1" applyBorder="1" applyAlignment="1">
      <alignment vertical="top"/>
    </xf>
    <xf numFmtId="0" fontId="1" fillId="0" borderId="4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top" wrapText="1"/>
    </xf>
    <xf numFmtId="0" fontId="7" fillId="0" borderId="0" xfId="0" applyFont="1"/>
    <xf numFmtId="0" fontId="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vertical="top"/>
    </xf>
    <xf numFmtId="0" fontId="10" fillId="3" borderId="1" xfId="0" applyFont="1" applyFill="1" applyBorder="1" applyAlignment="1">
      <alignment vertical="top"/>
    </xf>
    <xf numFmtId="4" fontId="11" fillId="3" borderId="1" xfId="0" applyNumberFormat="1" applyFont="1" applyFill="1" applyBorder="1" applyAlignment="1">
      <alignment vertical="top"/>
    </xf>
    <xf numFmtId="0" fontId="10" fillId="0" borderId="1" xfId="0" applyFont="1" applyFill="1" applyBorder="1" applyAlignment="1">
      <alignment vertical="top"/>
    </xf>
    <xf numFmtId="4" fontId="11" fillId="0" borderId="1" xfId="0" applyNumberFormat="1" applyFont="1" applyFill="1" applyBorder="1" applyAlignment="1">
      <alignment vertical="top"/>
    </xf>
    <xf numFmtId="165" fontId="3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4" fontId="3" fillId="0" borderId="3" xfId="0" applyNumberFormat="1" applyFont="1" applyBorder="1" applyAlignment="1"/>
    <xf numFmtId="4" fontId="3" fillId="0" borderId="3" xfId="0" applyNumberFormat="1" applyFont="1" applyFill="1" applyBorder="1" applyAlignment="1"/>
    <xf numFmtId="0" fontId="7" fillId="0" borderId="0" xfId="0" applyFont="1" applyBorder="1"/>
    <xf numFmtId="4" fontId="3" fillId="0" borderId="1" xfId="0" applyNumberFormat="1" applyFont="1" applyBorder="1" applyAlignment="1"/>
    <xf numFmtId="4" fontId="3" fillId="0" borderId="1" xfId="0" applyNumberFormat="1" applyFont="1" applyFill="1" applyBorder="1" applyAlignment="1"/>
    <xf numFmtId="4" fontId="3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4" fontId="3" fillId="0" borderId="3" xfId="0" applyNumberFormat="1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vertical="top" wrapText="1"/>
    </xf>
    <xf numFmtId="4" fontId="3" fillId="0" borderId="3" xfId="0" applyNumberFormat="1" applyFont="1" applyBorder="1" applyAlignment="1">
      <alignment horizontal="right" vertical="top"/>
    </xf>
    <xf numFmtId="49" fontId="9" fillId="0" borderId="1" xfId="0" applyNumberFormat="1" applyFont="1" applyFill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right" vertical="top"/>
    </xf>
    <xf numFmtId="0" fontId="7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vertical="top"/>
    </xf>
    <xf numFmtId="0" fontId="7" fillId="0" borderId="1" xfId="0" applyFont="1" applyFill="1" applyBorder="1"/>
    <xf numFmtId="4" fontId="3" fillId="0" borderId="3" xfId="0" applyNumberFormat="1" applyFont="1" applyBorder="1" applyAlignment="1">
      <alignment horizontal="right"/>
    </xf>
    <xf numFmtId="2" fontId="1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vertical="top" wrapText="1"/>
    </xf>
    <xf numFmtId="0" fontId="7" fillId="0" borderId="1" xfId="0" applyFont="1" applyBorder="1"/>
    <xf numFmtId="4" fontId="3" fillId="0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1" fillId="0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5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left" vertical="top"/>
    </xf>
    <xf numFmtId="4" fontId="3" fillId="0" borderId="5" xfId="0" applyNumberFormat="1" applyFont="1" applyFill="1" applyBorder="1" applyAlignment="1">
      <alignment horizontal="right" vertical="top"/>
    </xf>
    <xf numFmtId="4" fontId="3" fillId="0" borderId="5" xfId="0" applyNumberFormat="1" applyFont="1" applyBorder="1" applyAlignment="1">
      <alignment horizontal="right" vertical="top"/>
    </xf>
    <xf numFmtId="0" fontId="10" fillId="3" borderId="12" xfId="0" applyFont="1" applyFill="1" applyBorder="1" applyAlignment="1">
      <alignment horizontal="left" vertical="top"/>
    </xf>
    <xf numFmtId="2" fontId="1" fillId="0" borderId="5" xfId="0" applyNumberFormat="1" applyFont="1" applyFill="1" applyBorder="1" applyAlignment="1">
      <alignment horizontal="right" wrapText="1"/>
    </xf>
    <xf numFmtId="0" fontId="13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4" fontId="3" fillId="0" borderId="5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vertical="top"/>
    </xf>
    <xf numFmtId="4" fontId="3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4" fontId="1" fillId="0" borderId="5" xfId="0" applyNumberFormat="1" applyFont="1" applyFill="1" applyBorder="1" applyAlignment="1">
      <alignment horizontal="right" vertical="top"/>
    </xf>
    <xf numFmtId="4" fontId="1" fillId="0" borderId="5" xfId="0" applyNumberFormat="1" applyFont="1" applyFill="1" applyBorder="1" applyAlignment="1">
      <alignment horizontal="center" vertical="top"/>
    </xf>
    <xf numFmtId="0" fontId="7" fillId="0" borderId="0" xfId="0" applyFont="1" applyAlignment="1">
      <alignment vertical="top"/>
    </xf>
    <xf numFmtId="0" fontId="3" fillId="5" borderId="1" xfId="0" applyFont="1" applyFill="1" applyBorder="1" applyAlignment="1">
      <alignment horizontal="left" vertical="top" wrapText="1"/>
    </xf>
    <xf numFmtId="4" fontId="3" fillId="5" borderId="3" xfId="0" applyNumberFormat="1" applyFont="1" applyFill="1" applyBorder="1" applyAlignment="1">
      <alignment vertical="top"/>
    </xf>
    <xf numFmtId="0" fontId="3" fillId="5" borderId="1" xfId="0" applyFont="1" applyFill="1" applyBorder="1" applyAlignment="1">
      <alignment vertical="top" wrapText="1"/>
    </xf>
    <xf numFmtId="4" fontId="3" fillId="5" borderId="1" xfId="0" applyNumberFormat="1" applyFont="1" applyFill="1" applyBorder="1" applyAlignment="1">
      <alignment horizontal="right" vertical="top"/>
    </xf>
    <xf numFmtId="4" fontId="3" fillId="5" borderId="1" xfId="0" applyNumberFormat="1" applyFont="1" applyFill="1" applyBorder="1" applyAlignment="1">
      <alignment vertical="top"/>
    </xf>
    <xf numFmtId="0" fontId="3" fillId="5" borderId="6" xfId="0" applyFont="1" applyFill="1" applyBorder="1" applyAlignment="1">
      <alignment vertical="top" wrapText="1"/>
    </xf>
    <xf numFmtId="2" fontId="3" fillId="5" borderId="1" xfId="0" applyNumberFormat="1" applyFont="1" applyFill="1" applyBorder="1" applyAlignment="1">
      <alignment horizontal="right" wrapText="1"/>
    </xf>
    <xf numFmtId="4" fontId="3" fillId="5" borderId="1" xfId="0" applyNumberFormat="1" applyFont="1" applyFill="1" applyBorder="1" applyAlignment="1">
      <alignment horizontal="right" vertical="top" wrapText="1"/>
    </xf>
    <xf numFmtId="4" fontId="1" fillId="0" borderId="5" xfId="0" applyNumberFormat="1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horizontal="justify" vertical="top" wrapText="1"/>
    </xf>
    <xf numFmtId="0" fontId="11" fillId="4" borderId="3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top" wrapText="1"/>
    </xf>
    <xf numFmtId="4" fontId="11" fillId="4" borderId="1" xfId="0" applyNumberFormat="1" applyFont="1" applyFill="1" applyBorder="1" applyAlignment="1">
      <alignment horizontal="right" vertical="top"/>
    </xf>
    <xf numFmtId="0" fontId="6" fillId="0" borderId="0" xfId="0" applyFont="1" applyBorder="1" applyAlignment="1">
      <alignment horizontal="center" vertical="top" wrapText="1"/>
    </xf>
    <xf numFmtId="0" fontId="7" fillId="0" borderId="2" xfId="0" applyFont="1" applyBorder="1"/>
    <xf numFmtId="0" fontId="15" fillId="0" borderId="4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/>
    </xf>
    <xf numFmtId="0" fontId="16" fillId="0" borderId="3" xfId="0" applyFont="1" applyFill="1" applyBorder="1" applyAlignment="1">
      <alignment vertical="top" wrapText="1"/>
    </xf>
    <xf numFmtId="4" fontId="15" fillId="0" borderId="1" xfId="0" applyNumberFormat="1" applyFont="1" applyBorder="1" applyAlignment="1"/>
    <xf numFmtId="4" fontId="15" fillId="0" borderId="1" xfId="0" applyNumberFormat="1" applyFont="1" applyFill="1" applyBorder="1" applyAlignment="1"/>
    <xf numFmtId="4" fontId="15" fillId="0" borderId="1" xfId="0" applyNumberFormat="1" applyFont="1" applyFill="1" applyBorder="1" applyAlignment="1">
      <alignment vertical="top"/>
    </xf>
    <xf numFmtId="4" fontId="16" fillId="0" borderId="1" xfId="0" applyNumberFormat="1" applyFont="1" applyFill="1" applyBorder="1" applyAlignment="1">
      <alignment vertical="top"/>
    </xf>
    <xf numFmtId="0" fontId="17" fillId="0" borderId="0" xfId="0" applyFont="1"/>
    <xf numFmtId="4" fontId="15" fillId="0" borderId="3" xfId="0" applyNumberFormat="1" applyFont="1" applyBorder="1" applyAlignment="1">
      <alignment horizontal="right"/>
    </xf>
    <xf numFmtId="4" fontId="15" fillId="0" borderId="3" xfId="0" applyNumberFormat="1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 vertical="top"/>
    </xf>
    <xf numFmtId="4" fontId="16" fillId="0" borderId="3" xfId="0" applyNumberFormat="1" applyFont="1" applyBorder="1" applyAlignment="1">
      <alignment horizontal="left" vertical="top" wrapText="1"/>
    </xf>
    <xf numFmtId="0" fontId="16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4" fontId="15" fillId="0" borderId="1" xfId="0" applyNumberFormat="1" applyFont="1" applyBorder="1" applyAlignment="1">
      <alignment vertical="center"/>
    </xf>
    <xf numFmtId="4" fontId="16" fillId="0" borderId="1" xfId="0" applyNumberFormat="1" applyFont="1" applyFill="1" applyBorder="1" applyAlignment="1">
      <alignment vertical="center"/>
    </xf>
    <xf numFmtId="4" fontId="15" fillId="0" borderId="1" xfId="0" applyNumberFormat="1" applyFont="1" applyBorder="1" applyAlignment="1">
      <alignment vertical="top"/>
    </xf>
    <xf numFmtId="0" fontId="19" fillId="0" borderId="0" xfId="0" applyFont="1"/>
    <xf numFmtId="0" fontId="20" fillId="0" borderId="0" xfId="0" applyFont="1" applyBorder="1" applyAlignment="1">
      <alignment horizontal="center" vertical="top" wrapText="1"/>
    </xf>
    <xf numFmtId="0" fontId="13" fillId="0" borderId="0" xfId="0" applyFont="1" applyBorder="1"/>
    <xf numFmtId="0" fontId="13" fillId="0" borderId="0" xfId="0" applyFont="1"/>
    <xf numFmtId="0" fontId="20" fillId="0" borderId="2" xfId="0" applyFont="1" applyBorder="1" applyAlignment="1">
      <alignment horizontal="center" vertical="top" wrapText="1"/>
    </xf>
    <xf numFmtId="0" fontId="20" fillId="0" borderId="2" xfId="0" applyFont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top"/>
    </xf>
    <xf numFmtId="0" fontId="22" fillId="3" borderId="1" xfId="0" applyFont="1" applyFill="1" applyBorder="1" applyAlignment="1">
      <alignment vertical="top"/>
    </xf>
    <xf numFmtId="0" fontId="22" fillId="0" borderId="1" xfId="0" applyFont="1" applyBorder="1" applyAlignment="1">
      <alignment horizontal="left" vertical="top" wrapText="1"/>
    </xf>
    <xf numFmtId="0" fontId="19" fillId="0" borderId="1" xfId="0" applyFont="1" applyBorder="1"/>
    <xf numFmtId="4" fontId="23" fillId="0" borderId="1" xfId="0" applyNumberFormat="1" applyFont="1" applyBorder="1" applyAlignment="1">
      <alignment vertical="top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19" fillId="5" borderId="1" xfId="0" applyFont="1" applyFill="1" applyBorder="1" applyAlignment="1">
      <alignment vertical="top"/>
    </xf>
    <xf numFmtId="0" fontId="24" fillId="5" borderId="1" xfId="0" applyFont="1" applyFill="1" applyBorder="1" applyAlignment="1">
      <alignment vertical="top" wrapText="1"/>
    </xf>
    <xf numFmtId="0" fontId="24" fillId="5" borderId="1" xfId="0" applyFont="1" applyFill="1" applyBorder="1" applyAlignment="1">
      <alignment vertical="top"/>
    </xf>
    <xf numFmtId="0" fontId="19" fillId="5" borderId="1" xfId="0" applyFont="1" applyFill="1" applyBorder="1" applyAlignment="1">
      <alignment vertical="top" wrapText="1"/>
    </xf>
    <xf numFmtId="0" fontId="0" fillId="0" borderId="0" xfId="0" applyFo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/>
    <xf numFmtId="0" fontId="0" fillId="0" borderId="0" xfId="0" applyFill="1" applyBorder="1"/>
    <xf numFmtId="0" fontId="22" fillId="0" borderId="0" xfId="0" applyFont="1" applyFill="1" applyBorder="1" applyAlignment="1">
      <alignment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/>
    <xf numFmtId="0" fontId="0" fillId="0" borderId="0" xfId="0" applyFont="1" applyBorder="1"/>
    <xf numFmtId="0" fontId="21" fillId="0" borderId="26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shrinkToFit="1"/>
    </xf>
    <xf numFmtId="49" fontId="30" fillId="0" borderId="17" xfId="0" applyNumberFormat="1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vertical="top" wrapText="1"/>
    </xf>
    <xf numFmtId="4" fontId="30" fillId="0" borderId="18" xfId="0" applyNumberFormat="1" applyFont="1" applyFill="1" applyBorder="1" applyAlignment="1">
      <alignment vertical="top" wrapText="1"/>
    </xf>
    <xf numFmtId="4" fontId="29" fillId="0" borderId="30" xfId="0" applyNumberFormat="1" applyFont="1" applyFill="1" applyBorder="1" applyAlignment="1">
      <alignment vertical="top"/>
    </xf>
    <xf numFmtId="0" fontId="30" fillId="0" borderId="0" xfId="0" applyFont="1" applyFill="1" applyBorder="1" applyAlignment="1">
      <alignment vertical="top"/>
    </xf>
    <xf numFmtId="0" fontId="30" fillId="0" borderId="0" xfId="0" applyFont="1" applyFill="1" applyBorder="1" applyAlignment="1">
      <alignment vertical="top" wrapText="1"/>
    </xf>
    <xf numFmtId="0" fontId="30" fillId="0" borderId="0" xfId="0" applyFont="1" applyFill="1" applyBorder="1" applyAlignment="1"/>
    <xf numFmtId="0" fontId="31" fillId="0" borderId="0" xfId="0" applyFont="1" applyBorder="1"/>
    <xf numFmtId="0" fontId="31" fillId="0" borderId="0" xfId="0" applyFont="1"/>
    <xf numFmtId="49" fontId="32" fillId="0" borderId="3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top" wrapText="1"/>
    </xf>
    <xf numFmtId="0" fontId="33" fillId="0" borderId="32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horizontal="center" vertical="top"/>
    </xf>
    <xf numFmtId="0" fontId="17" fillId="0" borderId="0" xfId="0" applyFont="1" applyBorder="1"/>
    <xf numFmtId="49" fontId="13" fillId="0" borderId="3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center" vertical="top"/>
    </xf>
    <xf numFmtId="4" fontId="33" fillId="0" borderId="32" xfId="0" applyNumberFormat="1" applyFont="1" applyFill="1" applyBorder="1" applyAlignment="1">
      <alignment horizontal="center" vertical="top"/>
    </xf>
    <xf numFmtId="4" fontId="34" fillId="0" borderId="0" xfId="0" applyNumberFormat="1" applyFont="1" applyFill="1" applyBorder="1" applyAlignment="1">
      <alignment horizontal="center" vertical="top"/>
    </xf>
    <xf numFmtId="0" fontId="13" fillId="5" borderId="1" xfId="0" applyFont="1" applyFill="1" applyBorder="1" applyAlignment="1">
      <alignment horizontal="left" vertical="center" wrapText="1"/>
    </xf>
    <xf numFmtId="4" fontId="1" fillId="5" borderId="1" xfId="0" applyNumberFormat="1" applyFont="1" applyFill="1" applyBorder="1" applyAlignment="1">
      <alignment vertical="top"/>
    </xf>
    <xf numFmtId="4" fontId="4" fillId="5" borderId="1" xfId="0" applyNumberFormat="1" applyFont="1" applyFill="1" applyBorder="1" applyAlignment="1">
      <alignment horizontal="right" vertical="top"/>
    </xf>
    <xf numFmtId="0" fontId="32" fillId="0" borderId="1" xfId="0" applyFont="1" applyFill="1" applyBorder="1" applyAlignment="1">
      <alignment horizontal="left" vertical="center" wrapText="1"/>
    </xf>
    <xf numFmtId="4" fontId="16" fillId="0" borderId="1" xfId="0" applyNumberFormat="1" applyFont="1" applyBorder="1" applyAlignment="1">
      <alignment vertical="top"/>
    </xf>
    <xf numFmtId="4" fontId="32" fillId="0" borderId="1" xfId="0" applyNumberFormat="1" applyFont="1" applyFill="1" applyBorder="1" applyAlignment="1">
      <alignment horizontal="right" vertical="top"/>
    </xf>
    <xf numFmtId="0" fontId="32" fillId="0" borderId="1" xfId="0" applyFont="1" applyFill="1" applyBorder="1" applyAlignment="1">
      <alignment horizontal="center" vertical="top"/>
    </xf>
    <xf numFmtId="0" fontId="32" fillId="0" borderId="32" xfId="0" applyFont="1" applyFill="1" applyBorder="1" applyAlignment="1">
      <alignment horizontal="center" vertical="top"/>
    </xf>
    <xf numFmtId="49" fontId="30" fillId="0" borderId="33" xfId="0" applyNumberFormat="1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left" vertical="center" wrapText="1"/>
    </xf>
    <xf numFmtId="4" fontId="30" fillId="0" borderId="18" xfId="0" applyNumberFormat="1" applyFont="1" applyFill="1" applyBorder="1" applyAlignment="1">
      <alignment vertical="top"/>
    </xf>
    <xf numFmtId="4" fontId="35" fillId="0" borderId="30" xfId="0" applyNumberFormat="1" applyFont="1" applyFill="1" applyBorder="1" applyAlignment="1">
      <alignment vertical="top"/>
    </xf>
    <xf numFmtId="0" fontId="35" fillId="0" borderId="0" xfId="0" applyFont="1" applyFill="1" applyBorder="1" applyAlignment="1">
      <alignment vertical="top"/>
    </xf>
    <xf numFmtId="0" fontId="36" fillId="0" borderId="0" xfId="0" applyFont="1" applyFill="1" applyBorder="1"/>
    <xf numFmtId="0" fontId="36" fillId="0" borderId="0" xfId="0" applyFont="1" applyBorder="1"/>
    <xf numFmtId="0" fontId="36" fillId="0" borderId="0" xfId="0" applyFont="1"/>
    <xf numFmtId="0" fontId="13" fillId="0" borderId="32" xfId="0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right" vertical="top"/>
    </xf>
    <xf numFmtId="4" fontId="4" fillId="0" borderId="26" xfId="0" applyNumberFormat="1" applyFont="1" applyFill="1" applyBorder="1" applyAlignment="1">
      <alignment horizontal="right" vertical="top"/>
    </xf>
    <xf numFmtId="49" fontId="37" fillId="0" borderId="34" xfId="0" applyNumberFormat="1" applyFont="1" applyFill="1" applyBorder="1" applyAlignment="1">
      <alignment horizontal="center" vertical="center" wrapText="1"/>
    </xf>
    <xf numFmtId="0" fontId="37" fillId="0" borderId="35" xfId="0" applyFont="1" applyFill="1" applyBorder="1" applyAlignment="1">
      <alignment horizontal="left" vertical="center" wrapText="1"/>
    </xf>
    <xf numFmtId="4" fontId="38" fillId="0" borderId="35" xfId="0" applyNumberFormat="1" applyFont="1" applyFill="1" applyBorder="1" applyAlignment="1">
      <alignment horizontal="right" vertical="top" wrapText="1"/>
    </xf>
    <xf numFmtId="4" fontId="38" fillId="0" borderId="36" xfId="0" applyNumberFormat="1" applyFont="1" applyFill="1" applyBorder="1" applyAlignment="1">
      <alignment horizontal="right" vertical="top"/>
    </xf>
    <xf numFmtId="0" fontId="38" fillId="0" borderId="0" xfId="0" applyFont="1" applyFill="1" applyBorder="1" applyAlignment="1">
      <alignment horizontal="left" vertical="top" wrapText="1"/>
    </xf>
    <xf numFmtId="0" fontId="39" fillId="0" borderId="0" xfId="0" applyFont="1" applyFill="1" applyBorder="1"/>
    <xf numFmtId="0" fontId="39" fillId="0" borderId="0" xfId="0" applyFont="1" applyBorder="1"/>
    <xf numFmtId="0" fontId="39" fillId="0" borderId="0" xfId="0" applyFont="1"/>
    <xf numFmtId="49" fontId="13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horizontal="left" vertical="top" wrapText="1"/>
    </xf>
    <xf numFmtId="4" fontId="13" fillId="0" borderId="0" xfId="0" applyNumberFormat="1" applyFont="1" applyFill="1" applyBorder="1" applyAlignment="1">
      <alignment vertical="top"/>
    </xf>
    <xf numFmtId="0" fontId="40" fillId="0" borderId="0" xfId="0" applyFont="1" applyFill="1" applyBorder="1" applyAlignment="1">
      <alignment vertical="top" wrapText="1"/>
    </xf>
    <xf numFmtId="0" fontId="0" fillId="0" borderId="0" xfId="0" applyFont="1" applyFill="1" applyBorder="1"/>
    <xf numFmtId="0" fontId="41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2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left" vertical="top" wrapText="1"/>
    </xf>
    <xf numFmtId="4" fontId="22" fillId="0" borderId="0" xfId="0" applyNumberFormat="1" applyFont="1" applyFill="1" applyBorder="1" applyAlignment="1">
      <alignment horizontal="right" vertical="top"/>
    </xf>
    <xf numFmtId="0" fontId="40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top"/>
    </xf>
    <xf numFmtId="0" fontId="42" fillId="0" borderId="0" xfId="0" applyFont="1"/>
    <xf numFmtId="0" fontId="21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vertical="top" wrapText="1"/>
    </xf>
    <xf numFmtId="4" fontId="21" fillId="0" borderId="0" xfId="0" applyNumberFormat="1" applyFont="1" applyFill="1" applyBorder="1" applyAlignment="1">
      <alignment vertical="top"/>
    </xf>
    <xf numFmtId="0" fontId="32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top"/>
    </xf>
    <xf numFmtId="4" fontId="19" fillId="0" borderId="0" xfId="0" applyNumberFormat="1" applyFont="1" applyFill="1" applyBorder="1" applyAlignment="1"/>
    <xf numFmtId="0" fontId="19" fillId="0" borderId="0" xfId="0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vertical="top" wrapText="1"/>
    </xf>
    <xf numFmtId="4" fontId="40" fillId="0" borderId="0" xfId="0" applyNumberFormat="1" applyFont="1" applyFill="1" applyBorder="1" applyAlignment="1">
      <alignment horizontal="right" vertical="top"/>
    </xf>
    <xf numFmtId="4" fontId="13" fillId="0" borderId="0" xfId="0" applyNumberFormat="1" applyFont="1" applyFill="1" applyBorder="1" applyAlignment="1"/>
    <xf numFmtId="0" fontId="21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vertical="top" wrapText="1"/>
    </xf>
    <xf numFmtId="14" fontId="13" fillId="0" borderId="0" xfId="0" applyNumberFormat="1" applyFont="1" applyFill="1" applyBorder="1" applyAlignment="1">
      <alignment vertical="top" wrapText="1"/>
    </xf>
    <xf numFmtId="0" fontId="43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wrapText="1"/>
    </xf>
    <xf numFmtId="0" fontId="40" fillId="0" borderId="0" xfId="0" applyFont="1" applyFill="1" applyBorder="1" applyAlignment="1">
      <alignment horizontal="center" vertical="top"/>
    </xf>
    <xf numFmtId="0" fontId="40" fillId="0" borderId="0" xfId="0" applyFont="1" applyFill="1" applyBorder="1" applyAlignment="1">
      <alignment horizontal="left" vertical="top"/>
    </xf>
    <xf numFmtId="0" fontId="13" fillId="0" borderId="0" xfId="1" applyNumberFormat="1" applyFont="1" applyFill="1" applyBorder="1" applyAlignment="1">
      <alignment vertical="top" wrapText="1"/>
    </xf>
    <xf numFmtId="2" fontId="13" fillId="0" borderId="0" xfId="0" applyNumberFormat="1" applyFont="1" applyFill="1" applyBorder="1" applyAlignment="1">
      <alignment horizontal="right" vertical="top" wrapText="1"/>
    </xf>
    <xf numFmtId="0" fontId="13" fillId="0" borderId="0" xfId="0" applyNumberFormat="1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21" fillId="2" borderId="0" xfId="0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4" fontId="13" fillId="0" borderId="0" xfId="0" applyNumberFormat="1" applyFont="1" applyBorder="1" applyAlignment="1">
      <alignment vertical="top"/>
    </xf>
    <xf numFmtId="0" fontId="13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 wrapText="1"/>
    </xf>
    <xf numFmtId="4" fontId="21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horizontal="center" vertical="top" wrapText="1"/>
    </xf>
    <xf numFmtId="0" fontId="40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49" fontId="44" fillId="0" borderId="1" xfId="0" applyNumberFormat="1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vertical="top" wrapText="1"/>
    </xf>
    <xf numFmtId="0" fontId="17" fillId="0" borderId="13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 vertical="top" wrapText="1"/>
    </xf>
    <xf numFmtId="0" fontId="16" fillId="0" borderId="13" xfId="0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4" fontId="15" fillId="0" borderId="4" xfId="0" applyNumberFormat="1" applyFont="1" applyBorder="1" applyAlignment="1">
      <alignment horizontal="center"/>
    </xf>
    <xf numFmtId="4" fontId="16" fillId="0" borderId="5" xfId="0" applyNumberFormat="1" applyFont="1" applyFill="1" applyBorder="1" applyAlignment="1">
      <alignment horizontal="right" vertical="top"/>
    </xf>
    <xf numFmtId="4" fontId="16" fillId="0" borderId="5" xfId="0" applyNumberFormat="1" applyFont="1" applyFill="1" applyBorder="1" applyAlignment="1">
      <alignment horizontal="right" vertical="top" wrapText="1"/>
    </xf>
    <xf numFmtId="2" fontId="16" fillId="0" borderId="5" xfId="0" applyNumberFormat="1" applyFont="1" applyFill="1" applyBorder="1" applyAlignment="1">
      <alignment horizontal="right" wrapText="1"/>
    </xf>
    <xf numFmtId="0" fontId="27" fillId="0" borderId="0" xfId="0" applyFont="1"/>
    <xf numFmtId="0" fontId="16" fillId="0" borderId="3" xfId="0" applyFont="1" applyFill="1" applyBorder="1" applyAlignment="1">
      <alignment horizontal="center" vertical="top" wrapText="1"/>
    </xf>
    <xf numFmtId="2" fontId="16" fillId="0" borderId="1" xfId="0" applyNumberFormat="1" applyFont="1" applyFill="1" applyBorder="1" applyAlignment="1">
      <alignment horizontal="right" vertical="top" wrapText="1"/>
    </xf>
    <xf numFmtId="0" fontId="44" fillId="0" borderId="1" xfId="0" applyFont="1" applyFill="1" applyBorder="1" applyAlignment="1">
      <alignment vertical="top" wrapText="1"/>
    </xf>
    <xf numFmtId="0" fontId="17" fillId="0" borderId="1" xfId="0" applyFont="1" applyBorder="1"/>
    <xf numFmtId="4" fontId="16" fillId="0" borderId="3" xfId="0" applyNumberFormat="1" applyFont="1" applyBorder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Fill="1"/>
    <xf numFmtId="0" fontId="44" fillId="0" borderId="1" xfId="0" applyFont="1" applyFill="1" applyBorder="1" applyAlignment="1">
      <alignment horizontal="center" vertical="top"/>
    </xf>
    <xf numFmtId="4" fontId="16" fillId="0" borderId="3" xfId="0" applyNumberFormat="1" applyFont="1" applyFill="1" applyBorder="1" applyAlignment="1">
      <alignment vertical="top"/>
    </xf>
    <xf numFmtId="4" fontId="16" fillId="0" borderId="3" xfId="0" applyNumberFormat="1" applyFont="1" applyFill="1" applyBorder="1" applyAlignment="1">
      <alignment vertical="top" wrapText="1"/>
    </xf>
    <xf numFmtId="4" fontId="32" fillId="0" borderId="32" xfId="0" applyNumberFormat="1" applyFont="1" applyFill="1" applyBorder="1" applyAlignment="1">
      <alignment horizontal="center" vertical="top"/>
    </xf>
    <xf numFmtId="4" fontId="19" fillId="0" borderId="1" xfId="0" applyNumberFormat="1" applyFont="1" applyBorder="1" applyAlignment="1">
      <alignment vertical="top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right" vertical="top"/>
    </xf>
    <xf numFmtId="0" fontId="1" fillId="0" borderId="3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left" vertical="top"/>
    </xf>
    <xf numFmtId="0" fontId="10" fillId="3" borderId="12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right"/>
    </xf>
    <xf numFmtId="4" fontId="3" fillId="5" borderId="5" xfId="0" applyNumberFormat="1" applyFont="1" applyFill="1" applyBorder="1" applyAlignment="1">
      <alignment horizontal="right" vertical="top"/>
    </xf>
    <xf numFmtId="0" fontId="7" fillId="0" borderId="0" xfId="0" applyFont="1" applyFill="1"/>
    <xf numFmtId="0" fontId="45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/>
    </xf>
    <xf numFmtId="4" fontId="1" fillId="0" borderId="5" xfId="0" applyNumberFormat="1" applyFont="1" applyFill="1" applyBorder="1" applyAlignment="1">
      <alignment vertical="top"/>
    </xf>
    <xf numFmtId="0" fontId="9" fillId="0" borderId="0" xfId="0" applyFont="1" applyBorder="1" applyAlignment="1">
      <alignment horizontal="right" wrapText="1"/>
    </xf>
    <xf numFmtId="0" fontId="13" fillId="0" borderId="5" xfId="0" applyFont="1" applyBorder="1" applyAlignment="1">
      <alignment horizontal="center" vertical="top" wrapText="1"/>
    </xf>
    <xf numFmtId="4" fontId="13" fillId="4" borderId="1" xfId="0" applyNumberFormat="1" applyFont="1" applyFill="1" applyBorder="1" applyAlignment="1">
      <alignment wrapText="1"/>
    </xf>
    <xf numFmtId="4" fontId="13" fillId="0" borderId="1" xfId="0" applyNumberFormat="1" applyFont="1" applyBorder="1" applyAlignment="1">
      <alignment wrapText="1"/>
    </xf>
    <xf numFmtId="0" fontId="10" fillId="3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165" fontId="1" fillId="0" borderId="1" xfId="0" applyNumberFormat="1" applyFont="1" applyBorder="1" applyAlignment="1">
      <alignment vertical="top" wrapText="1"/>
    </xf>
    <xf numFmtId="4" fontId="16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horizontal="right" wrapText="1"/>
    </xf>
    <xf numFmtId="4" fontId="1" fillId="0" borderId="5" xfId="0" applyNumberFormat="1" applyFont="1" applyFill="1" applyBorder="1" applyAlignment="1">
      <alignment horizontal="right" wrapText="1"/>
    </xf>
    <xf numFmtId="4" fontId="3" fillId="5" borderId="3" xfId="0" applyNumberFormat="1" applyFont="1" applyFill="1" applyBorder="1" applyAlignment="1">
      <alignment vertical="top" wrapText="1"/>
    </xf>
    <xf numFmtId="4" fontId="3" fillId="5" borderId="1" xfId="0" applyNumberFormat="1" applyFont="1" applyFill="1" applyBorder="1" applyAlignment="1">
      <alignment vertical="top" wrapText="1"/>
    </xf>
    <xf numFmtId="4" fontId="16" fillId="0" borderId="1" xfId="0" applyNumberFormat="1" applyFont="1" applyFill="1" applyBorder="1" applyAlignment="1">
      <alignment vertical="top" wrapText="1"/>
    </xf>
    <xf numFmtId="4" fontId="3" fillId="5" borderId="1" xfId="0" applyNumberFormat="1" applyFont="1" applyFill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7" fillId="0" borderId="0" xfId="0" applyFont="1" applyAlignment="1">
      <alignment wrapText="1"/>
    </xf>
    <xf numFmtId="4" fontId="3" fillId="5" borderId="3" xfId="0" applyNumberFormat="1" applyFont="1" applyFill="1" applyBorder="1" applyAlignment="1">
      <alignment vertical="center" wrapText="1"/>
    </xf>
    <xf numFmtId="4" fontId="16" fillId="0" borderId="3" xfId="0" applyNumberFormat="1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1" fillId="5" borderId="13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vertical="top"/>
    </xf>
    <xf numFmtId="0" fontId="46" fillId="0" borderId="0" xfId="0" applyFont="1"/>
    <xf numFmtId="0" fontId="47" fillId="0" borderId="0" xfId="0" applyFont="1" applyBorder="1" applyAlignment="1">
      <alignment horizontal="center" vertical="top" wrapText="1"/>
    </xf>
    <xf numFmtId="0" fontId="14" fillId="4" borderId="3" xfId="0" applyFont="1" applyFill="1" applyBorder="1" applyAlignment="1">
      <alignment vertical="top"/>
    </xf>
    <xf numFmtId="14" fontId="44" fillId="0" borderId="4" xfId="0" applyNumberFormat="1" applyFont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/>
    </xf>
    <xf numFmtId="0" fontId="44" fillId="0" borderId="5" xfId="1" applyNumberFormat="1" applyFont="1" applyFill="1" applyBorder="1" applyAlignment="1">
      <alignment horizontal="center" vertical="top" wrapText="1"/>
    </xf>
    <xf numFmtId="4" fontId="1" fillId="5" borderId="1" xfId="0" applyNumberFormat="1" applyFont="1" applyFill="1" applyBorder="1" applyAlignment="1">
      <alignment vertical="top" wrapText="1"/>
    </xf>
    <xf numFmtId="0" fontId="3" fillId="5" borderId="7" xfId="0" applyFont="1" applyFill="1" applyBorder="1" applyAlignment="1">
      <alignment horizontal="center" vertical="top" wrapText="1"/>
    </xf>
    <xf numFmtId="0" fontId="46" fillId="0" borderId="0" xfId="0" applyFont="1" applyFill="1"/>
    <xf numFmtId="4" fontId="3" fillId="5" borderId="3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center"/>
    </xf>
    <xf numFmtId="0" fontId="46" fillId="5" borderId="13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 wrapText="1"/>
    </xf>
    <xf numFmtId="0" fontId="3" fillId="5" borderId="15" xfId="0" applyFont="1" applyFill="1" applyBorder="1" applyAlignment="1">
      <alignment horizontal="center" wrapText="1"/>
    </xf>
    <xf numFmtId="2" fontId="3" fillId="5" borderId="5" xfId="0" applyNumberFormat="1" applyFont="1" applyFill="1" applyBorder="1" applyAlignment="1">
      <alignment horizontal="right" wrapText="1"/>
    </xf>
    <xf numFmtId="0" fontId="7" fillId="0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4" fontId="3" fillId="0" borderId="4" xfId="0" applyNumberFormat="1" applyFont="1" applyBorder="1" applyAlignment="1">
      <alignment horizontal="center"/>
    </xf>
    <xf numFmtId="0" fontId="9" fillId="0" borderId="4" xfId="1" applyNumberFormat="1" applyFont="1" applyFill="1" applyBorder="1" applyAlignment="1">
      <alignment horizontal="center" vertical="top" wrapText="1"/>
    </xf>
    <xf numFmtId="0" fontId="9" fillId="0" borderId="3" xfId="1" applyNumberFormat="1" applyFont="1" applyFill="1" applyBorder="1" applyAlignment="1">
      <alignment horizontal="center" vertical="top" wrapText="1"/>
    </xf>
    <xf numFmtId="4" fontId="1" fillId="0" borderId="8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2" fontId="1" fillId="0" borderId="3" xfId="0" applyNumberFormat="1" applyFont="1" applyFill="1" applyBorder="1" applyAlignment="1">
      <alignment horizontal="right" vertical="top" wrapText="1"/>
    </xf>
    <xf numFmtId="4" fontId="1" fillId="0" borderId="3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top"/>
    </xf>
    <xf numFmtId="4" fontId="3" fillId="4" borderId="1" xfId="0" applyNumberFormat="1" applyFont="1" applyFill="1" applyBorder="1" applyAlignment="1">
      <alignment vertical="top" wrapText="1"/>
    </xf>
    <xf numFmtId="4" fontId="1" fillId="5" borderId="1" xfId="0" applyNumberFormat="1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4" fontId="3" fillId="4" borderId="1" xfId="0" applyNumberFormat="1" applyFont="1" applyFill="1" applyBorder="1" applyAlignment="1">
      <alignment horizontal="right" vertical="top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vertical="top"/>
    </xf>
    <xf numFmtId="4" fontId="3" fillId="4" borderId="1" xfId="0" applyNumberFormat="1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8" fillId="3" borderId="12" xfId="0" applyFont="1" applyFill="1" applyBorder="1" applyAlignment="1">
      <alignment horizontal="left" vertical="top"/>
    </xf>
    <xf numFmtId="0" fontId="16" fillId="0" borderId="4" xfId="0" applyFont="1" applyBorder="1" applyAlignment="1">
      <alignment horizontal="left" vertical="center" wrapText="1"/>
    </xf>
    <xf numFmtId="49" fontId="44" fillId="0" borderId="4" xfId="0" applyNumberFormat="1" applyFont="1" applyFill="1" applyBorder="1" applyAlignment="1">
      <alignment horizontal="center" vertical="top" wrapText="1"/>
    </xf>
    <xf numFmtId="0" fontId="16" fillId="0" borderId="13" xfId="0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44" fillId="0" borderId="4" xfId="1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left" vertical="top" wrapText="1"/>
    </xf>
    <xf numFmtId="4" fontId="15" fillId="0" borderId="4" xfId="0" applyNumberFormat="1" applyFont="1" applyFill="1" applyBorder="1" applyAlignment="1">
      <alignment horizontal="right" vertical="top"/>
    </xf>
    <xf numFmtId="4" fontId="15" fillId="0" borderId="3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3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/>
    </xf>
    <xf numFmtId="4" fontId="11" fillId="0" borderId="1" xfId="0" applyNumberFormat="1" applyFont="1" applyFill="1" applyBorder="1" applyAlignment="1">
      <alignment horizontal="right" vertical="top"/>
    </xf>
    <xf numFmtId="4" fontId="49" fillId="0" borderId="1" xfId="0" applyNumberFormat="1" applyFont="1" applyFill="1" applyBorder="1" applyAlignment="1">
      <alignment horizontal="right" vertical="top"/>
    </xf>
    <xf numFmtId="0" fontId="45" fillId="0" borderId="0" xfId="0" applyFont="1"/>
    <xf numFmtId="0" fontId="28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/>
    </xf>
    <xf numFmtId="4" fontId="13" fillId="0" borderId="0" xfId="0" applyNumberFormat="1" applyFont="1" applyFill="1" applyBorder="1" applyAlignment="1">
      <alignment horizontal="center" vertical="top"/>
    </xf>
    <xf numFmtId="4" fontId="50" fillId="0" borderId="0" xfId="0" applyNumberFormat="1" applyFont="1" applyFill="1" applyBorder="1" applyAlignment="1">
      <alignment vertical="top"/>
    </xf>
    <xf numFmtId="0" fontId="27" fillId="0" borderId="0" xfId="0" applyFont="1" applyBorder="1" applyAlignment="1">
      <alignment horizontal="right" vertical="top" wrapText="1"/>
    </xf>
    <xf numFmtId="4" fontId="51" fillId="0" borderId="0" xfId="0" applyNumberFormat="1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32" fillId="0" borderId="0" xfId="0" applyFont="1"/>
    <xf numFmtId="0" fontId="52" fillId="0" borderId="0" xfId="0" applyFont="1" applyBorder="1" applyAlignment="1">
      <alignment horizontal="right" wrapText="1"/>
    </xf>
    <xf numFmtId="4" fontId="41" fillId="4" borderId="1" xfId="0" applyNumberFormat="1" applyFont="1" applyFill="1" applyBorder="1" applyAlignment="1">
      <alignment wrapText="1"/>
    </xf>
    <xf numFmtId="4" fontId="41" fillId="0" borderId="1" xfId="0" applyNumberFormat="1" applyFont="1" applyBorder="1" applyAlignment="1">
      <alignment wrapText="1"/>
    </xf>
    <xf numFmtId="0" fontId="53" fillId="3" borderId="1" xfId="0" applyFont="1" applyFill="1" applyBorder="1" applyAlignment="1">
      <alignment vertical="top" wrapText="1"/>
    </xf>
    <xf numFmtId="4" fontId="52" fillId="0" borderId="1" xfId="0" applyNumberFormat="1" applyFont="1" applyFill="1" applyBorder="1" applyAlignment="1">
      <alignment vertical="top" wrapText="1"/>
    </xf>
    <xf numFmtId="4" fontId="52" fillId="0" borderId="1" xfId="0" applyNumberFormat="1" applyFont="1" applyBorder="1" applyAlignment="1">
      <alignment vertical="top" wrapText="1"/>
    </xf>
    <xf numFmtId="165" fontId="52" fillId="0" borderId="1" xfId="0" applyNumberFormat="1" applyFont="1" applyBorder="1" applyAlignment="1">
      <alignment vertical="top" wrapText="1"/>
    </xf>
    <xf numFmtId="4" fontId="52" fillId="5" borderId="3" xfId="0" applyNumberFormat="1" applyFont="1" applyFill="1" applyBorder="1" applyAlignment="1">
      <alignment vertical="top" wrapText="1"/>
    </xf>
    <xf numFmtId="4" fontId="52" fillId="0" borderId="3" xfId="0" applyNumberFormat="1" applyFont="1" applyFill="1" applyBorder="1" applyAlignment="1">
      <alignment vertical="top" wrapText="1"/>
    </xf>
    <xf numFmtId="4" fontId="52" fillId="0" borderId="5" xfId="0" applyNumberFormat="1" applyFont="1" applyFill="1" applyBorder="1" applyAlignment="1">
      <alignment horizontal="right" wrapText="1"/>
    </xf>
    <xf numFmtId="4" fontId="52" fillId="0" borderId="1" xfId="0" applyNumberFormat="1" applyFont="1" applyFill="1" applyBorder="1" applyAlignment="1">
      <alignment horizontal="center" vertical="top" wrapText="1"/>
    </xf>
    <xf numFmtId="4" fontId="52" fillId="0" borderId="3" xfId="0" applyNumberFormat="1" applyFont="1" applyFill="1" applyBorder="1" applyAlignment="1">
      <alignment horizontal="center" vertical="top" wrapText="1"/>
    </xf>
    <xf numFmtId="4" fontId="52" fillId="5" borderId="1" xfId="0" applyNumberFormat="1" applyFont="1" applyFill="1" applyBorder="1" applyAlignment="1">
      <alignment vertical="top" wrapText="1"/>
    </xf>
    <xf numFmtId="4" fontId="55" fillId="0" borderId="1" xfId="0" applyNumberFormat="1" applyFont="1" applyFill="1" applyBorder="1" applyAlignment="1">
      <alignment vertical="top" wrapText="1"/>
    </xf>
    <xf numFmtId="4" fontId="52" fillId="4" borderId="1" xfId="0" applyNumberFormat="1" applyFont="1" applyFill="1" applyBorder="1" applyAlignment="1">
      <alignment vertical="top" wrapText="1"/>
    </xf>
    <xf numFmtId="0" fontId="53" fillId="3" borderId="12" xfId="0" applyFont="1" applyFill="1" applyBorder="1" applyAlignment="1">
      <alignment horizontal="left" vertical="top" wrapText="1"/>
    </xf>
    <xf numFmtId="4" fontId="53" fillId="0" borderId="1" xfId="0" applyNumberFormat="1" applyFont="1" applyFill="1" applyBorder="1" applyAlignment="1">
      <alignment horizontal="right" vertical="top" wrapText="1"/>
    </xf>
    <xf numFmtId="2" fontId="52" fillId="0" borderId="5" xfId="0" applyNumberFormat="1" applyFont="1" applyFill="1" applyBorder="1" applyAlignment="1">
      <alignment horizontal="right" wrapText="1"/>
    </xf>
    <xf numFmtId="4" fontId="52" fillId="5" borderId="1" xfId="0" applyNumberFormat="1" applyFont="1" applyFill="1" applyBorder="1" applyAlignment="1">
      <alignment wrapText="1"/>
    </xf>
    <xf numFmtId="4" fontId="52" fillId="0" borderId="1" xfId="0" applyNumberFormat="1" applyFont="1" applyBorder="1" applyAlignment="1">
      <alignment wrapText="1"/>
    </xf>
    <xf numFmtId="2" fontId="55" fillId="0" borderId="5" xfId="0" applyNumberFormat="1" applyFont="1" applyFill="1" applyBorder="1" applyAlignment="1">
      <alignment horizontal="right" wrapText="1"/>
    </xf>
    <xf numFmtId="2" fontId="52" fillId="0" borderId="1" xfId="0" applyNumberFormat="1" applyFont="1" applyFill="1" applyBorder="1" applyAlignment="1">
      <alignment horizontal="right" vertical="top" wrapText="1"/>
    </xf>
    <xf numFmtId="2" fontId="55" fillId="0" borderId="1" xfId="0" applyNumberFormat="1" applyFont="1" applyFill="1" applyBorder="1" applyAlignment="1">
      <alignment horizontal="right" vertical="top" wrapText="1"/>
    </xf>
    <xf numFmtId="0" fontId="56" fillId="0" borderId="0" xfId="0" applyFont="1" applyAlignment="1">
      <alignment wrapText="1"/>
    </xf>
    <xf numFmtId="2" fontId="52" fillId="0" borderId="3" xfId="0" applyNumberFormat="1" applyFont="1" applyFill="1" applyBorder="1" applyAlignment="1">
      <alignment horizontal="right" vertical="top" wrapText="1"/>
    </xf>
    <xf numFmtId="4" fontId="52" fillId="5" borderId="3" xfId="0" applyNumberFormat="1" applyFont="1" applyFill="1" applyBorder="1" applyAlignment="1">
      <alignment vertical="center" wrapText="1"/>
    </xf>
    <xf numFmtId="4" fontId="52" fillId="0" borderId="3" xfId="0" applyNumberFormat="1" applyFont="1" applyFill="1" applyBorder="1" applyAlignment="1">
      <alignment vertical="center" wrapText="1"/>
    </xf>
    <xf numFmtId="4" fontId="55" fillId="0" borderId="3" xfId="0" applyNumberFormat="1" applyFont="1" applyFill="1" applyBorder="1" applyAlignment="1">
      <alignment vertical="center" wrapText="1"/>
    </xf>
    <xf numFmtId="4" fontId="52" fillId="0" borderId="1" xfId="0" applyNumberFormat="1" applyFont="1" applyFill="1" applyBorder="1" applyAlignment="1">
      <alignment vertical="center" wrapText="1"/>
    </xf>
    <xf numFmtId="4" fontId="52" fillId="5" borderId="1" xfId="0" applyNumberFormat="1" applyFont="1" applyFill="1" applyBorder="1" applyAlignment="1">
      <alignment vertical="center" wrapText="1"/>
    </xf>
    <xf numFmtId="4" fontId="55" fillId="0" borderId="1" xfId="0" applyNumberFormat="1" applyFont="1" applyFill="1" applyBorder="1" applyAlignment="1">
      <alignment vertical="center" wrapText="1"/>
    </xf>
    <xf numFmtId="0" fontId="52" fillId="0" borderId="0" xfId="0" applyFont="1" applyAlignment="1">
      <alignment wrapText="1"/>
    </xf>
    <xf numFmtId="4" fontId="52" fillId="5" borderId="1" xfId="0" applyNumberFormat="1" applyFont="1" applyFill="1" applyBorder="1" applyAlignment="1">
      <alignment horizontal="left" vertical="top" wrapText="1"/>
    </xf>
    <xf numFmtId="4" fontId="57" fillId="5" borderId="1" xfId="0" applyNumberFormat="1" applyFont="1" applyFill="1" applyBorder="1" applyAlignment="1">
      <alignment horizontal="center" vertical="center" wrapText="1"/>
    </xf>
    <xf numFmtId="4" fontId="57" fillId="5" borderId="1" xfId="0" applyNumberFormat="1" applyFont="1" applyFill="1" applyBorder="1" applyAlignment="1">
      <alignment horizontal="center" vertical="top" wrapText="1"/>
    </xf>
    <xf numFmtId="2" fontId="52" fillId="5" borderId="1" xfId="0" applyNumberFormat="1" applyFont="1" applyFill="1" applyBorder="1" applyAlignment="1">
      <alignment horizontal="left" vertical="top" wrapText="1"/>
    </xf>
    <xf numFmtId="2" fontId="52" fillId="5" borderId="5" xfId="0" applyNumberFormat="1" applyFont="1" applyFill="1" applyBorder="1" applyAlignment="1">
      <alignment horizontal="left" vertical="top" wrapText="1"/>
    </xf>
    <xf numFmtId="2" fontId="57" fillId="0" borderId="1" xfId="0" applyNumberFormat="1" applyFont="1" applyFill="1" applyBorder="1" applyAlignment="1">
      <alignment horizontal="center" vertical="top" wrapText="1"/>
    </xf>
    <xf numFmtId="4" fontId="17" fillId="0" borderId="4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left" vertical="top"/>
    </xf>
    <xf numFmtId="49" fontId="9" fillId="0" borderId="5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4" fontId="9" fillId="0" borderId="4" xfId="0" applyNumberFormat="1" applyFont="1" applyBorder="1" applyAlignment="1">
      <alignment horizontal="center" vertical="top" wrapText="1"/>
    </xf>
    <xf numFmtId="0" fontId="10" fillId="3" borderId="12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4" fontId="3" fillId="0" borderId="1" xfId="0" applyNumberFormat="1" applyFont="1" applyBorder="1" applyAlignment="1">
      <alignment horizontal="right"/>
    </xf>
    <xf numFmtId="0" fontId="1" fillId="0" borderId="3" xfId="0" applyFont="1" applyBorder="1" applyAlignment="1">
      <alignment horizontal="left" vertical="top" wrapText="1"/>
    </xf>
    <xf numFmtId="3" fontId="18" fillId="0" borderId="3" xfId="0" applyNumberFormat="1" applyFont="1" applyFill="1" applyBorder="1" applyAlignment="1">
      <alignment horizontal="center" vertical="top" wrapText="1"/>
    </xf>
    <xf numFmtId="4" fontId="15" fillId="0" borderId="3" xfId="0" applyNumberFormat="1" applyFont="1" applyBorder="1" applyAlignment="1">
      <alignment vertical="center"/>
    </xf>
    <xf numFmtId="4" fontId="16" fillId="0" borderId="3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 shrinkToFit="1"/>
    </xf>
    <xf numFmtId="4" fontId="7" fillId="0" borderId="4" xfId="0" applyNumberFormat="1" applyFont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top" wrapText="1"/>
    </xf>
    <xf numFmtId="0" fontId="10" fillId="3" borderId="12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left" vertical="top"/>
    </xf>
    <xf numFmtId="4" fontId="16" fillId="0" borderId="8" xfId="0" applyNumberFormat="1" applyFont="1" applyFill="1" applyBorder="1" applyAlignment="1">
      <alignment vertical="top"/>
    </xf>
    <xf numFmtId="0" fontId="16" fillId="0" borderId="0" xfId="0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 vertical="top" wrapText="1"/>
    </xf>
    <xf numFmtId="2" fontId="16" fillId="0" borderId="3" xfId="0" applyNumberFormat="1" applyFont="1" applyFill="1" applyBorder="1" applyAlignment="1">
      <alignment horizontal="right" vertical="top" wrapText="1"/>
    </xf>
    <xf numFmtId="2" fontId="55" fillId="0" borderId="3" xfId="0" applyNumberFormat="1" applyFont="1" applyFill="1" applyBorder="1" applyAlignment="1">
      <alignment horizontal="right" vertical="top" wrapText="1"/>
    </xf>
    <xf numFmtId="0" fontId="10" fillId="3" borderId="12" xfId="0" applyFont="1" applyFill="1" applyBorder="1" applyAlignment="1">
      <alignment horizontal="left" vertical="top"/>
    </xf>
    <xf numFmtId="0" fontId="10" fillId="3" borderId="12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center" vertical="center" wrapText="1"/>
    </xf>
    <xf numFmtId="4" fontId="52" fillId="0" borderId="3" xfId="0" applyNumberFormat="1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right" wrapText="1"/>
    </xf>
    <xf numFmtId="4" fontId="1" fillId="0" borderId="3" xfId="0" applyNumberFormat="1" applyFont="1" applyFill="1" applyBorder="1" applyAlignment="1">
      <alignment vertical="center"/>
    </xf>
    <xf numFmtId="4" fontId="3" fillId="0" borderId="3" xfId="0" applyNumberFormat="1" applyFont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14" fontId="9" fillId="0" borderId="4" xfId="0" applyNumberFormat="1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49" fontId="9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Fill="1" applyBorder="1" applyAlignment="1">
      <alignment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vertical="top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/>
    </xf>
    <xf numFmtId="0" fontId="23" fillId="5" borderId="1" xfId="0" applyFont="1" applyFill="1" applyBorder="1" applyAlignment="1">
      <alignment vertical="top" wrapText="1"/>
    </xf>
    <xf numFmtId="0" fontId="23" fillId="5" borderId="1" xfId="0" applyFont="1" applyFill="1" applyBorder="1" applyAlignment="1">
      <alignment vertical="top"/>
    </xf>
    <xf numFmtId="0" fontId="9" fillId="0" borderId="5" xfId="1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left" vertical="center" wrapText="1"/>
    </xf>
    <xf numFmtId="4" fontId="52" fillId="0" borderId="1" xfId="0" applyNumberFormat="1" applyFont="1" applyFill="1" applyBorder="1" applyAlignment="1">
      <alignment horizontal="right" wrapText="1"/>
    </xf>
    <xf numFmtId="4" fontId="3" fillId="0" borderId="5" xfId="0" applyNumberFormat="1" applyFont="1" applyFill="1" applyBorder="1" applyAlignment="1">
      <alignment horizontal="center" vertical="top"/>
    </xf>
    <xf numFmtId="4" fontId="3" fillId="0" borderId="5" xfId="0" applyNumberFormat="1" applyFont="1" applyFill="1" applyBorder="1" applyAlignment="1">
      <alignment vertical="top"/>
    </xf>
    <xf numFmtId="4" fontId="57" fillId="0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right" vertical="top"/>
    </xf>
    <xf numFmtId="0" fontId="59" fillId="0" borderId="1" xfId="0" applyFont="1" applyFill="1" applyBorder="1" applyAlignment="1">
      <alignment vertical="top" wrapText="1"/>
    </xf>
    <xf numFmtId="0" fontId="44" fillId="0" borderId="0" xfId="0" applyFont="1"/>
    <xf numFmtId="0" fontId="13" fillId="0" borderId="1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left" vertical="top"/>
    </xf>
    <xf numFmtId="0" fontId="17" fillId="0" borderId="5" xfId="0" applyFont="1" applyBorder="1" applyAlignment="1">
      <alignment horizontal="center" vertical="top" wrapText="1"/>
    </xf>
    <xf numFmtId="0" fontId="60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wrapText="1"/>
    </xf>
    <xf numFmtId="4" fontId="55" fillId="0" borderId="3" xfId="0" applyNumberFormat="1" applyFont="1" applyFill="1" applyBorder="1" applyAlignment="1">
      <alignment vertical="top" wrapText="1"/>
    </xf>
    <xf numFmtId="4" fontId="16" fillId="0" borderId="3" xfId="0" applyNumberFormat="1" applyFont="1" applyFill="1" applyBorder="1" applyAlignment="1">
      <alignment horizontal="right" vertical="top" wrapText="1"/>
    </xf>
    <xf numFmtId="0" fontId="44" fillId="0" borderId="3" xfId="0" applyFont="1" applyFill="1" applyBorder="1" applyAlignment="1">
      <alignment horizontal="center" vertical="top"/>
    </xf>
    <xf numFmtId="4" fontId="55" fillId="5" borderId="3" xfId="0" applyNumberFormat="1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4" fontId="3" fillId="0" borderId="3" xfId="0" applyNumberFormat="1" applyFont="1" applyBorder="1" applyAlignment="1">
      <alignment horizontal="right" vertical="top"/>
    </xf>
    <xf numFmtId="4" fontId="3" fillId="0" borderId="5" xfId="0" applyNumberFormat="1" applyFont="1" applyBorder="1" applyAlignment="1">
      <alignment horizontal="right" vertical="top"/>
    </xf>
    <xf numFmtId="49" fontId="9" fillId="0" borderId="3" xfId="0" applyNumberFormat="1" applyFon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9" fillId="0" borderId="3" xfId="1" applyNumberFormat="1" applyFont="1" applyFill="1" applyBorder="1" applyAlignment="1">
      <alignment horizontal="center" vertical="top" wrapText="1"/>
    </xf>
    <xf numFmtId="0" fontId="9" fillId="0" borderId="4" xfId="1" applyNumberFormat="1" applyFont="1" applyFill="1" applyBorder="1" applyAlignment="1">
      <alignment horizontal="center" vertical="top" wrapText="1"/>
    </xf>
    <xf numFmtId="0" fontId="9" fillId="0" borderId="5" xfId="1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" fontId="3" fillId="0" borderId="3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/>
    </xf>
    <xf numFmtId="4" fontId="3" fillId="0" borderId="4" xfId="0" applyNumberFormat="1" applyFont="1" applyFill="1" applyBorder="1" applyAlignment="1">
      <alignment horizontal="right" vertical="top"/>
    </xf>
    <xf numFmtId="4" fontId="3" fillId="0" borderId="5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9" fillId="0" borderId="4" xfId="0" applyNumberFormat="1" applyFont="1" applyBorder="1" applyAlignment="1">
      <alignment horizontal="center" vertical="top" wrapText="1"/>
    </xf>
    <xf numFmtId="0" fontId="10" fillId="3" borderId="10" xfId="0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left" vertical="top"/>
    </xf>
    <xf numFmtId="0" fontId="10" fillId="3" borderId="12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27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3" xfId="0" applyFont="1" applyBorder="1"/>
    <xf numFmtId="0" fontId="18" fillId="0" borderId="3" xfId="0" applyFont="1" applyFill="1" applyBorder="1" applyAlignment="1">
      <alignment horizontal="center" vertical="top" wrapText="1"/>
    </xf>
    <xf numFmtId="0" fontId="19" fillId="0" borderId="3" xfId="0" applyFont="1" applyBorder="1"/>
    <xf numFmtId="4" fontId="1" fillId="0" borderId="0" xfId="0" applyNumberFormat="1" applyFont="1" applyBorder="1" applyAlignment="1">
      <alignment vertical="top"/>
    </xf>
    <xf numFmtId="4" fontId="52" fillId="0" borderId="0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4" fontId="3" fillId="0" borderId="3" xfId="0" applyNumberFormat="1" applyFont="1" applyBorder="1" applyAlignment="1">
      <alignment horizontal="right" vertical="top"/>
    </xf>
    <xf numFmtId="4" fontId="3" fillId="0" borderId="5" xfId="0" applyNumberFormat="1" applyFont="1" applyBorder="1" applyAlignment="1">
      <alignment horizontal="right" vertical="top"/>
    </xf>
    <xf numFmtId="49" fontId="9" fillId="0" borderId="3" xfId="0" applyNumberFormat="1" applyFon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9" fillId="0" borderId="3" xfId="1" applyNumberFormat="1" applyFont="1" applyFill="1" applyBorder="1" applyAlignment="1">
      <alignment horizontal="center" vertical="top" wrapText="1"/>
    </xf>
    <xf numFmtId="0" fontId="9" fillId="0" borderId="4" xfId="1" applyNumberFormat="1" applyFont="1" applyFill="1" applyBorder="1" applyAlignment="1">
      <alignment horizontal="center" vertical="top" wrapText="1"/>
    </xf>
    <xf numFmtId="0" fontId="9" fillId="0" borderId="5" xfId="1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" fontId="3" fillId="0" borderId="3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/>
    </xf>
    <xf numFmtId="4" fontId="3" fillId="0" borderId="4" xfId="0" applyNumberFormat="1" applyFont="1" applyFill="1" applyBorder="1" applyAlignment="1">
      <alignment horizontal="right" vertical="top"/>
    </xf>
    <xf numFmtId="4" fontId="3" fillId="0" borderId="5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9" fillId="0" borderId="4" xfId="0" applyNumberFormat="1" applyFont="1" applyBorder="1" applyAlignment="1">
      <alignment horizontal="center" vertical="top" wrapText="1"/>
    </xf>
    <xf numFmtId="0" fontId="10" fillId="3" borderId="10" xfId="0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left" vertical="top"/>
    </xf>
    <xf numFmtId="0" fontId="10" fillId="3" borderId="12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4" fontId="52" fillId="0" borderId="3" xfId="0" applyNumberFormat="1" applyFont="1" applyFill="1" applyBorder="1" applyAlignment="1">
      <alignment vertical="top" wrapText="1"/>
    </xf>
    <xf numFmtId="0" fontId="27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13" fillId="0" borderId="10" xfId="0" applyFont="1" applyBorder="1" applyAlignment="1">
      <alignment horizontal="center" vertical="top"/>
    </xf>
    <xf numFmtId="4" fontId="41" fillId="4" borderId="10" xfId="0" applyNumberFormat="1" applyFont="1" applyFill="1" applyBorder="1" applyAlignment="1">
      <alignment wrapText="1"/>
    </xf>
    <xf numFmtId="4" fontId="41" fillId="0" borderId="10" xfId="0" applyNumberFormat="1" applyFont="1" applyBorder="1" applyAlignment="1">
      <alignment wrapText="1"/>
    </xf>
    <xf numFmtId="0" fontId="53" fillId="3" borderId="10" xfId="0" applyFont="1" applyFill="1" applyBorder="1" applyAlignment="1">
      <alignment vertical="top" wrapText="1"/>
    </xf>
    <xf numFmtId="4" fontId="52" fillId="0" borderId="10" xfId="0" applyNumberFormat="1" applyFont="1" applyFill="1" applyBorder="1" applyAlignment="1">
      <alignment vertical="top" wrapText="1"/>
    </xf>
    <xf numFmtId="4" fontId="52" fillId="0" borderId="10" xfId="0" applyNumberFormat="1" applyFont="1" applyBorder="1" applyAlignment="1">
      <alignment vertical="top" wrapText="1"/>
    </xf>
    <xf numFmtId="165" fontId="52" fillId="0" borderId="10" xfId="0" applyNumberFormat="1" applyFont="1" applyBorder="1" applyAlignment="1">
      <alignment vertical="top" wrapText="1"/>
    </xf>
    <xf numFmtId="4" fontId="55" fillId="5" borderId="6" xfId="0" applyNumberFormat="1" applyFont="1" applyFill="1" applyBorder="1" applyAlignment="1">
      <alignment vertical="top" wrapText="1"/>
    </xf>
    <xf numFmtId="4" fontId="52" fillId="0" borderId="10" xfId="0" applyNumberFormat="1" applyFont="1" applyFill="1" applyBorder="1" applyAlignment="1">
      <alignment horizontal="right" wrapText="1"/>
    </xf>
    <xf numFmtId="4" fontId="52" fillId="5" borderId="10" xfId="0" applyNumberFormat="1" applyFont="1" applyFill="1" applyBorder="1" applyAlignment="1">
      <alignment horizontal="left" vertical="top" wrapText="1"/>
    </xf>
    <xf numFmtId="4" fontId="52" fillId="5" borderId="6" xfId="0" applyNumberFormat="1" applyFont="1" applyFill="1" applyBorder="1" applyAlignment="1">
      <alignment vertical="top" wrapText="1"/>
    </xf>
    <xf numFmtId="4" fontId="52" fillId="0" borderId="6" xfId="0" applyNumberFormat="1" applyFont="1" applyFill="1" applyBorder="1" applyAlignment="1">
      <alignment vertical="top" wrapText="1"/>
    </xf>
    <xf numFmtId="4" fontId="55" fillId="0" borderId="6" xfId="0" applyNumberFormat="1" applyFont="1" applyFill="1" applyBorder="1" applyAlignment="1">
      <alignment vertical="top" wrapText="1"/>
    </xf>
    <xf numFmtId="4" fontId="57" fillId="5" borderId="10" xfId="0" applyNumberFormat="1" applyFont="1" applyFill="1" applyBorder="1" applyAlignment="1">
      <alignment horizontal="center" vertical="center" wrapText="1"/>
    </xf>
    <xf numFmtId="4" fontId="57" fillId="0" borderId="8" xfId="0" applyNumberFormat="1" applyFont="1" applyFill="1" applyBorder="1" applyAlignment="1">
      <alignment horizontal="center" vertical="center" wrapText="1"/>
    </xf>
    <xf numFmtId="4" fontId="52" fillId="0" borderId="8" xfId="0" applyNumberFormat="1" applyFont="1" applyFill="1" applyBorder="1" applyAlignment="1">
      <alignment horizontal="right" wrapText="1"/>
    </xf>
    <xf numFmtId="4" fontId="57" fillId="5" borderId="10" xfId="0" applyNumberFormat="1" applyFont="1" applyFill="1" applyBorder="1" applyAlignment="1">
      <alignment horizontal="center" vertical="top" wrapText="1"/>
    </xf>
    <xf numFmtId="4" fontId="52" fillId="0" borderId="10" xfId="0" applyNumberFormat="1" applyFont="1" applyFill="1" applyBorder="1" applyAlignment="1">
      <alignment horizontal="center" vertical="top" wrapText="1"/>
    </xf>
    <xf numFmtId="4" fontId="52" fillId="0" borderId="6" xfId="0" applyNumberFormat="1" applyFont="1" applyFill="1" applyBorder="1" applyAlignment="1">
      <alignment horizontal="center" vertical="top" wrapText="1"/>
    </xf>
    <xf numFmtId="4" fontId="52" fillId="5" borderId="10" xfId="0" applyNumberFormat="1" applyFont="1" applyFill="1" applyBorder="1" applyAlignment="1">
      <alignment vertical="top" wrapText="1"/>
    </xf>
    <xf numFmtId="4" fontId="55" fillId="0" borderId="10" xfId="0" applyNumberFormat="1" applyFont="1" applyFill="1" applyBorder="1" applyAlignment="1">
      <alignment vertical="top" wrapText="1"/>
    </xf>
    <xf numFmtId="4" fontId="52" fillId="4" borderId="10" xfId="0" applyNumberFormat="1" applyFont="1" applyFill="1" applyBorder="1" applyAlignment="1">
      <alignment vertical="top" wrapText="1"/>
    </xf>
    <xf numFmtId="0" fontId="53" fillId="3" borderId="11" xfId="0" applyFont="1" applyFill="1" applyBorder="1" applyAlignment="1">
      <alignment horizontal="left" vertical="top" wrapText="1"/>
    </xf>
    <xf numFmtId="4" fontId="53" fillId="0" borderId="10" xfId="0" applyNumberFormat="1" applyFont="1" applyFill="1" applyBorder="1" applyAlignment="1">
      <alignment horizontal="right" vertical="top" wrapText="1"/>
    </xf>
    <xf numFmtId="2" fontId="52" fillId="5" borderId="10" xfId="0" applyNumberFormat="1" applyFont="1" applyFill="1" applyBorder="1" applyAlignment="1">
      <alignment horizontal="left" vertical="top" wrapText="1"/>
    </xf>
    <xf numFmtId="2" fontId="52" fillId="0" borderId="8" xfId="0" applyNumberFormat="1" applyFont="1" applyFill="1" applyBorder="1" applyAlignment="1">
      <alignment horizontal="right" wrapText="1"/>
    </xf>
    <xf numFmtId="4" fontId="52" fillId="5" borderId="10" xfId="0" applyNumberFormat="1" applyFont="1" applyFill="1" applyBorder="1" applyAlignment="1">
      <alignment wrapText="1"/>
    </xf>
    <xf numFmtId="4" fontId="52" fillId="0" borderId="10" xfId="0" applyNumberFormat="1" applyFont="1" applyBorder="1" applyAlignment="1">
      <alignment wrapText="1"/>
    </xf>
    <xf numFmtId="2" fontId="55" fillId="0" borderId="8" xfId="0" applyNumberFormat="1" applyFont="1" applyFill="1" applyBorder="1" applyAlignment="1">
      <alignment horizontal="right" wrapText="1"/>
    </xf>
    <xf numFmtId="2" fontId="52" fillId="5" borderId="8" xfId="0" applyNumberFormat="1" applyFont="1" applyFill="1" applyBorder="1" applyAlignment="1">
      <alignment horizontal="left" vertical="top" wrapText="1"/>
    </xf>
    <xf numFmtId="2" fontId="52" fillId="0" borderId="10" xfId="0" applyNumberFormat="1" applyFont="1" applyFill="1" applyBorder="1" applyAlignment="1">
      <alignment horizontal="right" vertical="top" wrapText="1"/>
    </xf>
    <xf numFmtId="2" fontId="55" fillId="0" borderId="10" xfId="0" applyNumberFormat="1" applyFont="1" applyFill="1" applyBorder="1" applyAlignment="1">
      <alignment horizontal="right" vertical="top" wrapText="1"/>
    </xf>
    <xf numFmtId="2" fontId="57" fillId="0" borderId="10" xfId="0" applyNumberFormat="1" applyFont="1" applyFill="1" applyBorder="1" applyAlignment="1">
      <alignment horizontal="center" vertical="top" wrapText="1"/>
    </xf>
    <xf numFmtId="2" fontId="55" fillId="0" borderId="6" xfId="0" applyNumberFormat="1" applyFont="1" applyFill="1" applyBorder="1" applyAlignment="1">
      <alignment horizontal="right" vertical="top" wrapText="1"/>
    </xf>
    <xf numFmtId="2" fontId="52" fillId="0" borderId="6" xfId="0" applyNumberFormat="1" applyFont="1" applyFill="1" applyBorder="1" applyAlignment="1">
      <alignment horizontal="right" vertical="top" wrapText="1"/>
    </xf>
    <xf numFmtId="4" fontId="52" fillId="5" borderId="6" xfId="0" applyNumberFormat="1" applyFont="1" applyFill="1" applyBorder="1" applyAlignment="1">
      <alignment vertical="center" wrapText="1"/>
    </xf>
    <xf numFmtId="4" fontId="52" fillId="0" borderId="6" xfId="0" applyNumberFormat="1" applyFont="1" applyFill="1" applyBorder="1" applyAlignment="1">
      <alignment vertical="center" wrapText="1"/>
    </xf>
    <xf numFmtId="4" fontId="55" fillId="0" borderId="6" xfId="0" applyNumberFormat="1" applyFont="1" applyFill="1" applyBorder="1" applyAlignment="1">
      <alignment vertical="center" wrapText="1"/>
    </xf>
    <xf numFmtId="4" fontId="52" fillId="0" borderId="10" xfId="0" applyNumberFormat="1" applyFont="1" applyFill="1" applyBorder="1" applyAlignment="1">
      <alignment vertical="center" wrapText="1"/>
    </xf>
    <xf numFmtId="4" fontId="52" fillId="5" borderId="10" xfId="0" applyNumberFormat="1" applyFont="1" applyFill="1" applyBorder="1" applyAlignment="1">
      <alignment vertical="center" wrapText="1"/>
    </xf>
    <xf numFmtId="4" fontId="55" fillId="0" borderId="10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4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3" borderId="12" xfId="0" applyFont="1" applyFill="1" applyBorder="1" applyAlignment="1">
      <alignment horizontal="left" vertical="top" wrapText="1"/>
    </xf>
    <xf numFmtId="0" fontId="44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25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26" fillId="0" borderId="0" xfId="0" applyFont="1" applyAlignment="1"/>
    <xf numFmtId="0" fontId="25" fillId="0" borderId="0" xfId="0" applyFont="1" applyAlignment="1">
      <alignment horizontal="right"/>
    </xf>
    <xf numFmtId="0" fontId="61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top"/>
    </xf>
    <xf numFmtId="0" fontId="16" fillId="0" borderId="5" xfId="0" applyFont="1" applyFill="1" applyBorder="1" applyAlignment="1">
      <alignment vertical="top" wrapText="1"/>
    </xf>
    <xf numFmtId="0" fontId="48" fillId="0" borderId="5" xfId="0" applyFont="1" applyFill="1" applyBorder="1" applyAlignment="1">
      <alignment horizontal="center" vertical="top"/>
    </xf>
    <xf numFmtId="0" fontId="17" fillId="0" borderId="4" xfId="0" applyFont="1" applyFill="1" applyBorder="1" applyAlignment="1">
      <alignment horizontal="center" vertical="top" wrapText="1"/>
    </xf>
    <xf numFmtId="0" fontId="44" fillId="0" borderId="5" xfId="0" applyFont="1" applyFill="1" applyBorder="1" applyAlignment="1">
      <alignment horizontal="center" vertical="top"/>
    </xf>
    <xf numFmtId="0" fontId="16" fillId="0" borderId="4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right"/>
    </xf>
    <xf numFmtId="4" fontId="16" fillId="0" borderId="4" xfId="0" applyNumberFormat="1" applyFont="1" applyFill="1" applyBorder="1" applyAlignment="1">
      <alignment horizontal="right" vertical="top" wrapText="1"/>
    </xf>
    <xf numFmtId="0" fontId="17" fillId="0" borderId="1" xfId="0" applyFont="1" applyFill="1" applyBorder="1"/>
    <xf numFmtId="4" fontId="55" fillId="0" borderId="1" xfId="0" applyNumberFormat="1" applyFont="1" applyBorder="1" applyAlignment="1">
      <alignment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8" fillId="0" borderId="0" xfId="0" applyFont="1" applyBorder="1" applyAlignment="1">
      <alignment horizontal="center" vertical="top" wrapText="1"/>
    </xf>
    <xf numFmtId="0" fontId="17" fillId="0" borderId="5" xfId="0" applyFont="1" applyBorder="1"/>
    <xf numFmtId="0" fontId="7" fillId="0" borderId="12" xfId="0" applyFont="1" applyBorder="1"/>
    <xf numFmtId="0" fontId="7" fillId="0" borderId="7" xfId="0" applyFont="1" applyBorder="1"/>
    <xf numFmtId="0" fontId="17" fillId="0" borderId="9" xfId="0" applyFont="1" applyBorder="1"/>
    <xf numFmtId="0" fontId="17" fillId="0" borderId="12" xfId="0" applyFont="1" applyBorder="1"/>
    <xf numFmtId="3" fontId="18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32" fillId="0" borderId="1" xfId="0" applyFont="1" applyFill="1" applyBorder="1" applyAlignment="1">
      <alignment horizontal="center" vertical="top" wrapText="1"/>
    </xf>
    <xf numFmtId="3" fontId="16" fillId="0" borderId="1" xfId="0" applyNumberFormat="1" applyFont="1" applyFill="1" applyBorder="1" applyAlignment="1">
      <alignment horizontal="center" vertical="top" wrapText="1"/>
    </xf>
    <xf numFmtId="4" fontId="16" fillId="0" borderId="5" xfId="0" applyNumberFormat="1" applyFont="1" applyFill="1" applyBorder="1" applyAlignment="1">
      <alignment horizontal="center" vertical="top"/>
    </xf>
    <xf numFmtId="4" fontId="16" fillId="0" borderId="5" xfId="0" applyNumberFormat="1" applyFont="1" applyFill="1" applyBorder="1" applyAlignment="1">
      <alignment vertical="top"/>
    </xf>
    <xf numFmtId="4" fontId="55" fillId="0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52" fillId="0" borderId="5" xfId="0" applyNumberFormat="1" applyFont="1" applyFill="1" applyBorder="1" applyAlignment="1">
      <alignment horizontal="center" vertical="center" wrapText="1"/>
    </xf>
    <xf numFmtId="49" fontId="44" fillId="0" borderId="3" xfId="0" applyNumberFormat="1" applyFont="1" applyFill="1" applyBorder="1" applyAlignment="1">
      <alignment horizontal="center" vertical="top" wrapText="1"/>
    </xf>
    <xf numFmtId="0" fontId="7" fillId="0" borderId="13" xfId="0" applyFont="1" applyBorder="1"/>
    <xf numFmtId="4" fontId="16" fillId="0" borderId="1" xfId="0" applyNumberFormat="1" applyFont="1" applyFill="1" applyBorder="1" applyAlignment="1">
      <alignment horizontal="right" vertical="top" wrapText="1"/>
    </xf>
    <xf numFmtId="0" fontId="17" fillId="0" borderId="4" xfId="0" applyFont="1" applyBorder="1" applyAlignment="1">
      <alignment vertical="top"/>
    </xf>
    <xf numFmtId="4" fontId="15" fillId="0" borderId="5" xfId="0" applyNumberFormat="1" applyFont="1" applyFill="1" applyBorder="1" applyAlignment="1">
      <alignment horizontal="right"/>
    </xf>
    <xf numFmtId="49" fontId="9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" fontId="52" fillId="0" borderId="3" xfId="0" applyNumberFormat="1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4" fontId="3" fillId="0" borderId="5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0" fillId="0" borderId="0" xfId="0" applyAlignment="1"/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4" fontId="9" fillId="0" borderId="4" xfId="0" applyNumberFormat="1" applyFont="1" applyBorder="1" applyAlignment="1">
      <alignment horizontal="center" vertical="top" wrapText="1"/>
    </xf>
    <xf numFmtId="0" fontId="9" fillId="0" borderId="5" xfId="1" applyNumberFormat="1" applyFont="1" applyFill="1" applyBorder="1" applyAlignment="1">
      <alignment horizontal="center" vertical="top" wrapText="1"/>
    </xf>
    <xf numFmtId="0" fontId="10" fillId="3" borderId="10" xfId="0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left" vertical="top"/>
    </xf>
    <xf numFmtId="0" fontId="10" fillId="3" borderId="12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49" fontId="9" fillId="0" borderId="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/>
    </xf>
    <xf numFmtId="4" fontId="3" fillId="0" borderId="4" xfId="0" applyNumberFormat="1" applyFont="1" applyFill="1" applyBorder="1" applyAlignment="1">
      <alignment horizontal="right" vertical="top"/>
    </xf>
    <xf numFmtId="0" fontId="1" fillId="0" borderId="3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5" xfId="0" applyNumberFormat="1" applyFont="1" applyBorder="1" applyAlignment="1">
      <alignment horizontal="right" vertical="top"/>
    </xf>
    <xf numFmtId="0" fontId="9" fillId="0" borderId="3" xfId="1" applyNumberFormat="1" applyFont="1" applyFill="1" applyBorder="1" applyAlignment="1">
      <alignment horizontal="center" vertical="top" wrapText="1"/>
    </xf>
    <xf numFmtId="0" fontId="9" fillId="0" borderId="4" xfId="1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4" fontId="1" fillId="0" borderId="3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4" fontId="52" fillId="0" borderId="3" xfId="0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4" fontId="52" fillId="0" borderId="3" xfId="0" applyNumberFormat="1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right"/>
    </xf>
    <xf numFmtId="0" fontId="3" fillId="0" borderId="3" xfId="0" applyFont="1" applyFill="1" applyBorder="1" applyAlignment="1">
      <alignment horizontal="center" vertical="top" wrapText="1"/>
    </xf>
    <xf numFmtId="0" fontId="9" fillId="0" borderId="5" xfId="1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4" fontId="3" fillId="0" borderId="4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top" wrapText="1"/>
    </xf>
    <xf numFmtId="4" fontId="3" fillId="0" borderId="4" xfId="0" applyNumberFormat="1" applyFont="1" applyFill="1" applyBorder="1" applyAlignment="1">
      <alignment horizontal="right" vertical="top"/>
    </xf>
    <xf numFmtId="0" fontId="9" fillId="0" borderId="3" xfId="1" applyNumberFormat="1" applyFont="1" applyFill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right" vertical="top"/>
    </xf>
    <xf numFmtId="0" fontId="9" fillId="0" borderId="4" xfId="1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/>
    </xf>
    <xf numFmtId="0" fontId="16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right"/>
    </xf>
    <xf numFmtId="0" fontId="32" fillId="0" borderId="0" xfId="0" applyFont="1" applyFill="1" applyBorder="1" applyAlignment="1">
      <alignment horizontal="center" vertical="top" wrapText="1"/>
    </xf>
    <xf numFmtId="0" fontId="32" fillId="0" borderId="0" xfId="0" applyNumberFormat="1" applyFont="1" applyFill="1" applyBorder="1" applyAlignment="1">
      <alignment horizontal="center" vertical="top" wrapText="1"/>
    </xf>
    <xf numFmtId="4" fontId="15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top" wrapText="1"/>
    </xf>
    <xf numFmtId="0" fontId="9" fillId="0" borderId="4" xfId="1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4" fontId="3" fillId="0" borderId="4" xfId="0" applyNumberFormat="1" applyFont="1" applyFill="1" applyBorder="1" applyAlignment="1">
      <alignment horizontal="right" vertical="top"/>
    </xf>
    <xf numFmtId="0" fontId="16" fillId="0" borderId="3" xfId="0" applyFont="1" applyFill="1" applyBorder="1" applyAlignment="1">
      <alignment vertical="top" wrapText="1"/>
    </xf>
    <xf numFmtId="0" fontId="16" fillId="0" borderId="3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52" fillId="0" borderId="3" xfId="0" applyNumberFormat="1" applyFont="1" applyFill="1" applyBorder="1" applyAlignment="1">
      <alignment vertical="top" wrapText="1"/>
    </xf>
    <xf numFmtId="4" fontId="3" fillId="0" borderId="4" xfId="0" applyNumberFormat="1" applyFont="1" applyFill="1" applyBorder="1" applyAlignment="1">
      <alignment vertical="top"/>
    </xf>
    <xf numFmtId="0" fontId="1" fillId="0" borderId="3" xfId="0" applyFont="1" applyFill="1" applyBorder="1" applyAlignment="1">
      <alignment horizontal="justify" vertical="top" wrapText="1"/>
    </xf>
    <xf numFmtId="4" fontId="1" fillId="0" borderId="4" xfId="0" applyNumberFormat="1" applyFont="1" applyFill="1" applyBorder="1" applyAlignment="1">
      <alignment horizontal="right" vertical="top"/>
    </xf>
    <xf numFmtId="4" fontId="1" fillId="0" borderId="4" xfId="0" applyNumberFormat="1" applyFont="1" applyFill="1" applyBorder="1" applyAlignment="1">
      <alignment vertical="top"/>
    </xf>
    <xf numFmtId="0" fontId="16" fillId="0" borderId="3" xfId="0" applyFont="1" applyFill="1" applyBorder="1" applyAlignment="1">
      <alignment vertical="top" wrapText="1"/>
    </xf>
    <xf numFmtId="4" fontId="18" fillId="0" borderId="1" xfId="0" applyNumberFormat="1" applyFont="1" applyBorder="1" applyAlignment="1">
      <alignment vertical="top"/>
    </xf>
    <xf numFmtId="4" fontId="4" fillId="5" borderId="1" xfId="0" applyNumberFormat="1" applyFont="1" applyFill="1" applyBorder="1" applyAlignment="1">
      <alignment vertical="top"/>
    </xf>
    <xf numFmtId="4" fontId="13" fillId="0" borderId="1" xfId="0" applyNumberFormat="1" applyFont="1" applyBorder="1" applyAlignment="1">
      <alignment vertical="top"/>
    </xf>
    <xf numFmtId="4" fontId="13" fillId="5" borderId="1" xfId="0" applyNumberFormat="1" applyFont="1" applyFill="1" applyBorder="1" applyAlignment="1">
      <alignment vertical="top"/>
    </xf>
    <xf numFmtId="4" fontId="32" fillId="0" borderId="1" xfId="0" applyNumberFormat="1" applyFont="1" applyBorder="1" applyAlignment="1">
      <alignment vertical="top"/>
    </xf>
    <xf numFmtId="4" fontId="13" fillId="0" borderId="1" xfId="0" applyNumberFormat="1" applyFont="1" applyBorder="1" applyAlignment="1">
      <alignment horizontal="right" vertical="top"/>
    </xf>
    <xf numFmtId="0" fontId="21" fillId="0" borderId="27" xfId="0" applyFont="1" applyFill="1" applyBorder="1" applyAlignment="1">
      <alignment horizontal="center" vertical="center" shrinkToFit="1"/>
    </xf>
    <xf numFmtId="4" fontId="4" fillId="0" borderId="1" xfId="0" applyNumberFormat="1" applyFont="1" applyBorder="1" applyAlignment="1">
      <alignment vertical="top"/>
    </xf>
    <xf numFmtId="0" fontId="16" fillId="0" borderId="3" xfId="0" applyFont="1" applyFill="1" applyBorder="1" applyAlignment="1">
      <alignment vertical="top" wrapText="1"/>
    </xf>
    <xf numFmtId="0" fontId="16" fillId="0" borderId="4" xfId="0" applyFont="1" applyFill="1" applyBorder="1" applyAlignment="1">
      <alignment vertical="top" wrapText="1"/>
    </xf>
    <xf numFmtId="0" fontId="13" fillId="0" borderId="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4" fontId="3" fillId="0" borderId="5" xfId="0" applyNumberFormat="1" applyFont="1" applyBorder="1" applyAlignment="1">
      <alignment horizontal="right" vertical="top"/>
    </xf>
    <xf numFmtId="49" fontId="9" fillId="0" borderId="3" xfId="0" applyNumberFormat="1" applyFont="1" applyFill="1" applyBorder="1" applyAlignment="1">
      <alignment horizontal="center" vertical="top" wrapText="1"/>
    </xf>
    <xf numFmtId="49" fontId="9" fillId="0" borderId="4" xfId="0" applyNumberFormat="1" applyFon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9" fillId="0" borderId="3" xfId="1" applyNumberFormat="1" applyFont="1" applyFill="1" applyBorder="1" applyAlignment="1">
      <alignment horizontal="center" vertical="top" wrapText="1"/>
    </xf>
    <xf numFmtId="0" fontId="9" fillId="0" borderId="4" xfId="1" applyNumberFormat="1" applyFont="1" applyFill="1" applyBorder="1" applyAlignment="1">
      <alignment horizontal="center" vertical="top" wrapText="1"/>
    </xf>
    <xf numFmtId="0" fontId="9" fillId="0" borderId="5" xfId="1" applyNumberFormat="1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3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14" fontId="9" fillId="0" borderId="3" xfId="1" applyNumberFormat="1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/>
    </xf>
    <xf numFmtId="0" fontId="14" fillId="0" borderId="4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/>
    </xf>
    <xf numFmtId="0" fontId="0" fillId="0" borderId="5" xfId="0" applyBorder="1" applyAlignment="1">
      <alignment vertical="top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/>
    </xf>
    <xf numFmtId="4" fontId="3" fillId="0" borderId="3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3" fontId="3" fillId="0" borderId="3" xfId="0" applyNumberFormat="1" applyFont="1" applyFill="1" applyBorder="1" applyAlignment="1">
      <alignment horizontal="center" vertical="top" wrapText="1"/>
    </xf>
    <xf numFmtId="3" fontId="3" fillId="0" borderId="4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0" fillId="0" borderId="4" xfId="0" applyBorder="1" applyAlignment="1">
      <alignment vertical="top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right" vertical="center"/>
    </xf>
    <xf numFmtId="0" fontId="4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/>
    </xf>
    <xf numFmtId="4" fontId="3" fillId="0" borderId="3" xfId="0" applyNumberFormat="1" applyFont="1" applyFill="1" applyBorder="1" applyAlignment="1">
      <alignment horizontal="right" vertical="top"/>
    </xf>
    <xf numFmtId="4" fontId="3" fillId="0" borderId="4" xfId="0" applyNumberFormat="1" applyFont="1" applyFill="1" applyBorder="1" applyAlignment="1">
      <alignment horizontal="right" vertical="top"/>
    </xf>
    <xf numFmtId="4" fontId="3" fillId="0" borderId="5" xfId="0" applyNumberFormat="1" applyFont="1" applyFill="1" applyBorder="1" applyAlignment="1">
      <alignment horizontal="right" vertical="top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4" fontId="3" fillId="0" borderId="4" xfId="0" applyNumberFormat="1" applyFont="1" applyBorder="1" applyAlignment="1">
      <alignment horizontal="right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center" vertical="top"/>
    </xf>
    <xf numFmtId="14" fontId="9" fillId="0" borderId="3" xfId="0" applyNumberFormat="1" applyFont="1" applyBorder="1" applyAlignment="1">
      <alignment horizontal="center" vertical="top" wrapText="1"/>
    </xf>
    <xf numFmtId="14" fontId="9" fillId="0" borderId="4" xfId="0" applyNumberFormat="1" applyFont="1" applyBorder="1" applyAlignment="1">
      <alignment horizontal="center" vertical="top" wrapText="1"/>
    </xf>
    <xf numFmtId="14" fontId="9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9" fillId="0" borderId="3" xfId="0" applyNumberFormat="1" applyFont="1" applyFill="1" applyBorder="1" applyAlignment="1">
      <alignment horizontal="center" vertical="top" wrapText="1"/>
    </xf>
    <xf numFmtId="0" fontId="9" fillId="0" borderId="4" xfId="0" applyNumberFormat="1" applyFont="1" applyFill="1" applyBorder="1" applyAlignment="1">
      <alignment horizontal="center" vertical="top" wrapText="1"/>
    </xf>
    <xf numFmtId="0" fontId="9" fillId="0" borderId="5" xfId="0" applyNumberFormat="1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/>
    </xf>
    <xf numFmtId="0" fontId="11" fillId="0" borderId="13" xfId="0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top"/>
    </xf>
    <xf numFmtId="0" fontId="11" fillId="0" borderId="14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1" fillId="0" borderId="15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 vertical="top"/>
    </xf>
    <xf numFmtId="0" fontId="11" fillId="0" borderId="9" xfId="0" applyFont="1" applyFill="1" applyBorder="1" applyAlignment="1">
      <alignment horizontal="center" vertical="top"/>
    </xf>
    <xf numFmtId="4" fontId="3" fillId="0" borderId="3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0" fontId="10" fillId="4" borderId="10" xfId="0" applyFont="1" applyFill="1" applyBorder="1" applyAlignment="1">
      <alignment horizontal="left" vertical="top" wrapText="1"/>
    </xf>
    <xf numFmtId="0" fontId="10" fillId="4" borderId="11" xfId="0" applyFont="1" applyFill="1" applyBorder="1" applyAlignment="1">
      <alignment horizontal="left" vertical="top" wrapText="1"/>
    </xf>
    <xf numFmtId="0" fontId="10" fillId="4" borderId="12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left" vertical="top"/>
    </xf>
    <xf numFmtId="0" fontId="10" fillId="3" borderId="12" xfId="0" applyFont="1" applyFill="1" applyBorder="1" applyAlignment="1">
      <alignment horizontal="left" vertical="top"/>
    </xf>
    <xf numFmtId="17" fontId="9" fillId="0" borderId="3" xfId="0" applyNumberFormat="1" applyFont="1" applyFill="1" applyBorder="1" applyAlignment="1">
      <alignment horizontal="center" vertical="top" wrapText="1"/>
    </xf>
    <xf numFmtId="17" fontId="9" fillId="0" borderId="4" xfId="0" applyNumberFormat="1" applyFont="1" applyFill="1" applyBorder="1" applyAlignment="1">
      <alignment horizontal="center" vertical="top" wrapText="1"/>
    </xf>
    <xf numFmtId="17" fontId="9" fillId="0" borderId="5" xfId="0" applyNumberFormat="1" applyFont="1" applyFill="1" applyBorder="1" applyAlignment="1">
      <alignment horizontal="center" vertical="top" wrapText="1"/>
    </xf>
    <xf numFmtId="4" fontId="48" fillId="0" borderId="6" xfId="0" applyNumberFormat="1" applyFont="1" applyBorder="1" applyAlignment="1">
      <alignment horizontal="center" vertical="top"/>
    </xf>
    <xf numFmtId="0" fontId="48" fillId="0" borderId="13" xfId="0" applyFont="1" applyBorder="1" applyAlignment="1">
      <alignment horizontal="center" vertical="top"/>
    </xf>
    <xf numFmtId="0" fontId="48" fillId="0" borderId="7" xfId="0" applyFont="1" applyBorder="1" applyAlignment="1">
      <alignment horizontal="center" vertical="top"/>
    </xf>
    <xf numFmtId="0" fontId="48" fillId="0" borderId="14" xfId="0" applyFont="1" applyBorder="1" applyAlignment="1">
      <alignment horizontal="center" vertical="top"/>
    </xf>
    <xf numFmtId="0" fontId="48" fillId="0" borderId="0" xfId="0" applyFont="1" applyBorder="1" applyAlignment="1">
      <alignment horizontal="center" vertical="top"/>
    </xf>
    <xf numFmtId="0" fontId="48" fillId="0" borderId="15" xfId="0" applyFont="1" applyBorder="1" applyAlignment="1">
      <alignment horizontal="center" vertical="top"/>
    </xf>
    <xf numFmtId="0" fontId="48" fillId="0" borderId="8" xfId="0" applyFont="1" applyBorder="1" applyAlignment="1">
      <alignment horizontal="center" vertical="top"/>
    </xf>
    <xf numFmtId="0" fontId="48" fillId="0" borderId="2" xfId="0" applyFont="1" applyBorder="1" applyAlignment="1">
      <alignment horizontal="center" vertical="top"/>
    </xf>
    <xf numFmtId="0" fontId="48" fillId="0" borderId="9" xfId="0" applyFont="1" applyBorder="1" applyAlignment="1">
      <alignment horizontal="center" vertical="top"/>
    </xf>
    <xf numFmtId="4" fontId="48" fillId="0" borderId="6" xfId="0" applyNumberFormat="1" applyFont="1" applyFill="1" applyBorder="1" applyAlignment="1">
      <alignment horizontal="center" vertical="top"/>
    </xf>
    <xf numFmtId="4" fontId="48" fillId="0" borderId="13" xfId="0" applyNumberFormat="1" applyFont="1" applyFill="1" applyBorder="1" applyAlignment="1">
      <alignment horizontal="center" vertical="top"/>
    </xf>
    <xf numFmtId="4" fontId="48" fillId="0" borderId="7" xfId="0" applyNumberFormat="1" applyFont="1" applyFill="1" applyBorder="1" applyAlignment="1">
      <alignment horizontal="center" vertical="top"/>
    </xf>
    <xf numFmtId="4" fontId="48" fillId="0" borderId="14" xfId="0" applyNumberFormat="1" applyFont="1" applyFill="1" applyBorder="1" applyAlignment="1">
      <alignment horizontal="center" vertical="top"/>
    </xf>
    <xf numFmtId="4" fontId="48" fillId="0" borderId="0" xfId="0" applyNumberFormat="1" applyFont="1" applyFill="1" applyBorder="1" applyAlignment="1">
      <alignment horizontal="center" vertical="top"/>
    </xf>
    <xf numFmtId="4" fontId="48" fillId="0" borderId="15" xfId="0" applyNumberFormat="1" applyFont="1" applyFill="1" applyBorder="1" applyAlignment="1">
      <alignment horizontal="center" vertical="top"/>
    </xf>
    <xf numFmtId="4" fontId="48" fillId="0" borderId="8" xfId="0" applyNumberFormat="1" applyFont="1" applyFill="1" applyBorder="1" applyAlignment="1">
      <alignment horizontal="center" vertical="top"/>
    </xf>
    <xf numFmtId="4" fontId="48" fillId="0" borderId="2" xfId="0" applyNumberFormat="1" applyFont="1" applyFill="1" applyBorder="1" applyAlignment="1">
      <alignment horizontal="center" vertical="top"/>
    </xf>
    <xf numFmtId="4" fontId="48" fillId="0" borderId="9" xfId="0" applyNumberFormat="1" applyFont="1" applyFill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0" fillId="0" borderId="0" xfId="0" applyAlignment="1"/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4" fontId="52" fillId="0" borderId="3" xfId="0" applyNumberFormat="1" applyFont="1" applyFill="1" applyBorder="1" applyAlignment="1">
      <alignment vertical="top" wrapText="1"/>
    </xf>
    <xf numFmtId="0" fontId="54" fillId="0" borderId="4" xfId="0" applyFont="1" applyBorder="1" applyAlignment="1">
      <alignment wrapText="1"/>
    </xf>
    <xf numFmtId="0" fontId="54" fillId="0" borderId="5" xfId="0" applyFont="1" applyBorder="1" applyAlignment="1">
      <alignment wrapText="1"/>
    </xf>
    <xf numFmtId="4" fontId="52" fillId="0" borderId="3" xfId="0" applyNumberFormat="1" applyFont="1" applyFill="1" applyBorder="1" applyAlignment="1">
      <alignment horizontal="left" wrapText="1"/>
    </xf>
    <xf numFmtId="4" fontId="52" fillId="0" borderId="5" xfId="0" applyNumberFormat="1" applyFont="1" applyFill="1" applyBorder="1" applyAlignment="1">
      <alignment horizontal="left" wrapText="1"/>
    </xf>
    <xf numFmtId="0" fontId="0" fillId="0" borderId="4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0" fillId="0" borderId="1" xfId="0" applyBorder="1" applyAlignment="1"/>
    <xf numFmtId="4" fontId="1" fillId="0" borderId="3" xfId="0" applyNumberFormat="1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top" wrapText="1"/>
    </xf>
    <xf numFmtId="0" fontId="21" fillId="0" borderId="20" xfId="0" applyFont="1" applyFill="1" applyBorder="1" applyAlignment="1">
      <alignment horizontal="center" vertical="center" wrapText="1" shrinkToFit="1"/>
    </xf>
    <xf numFmtId="0" fontId="21" fillId="0" borderId="23" xfId="0" applyFont="1" applyFill="1" applyBorder="1" applyAlignment="1">
      <alignment horizontal="center" vertical="center" wrapText="1" shrinkToFit="1"/>
    </xf>
    <xf numFmtId="0" fontId="21" fillId="0" borderId="28" xfId="0" applyFont="1" applyFill="1" applyBorder="1" applyAlignment="1">
      <alignment horizontal="center" vertical="center" wrapText="1" shrinkToFit="1"/>
    </xf>
    <xf numFmtId="0" fontId="21" fillId="0" borderId="8" xfId="0" applyFont="1" applyFill="1" applyBorder="1" applyAlignment="1">
      <alignment horizontal="center" vertical="top" wrapText="1"/>
    </xf>
    <xf numFmtId="0" fontId="21" fillId="0" borderId="9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top" shrinkToFit="1"/>
    </xf>
    <xf numFmtId="0" fontId="21" fillId="0" borderId="2" xfId="0" applyFont="1" applyFill="1" applyBorder="1" applyAlignment="1">
      <alignment horizontal="center" vertical="top" shrinkToFi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top" wrapText="1"/>
    </xf>
    <xf numFmtId="0" fontId="21" fillId="0" borderId="19" xfId="0" applyFont="1" applyFill="1" applyBorder="1" applyAlignment="1">
      <alignment horizontal="center" vertical="top" wrapText="1"/>
    </xf>
    <xf numFmtId="0" fontId="28" fillId="0" borderId="37" xfId="0" applyFont="1" applyBorder="1" applyAlignment="1">
      <alignment vertical="top" wrapText="1"/>
    </xf>
    <xf numFmtId="0" fontId="21" fillId="0" borderId="10" xfId="0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center" vertical="top" shrinkToFit="1"/>
    </xf>
    <xf numFmtId="0" fontId="21" fillId="0" borderId="40" xfId="0" applyFont="1" applyFill="1" applyBorder="1" applyAlignment="1">
      <alignment horizontal="center" vertical="top" shrinkToFi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top" wrapText="1"/>
    </xf>
    <xf numFmtId="0" fontId="21" fillId="0" borderId="39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58" fillId="4" borderId="3" xfId="0" applyFont="1" applyFill="1" applyBorder="1" applyAlignment="1">
      <alignment vertical="top" wrapText="1"/>
    </xf>
    <xf numFmtId="0" fontId="9" fillId="4" borderId="5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9" fillId="4" borderId="4" xfId="0" applyFont="1" applyFill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0" fillId="0" borderId="4" xfId="0" applyBorder="1" applyAlignment="1"/>
    <xf numFmtId="0" fontId="0" fillId="0" borderId="5" xfId="0" applyBorder="1" applyAlignment="1"/>
    <xf numFmtId="4" fontId="52" fillId="0" borderId="6" xfId="0" applyNumberFormat="1" applyFont="1" applyFill="1" applyBorder="1" applyAlignment="1">
      <alignment vertical="top" wrapText="1"/>
    </xf>
    <xf numFmtId="0" fontId="54" fillId="0" borderId="14" xfId="0" applyFont="1" applyBorder="1" applyAlignment="1">
      <alignment wrapText="1"/>
    </xf>
    <xf numFmtId="0" fontId="54" fillId="0" borderId="8" xfId="0" applyFont="1" applyBorder="1" applyAlignment="1">
      <alignment wrapText="1"/>
    </xf>
    <xf numFmtId="4" fontId="52" fillId="0" borderId="6" xfId="0" applyNumberFormat="1" applyFont="1" applyFill="1" applyBorder="1" applyAlignment="1">
      <alignment horizontal="left" wrapText="1"/>
    </xf>
    <xf numFmtId="4" fontId="52" fillId="0" borderId="8" xfId="0" applyNumberFormat="1" applyFont="1" applyFill="1" applyBorder="1" applyAlignment="1">
      <alignment horizontal="left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colors>
    <mruColors>
      <color rgb="FFFFFFCC"/>
      <color rgb="FF00EE6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365"/>
  <sheetViews>
    <sheetView topLeftCell="B171" zoomScale="140" zoomScaleNormal="140" zoomScaleSheetLayoutView="140" workbookViewId="0">
      <selection activeCell="Y179" sqref="Y179"/>
    </sheetView>
  </sheetViews>
  <sheetFormatPr defaultRowHeight="15"/>
  <cols>
    <col min="1" max="1" width="7.140625" style="12" customWidth="1"/>
    <col min="2" max="2" width="25.140625" style="12" customWidth="1"/>
    <col min="3" max="3" width="10" style="12" hidden="1" customWidth="1"/>
    <col min="4" max="4" width="12" style="12" hidden="1" customWidth="1"/>
    <col min="5" max="5" width="9.42578125" style="12" hidden="1" customWidth="1"/>
    <col min="6" max="6" width="11" style="12" hidden="1" customWidth="1"/>
    <col min="7" max="7" width="10.28515625" style="12" hidden="1" customWidth="1"/>
    <col min="8" max="8" width="10.5703125" style="12" hidden="1" customWidth="1"/>
    <col min="9" max="9" width="13.140625" style="12" customWidth="1"/>
    <col min="10" max="10" width="16.140625" style="12" hidden="1" customWidth="1"/>
    <col min="11" max="11" width="13.140625" style="12" hidden="1" customWidth="1"/>
    <col min="12" max="12" width="13.28515625" style="12" customWidth="1"/>
    <col min="13" max="13" width="14.85546875" style="12" hidden="1" customWidth="1"/>
    <col min="14" max="14" width="14.140625" style="12" hidden="1" customWidth="1"/>
    <col min="15" max="15" width="14.42578125" style="12" hidden="1" customWidth="1"/>
    <col min="16" max="16" width="11.28515625" style="12" customWidth="1"/>
    <col min="17" max="17" width="11.5703125" style="12" customWidth="1"/>
    <col min="18" max="18" width="11" style="12" hidden="1" customWidth="1"/>
    <col min="19" max="19" width="10.85546875" style="12" hidden="1" customWidth="1"/>
    <col min="20" max="20" width="10.5703125" style="12" hidden="1" customWidth="1"/>
    <col min="21" max="21" width="12.42578125" style="12" hidden="1" customWidth="1"/>
    <col min="22" max="22" width="11.42578125" style="12" hidden="1" customWidth="1"/>
    <col min="23" max="23" width="10.42578125" style="12" hidden="1" customWidth="1"/>
    <col min="24" max="24" width="12.140625" style="100" customWidth="1"/>
    <col min="25" max="25" width="11.140625" style="100" customWidth="1"/>
    <col min="26" max="26" width="11.5703125" style="12" customWidth="1"/>
    <col min="27" max="28" width="11" style="12" hidden="1" customWidth="1"/>
    <col min="29" max="29" width="11.140625" style="12" hidden="1" customWidth="1"/>
    <col min="30" max="31" width="11" style="12" customWidth="1"/>
    <col min="32" max="32" width="8" style="12" hidden="1" customWidth="1"/>
    <col min="33" max="33" width="10" style="12" hidden="1" customWidth="1"/>
    <col min="34" max="34" width="11.28515625" style="12" hidden="1" customWidth="1"/>
    <col min="35" max="35" width="10" style="12" customWidth="1"/>
    <col min="36" max="36" width="11.5703125" style="12" customWidth="1"/>
    <col min="37" max="37" width="12" style="12" customWidth="1"/>
    <col min="38" max="38" width="9.7109375" style="12" customWidth="1"/>
    <col min="39" max="40" width="9.28515625" style="12" customWidth="1"/>
    <col min="41" max="41" width="11.5703125" style="422" customWidth="1"/>
    <col min="42" max="16384" width="9.140625" style="12"/>
  </cols>
  <sheetData>
    <row r="1" spans="1:41" s="26" customFormat="1" ht="45" customHeight="1">
      <c r="A1" s="993" t="s">
        <v>430</v>
      </c>
      <c r="B1" s="993"/>
      <c r="C1" s="993"/>
      <c r="D1" s="993"/>
      <c r="E1" s="993"/>
      <c r="F1" s="993"/>
      <c r="G1" s="993"/>
      <c r="H1" s="993"/>
      <c r="I1" s="993"/>
      <c r="J1" s="993"/>
      <c r="K1" s="993"/>
      <c r="L1" s="993"/>
      <c r="M1" s="993"/>
      <c r="N1" s="993"/>
      <c r="O1" s="993"/>
      <c r="P1" s="993"/>
      <c r="Q1" s="994"/>
      <c r="R1" s="994"/>
      <c r="S1" s="994"/>
      <c r="T1" s="994"/>
      <c r="U1" s="994"/>
      <c r="V1" s="994"/>
      <c r="W1" s="994"/>
      <c r="X1" s="994"/>
      <c r="Y1" s="994"/>
      <c r="Z1" s="994"/>
      <c r="AA1" s="994"/>
      <c r="AB1" s="994"/>
      <c r="AC1" s="994"/>
      <c r="AD1" s="994"/>
      <c r="AE1" s="994"/>
      <c r="AF1" s="994"/>
      <c r="AG1" s="994"/>
      <c r="AH1" s="994"/>
      <c r="AI1" s="994"/>
      <c r="AJ1" s="994"/>
      <c r="AK1" s="994"/>
      <c r="AL1" s="994"/>
      <c r="AM1" s="994"/>
      <c r="AN1" s="994"/>
      <c r="AO1" s="994"/>
    </row>
    <row r="2" spans="1:41" s="26" customFormat="1" ht="20.25">
      <c r="A2" s="327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445"/>
      <c r="X2" s="167"/>
      <c r="Y2" s="167"/>
      <c r="AO2" s="652" t="s">
        <v>246</v>
      </c>
    </row>
    <row r="3" spans="1:41" s="26" customFormat="1" ht="16.5" customHeight="1">
      <c r="A3" s="327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445"/>
      <c r="X3" s="167"/>
      <c r="Y3" s="167"/>
      <c r="AO3" s="655" t="s">
        <v>438</v>
      </c>
    </row>
    <row r="4" spans="1:41" s="26" customFormat="1" ht="20.25">
      <c r="A4" s="327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445"/>
      <c r="X4" s="167"/>
      <c r="Y4" s="167"/>
      <c r="AO4" s="653" t="s">
        <v>437</v>
      </c>
    </row>
    <row r="5" spans="1:41" s="26" customFormat="1" ht="20.25">
      <c r="A5" s="327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255"/>
      <c r="N5" s="91"/>
      <c r="O5" s="91"/>
      <c r="P5" s="445"/>
      <c r="X5" s="167"/>
      <c r="Y5" s="167"/>
      <c r="AO5" s="395" t="s">
        <v>92</v>
      </c>
    </row>
    <row r="6" spans="1:41" ht="63.75" customHeight="1">
      <c r="A6" s="940" t="s">
        <v>3</v>
      </c>
      <c r="B6" s="940" t="s">
        <v>4</v>
      </c>
      <c r="C6" s="874" t="s">
        <v>6</v>
      </c>
      <c r="D6" s="874" t="s">
        <v>14</v>
      </c>
      <c r="E6" s="941" t="s">
        <v>5</v>
      </c>
      <c r="F6" s="942"/>
      <c r="G6" s="874" t="s">
        <v>1</v>
      </c>
      <c r="H6" s="874" t="s">
        <v>2</v>
      </c>
      <c r="I6" s="874" t="s">
        <v>0</v>
      </c>
      <c r="J6" s="874" t="s">
        <v>51</v>
      </c>
      <c r="K6" s="874" t="s">
        <v>52</v>
      </c>
      <c r="L6" s="867" t="s">
        <v>382</v>
      </c>
      <c r="M6" s="871" t="s">
        <v>8</v>
      </c>
      <c r="N6" s="872"/>
      <c r="O6" s="873"/>
      <c r="P6" s="797" t="s">
        <v>349</v>
      </c>
      <c r="Q6" s="846"/>
      <c r="R6" s="849" t="s">
        <v>67</v>
      </c>
      <c r="S6" s="850"/>
      <c r="T6" s="853" t="s">
        <v>68</v>
      </c>
      <c r="U6" s="854"/>
      <c r="V6" s="853" t="s">
        <v>69</v>
      </c>
      <c r="W6" s="854"/>
      <c r="X6" s="849" t="s">
        <v>70</v>
      </c>
      <c r="Y6" s="850"/>
      <c r="Z6" s="853" t="s">
        <v>71</v>
      </c>
      <c r="AA6" s="860"/>
      <c r="AB6" s="860"/>
      <c r="AC6" s="861"/>
      <c r="AD6" s="862"/>
      <c r="AE6" s="797" t="s">
        <v>72</v>
      </c>
      <c r="AF6" s="798"/>
      <c r="AG6" s="798"/>
      <c r="AH6" s="798"/>
      <c r="AI6" s="799"/>
      <c r="AJ6" s="857" t="s">
        <v>73</v>
      </c>
      <c r="AK6" s="903" t="s">
        <v>74</v>
      </c>
      <c r="AL6" s="904"/>
      <c r="AM6" s="904"/>
      <c r="AN6" s="905"/>
      <c r="AO6" s="841" t="s">
        <v>75</v>
      </c>
    </row>
    <row r="7" spans="1:41" ht="15.75" customHeight="1">
      <c r="A7" s="940"/>
      <c r="B7" s="940"/>
      <c r="C7" s="875"/>
      <c r="D7" s="875"/>
      <c r="E7" s="943"/>
      <c r="F7" s="944"/>
      <c r="G7" s="875"/>
      <c r="H7" s="875"/>
      <c r="I7" s="875"/>
      <c r="J7" s="875"/>
      <c r="K7" s="875"/>
      <c r="L7" s="819"/>
      <c r="M7" s="514" t="s">
        <v>86</v>
      </c>
      <c r="N7" s="858" t="s">
        <v>262</v>
      </c>
      <c r="O7" s="869">
        <v>2021</v>
      </c>
      <c r="P7" s="847"/>
      <c r="Q7" s="848"/>
      <c r="R7" s="851"/>
      <c r="S7" s="852"/>
      <c r="T7" s="855"/>
      <c r="U7" s="856"/>
      <c r="V7" s="855"/>
      <c r="W7" s="856"/>
      <c r="X7" s="851"/>
      <c r="Y7" s="852"/>
      <c r="Z7" s="863"/>
      <c r="AA7" s="864"/>
      <c r="AB7" s="864"/>
      <c r="AC7" s="865"/>
      <c r="AD7" s="866"/>
      <c r="AE7" s="800"/>
      <c r="AF7" s="801"/>
      <c r="AG7" s="801"/>
      <c r="AH7" s="801"/>
      <c r="AI7" s="802"/>
      <c r="AJ7" s="858"/>
      <c r="AK7" s="844" t="s">
        <v>76</v>
      </c>
      <c r="AL7" s="844" t="s">
        <v>77</v>
      </c>
      <c r="AM7" s="845" t="s">
        <v>78</v>
      </c>
      <c r="AN7" s="845"/>
      <c r="AO7" s="842"/>
    </row>
    <row r="8" spans="1:41" ht="33" customHeight="1">
      <c r="A8" s="940"/>
      <c r="B8" s="940"/>
      <c r="C8" s="876"/>
      <c r="D8" s="876"/>
      <c r="E8" s="13" t="s">
        <v>64</v>
      </c>
      <c r="F8" s="13" t="s">
        <v>65</v>
      </c>
      <c r="G8" s="876"/>
      <c r="H8" s="876"/>
      <c r="I8" s="876"/>
      <c r="J8" s="876"/>
      <c r="K8" s="876"/>
      <c r="L8" s="868"/>
      <c r="M8" s="513" t="s">
        <v>90</v>
      </c>
      <c r="N8" s="859"/>
      <c r="O8" s="870"/>
      <c r="P8" s="458" t="s">
        <v>79</v>
      </c>
      <c r="Q8" s="65" t="s">
        <v>80</v>
      </c>
      <c r="R8" s="367" t="s">
        <v>81</v>
      </c>
      <c r="S8" s="367" t="s">
        <v>82</v>
      </c>
      <c r="T8" s="65" t="s">
        <v>81</v>
      </c>
      <c r="U8" s="65" t="s">
        <v>82</v>
      </c>
      <c r="V8" s="65" t="s">
        <v>83</v>
      </c>
      <c r="W8" s="65" t="s">
        <v>82</v>
      </c>
      <c r="X8" s="367" t="s">
        <v>83</v>
      </c>
      <c r="Y8" s="367" t="s">
        <v>82</v>
      </c>
      <c r="Z8" s="65" t="s">
        <v>339</v>
      </c>
      <c r="AA8" s="65" t="s">
        <v>256</v>
      </c>
      <c r="AB8" s="65" t="s">
        <v>268</v>
      </c>
      <c r="AC8" s="65" t="s">
        <v>278</v>
      </c>
      <c r="AD8" s="65" t="s">
        <v>279</v>
      </c>
      <c r="AE8" s="657" t="s">
        <v>340</v>
      </c>
      <c r="AF8" s="438" t="s">
        <v>254</v>
      </c>
      <c r="AG8" s="462" t="s">
        <v>255</v>
      </c>
      <c r="AH8" s="471" t="s">
        <v>278</v>
      </c>
      <c r="AI8" s="503" t="s">
        <v>279</v>
      </c>
      <c r="AJ8" s="859"/>
      <c r="AK8" s="844"/>
      <c r="AL8" s="844"/>
      <c r="AM8" s="68" t="s">
        <v>84</v>
      </c>
      <c r="AN8" s="68" t="s">
        <v>85</v>
      </c>
      <c r="AO8" s="843"/>
    </row>
    <row r="9" spans="1:41" ht="15.75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3</v>
      </c>
      <c r="J9" s="14"/>
      <c r="K9" s="14"/>
      <c r="L9" s="14">
        <v>4</v>
      </c>
      <c r="M9" s="14">
        <v>17</v>
      </c>
      <c r="N9" s="14">
        <v>18</v>
      </c>
      <c r="O9" s="14">
        <v>19</v>
      </c>
      <c r="P9" s="449">
        <v>5</v>
      </c>
      <c r="Q9" s="69">
        <v>6</v>
      </c>
      <c r="R9" s="361">
        <v>7</v>
      </c>
      <c r="S9" s="361">
        <v>6</v>
      </c>
      <c r="T9" s="69">
        <v>9</v>
      </c>
      <c r="U9" s="69">
        <v>10</v>
      </c>
      <c r="V9" s="69">
        <v>11</v>
      </c>
      <c r="W9" s="69">
        <v>12</v>
      </c>
      <c r="X9" s="381">
        <v>13</v>
      </c>
      <c r="Y9" s="382">
        <v>14</v>
      </c>
      <c r="Z9" s="69">
        <v>7</v>
      </c>
      <c r="AA9" s="69">
        <v>8</v>
      </c>
      <c r="AB9" s="69">
        <v>17</v>
      </c>
      <c r="AC9" s="69">
        <v>18</v>
      </c>
      <c r="AD9" s="69">
        <v>16</v>
      </c>
      <c r="AE9" s="69">
        <v>9</v>
      </c>
      <c r="AF9" s="69">
        <v>10</v>
      </c>
      <c r="AG9" s="69">
        <v>19</v>
      </c>
      <c r="AH9" s="69">
        <v>20</v>
      </c>
      <c r="AI9" s="69">
        <v>18</v>
      </c>
      <c r="AJ9" s="69">
        <v>11</v>
      </c>
      <c r="AK9" s="69">
        <v>12</v>
      </c>
      <c r="AL9" s="69">
        <v>13</v>
      </c>
      <c r="AM9" s="69">
        <v>14</v>
      </c>
      <c r="AN9" s="69">
        <v>15</v>
      </c>
      <c r="AO9" s="69">
        <v>16</v>
      </c>
    </row>
    <row r="10" spans="1:41" ht="15.75">
      <c r="A10" s="328"/>
      <c r="B10" s="959" t="s">
        <v>11</v>
      </c>
      <c r="C10" s="960"/>
      <c r="D10" s="960"/>
      <c r="E10" s="960"/>
      <c r="F10" s="961"/>
      <c r="G10" s="88"/>
      <c r="H10" s="88"/>
      <c r="I10" s="89"/>
      <c r="J10" s="90">
        <f>J11+J12+J13+J14</f>
        <v>2076103.03</v>
      </c>
      <c r="K10" s="90">
        <f>K11+K12+K13+K14</f>
        <v>1024515.6399999999</v>
      </c>
      <c r="L10" s="90">
        <f>L11+L12+L13+L14</f>
        <v>2884846.3600000003</v>
      </c>
      <c r="M10" s="90">
        <f t="shared" ref="M10:O10" si="0">M11+M12+M13+M14</f>
        <v>1196941.76</v>
      </c>
      <c r="N10" s="90">
        <f>N11+N12+N13+N14</f>
        <v>991394.88</v>
      </c>
      <c r="O10" s="90">
        <f t="shared" si="0"/>
        <v>699782.19</v>
      </c>
      <c r="P10" s="90">
        <f t="shared" ref="P10" si="1">P11+P12+P13+P14</f>
        <v>273050.69</v>
      </c>
      <c r="Q10" s="90">
        <f>Q11+Q12+Q13+Q14</f>
        <v>381007.49235000007</v>
      </c>
      <c r="R10" s="90">
        <f t="shared" ref="R10:AN10" si="2">R11+R12+R13+R14</f>
        <v>77923.883999999991</v>
      </c>
      <c r="S10" s="90">
        <f t="shared" si="2"/>
        <v>77923.883999999991</v>
      </c>
      <c r="T10" s="90">
        <f t="shared" si="2"/>
        <v>123728.318</v>
      </c>
      <c r="U10" s="90">
        <f t="shared" si="2"/>
        <v>123760.71799999999</v>
      </c>
      <c r="V10" s="90">
        <f t="shared" si="2"/>
        <v>114227.00535000001</v>
      </c>
      <c r="W10" s="90">
        <f t="shared" si="2"/>
        <v>114227.00535000001</v>
      </c>
      <c r="X10" s="90">
        <f t="shared" si="2"/>
        <v>120.53999999999999</v>
      </c>
      <c r="Y10" s="90">
        <f t="shared" si="2"/>
        <v>60017.91399999999</v>
      </c>
      <c r="Z10" s="90">
        <f>Z11+Z12+Z13+Z14</f>
        <v>224183.61212000001</v>
      </c>
      <c r="AA10" s="90">
        <f>AA11+AA12+AA13+AA14</f>
        <v>25119.235999999997</v>
      </c>
      <c r="AB10" s="90">
        <f>AB11+AB12+AB13+AB14</f>
        <v>42704.012999999999</v>
      </c>
      <c r="AC10" s="90">
        <f t="shared" ref="AC10:AD10" si="3">AC11+AC12+AC13+AC14</f>
        <v>105621.69512</v>
      </c>
      <c r="AD10" s="90">
        <f t="shared" si="3"/>
        <v>46686.202999999994</v>
      </c>
      <c r="AE10" s="90">
        <f>AE11+AE12+AE13+AE14</f>
        <v>0</v>
      </c>
      <c r="AF10" s="90">
        <f>AF11+AF12+AF13+AF14</f>
        <v>0</v>
      </c>
      <c r="AG10" s="90">
        <f t="shared" ref="AG10:AI10" si="4">AG11+AG12+AG13+AG14</f>
        <v>0</v>
      </c>
      <c r="AH10" s="90">
        <f t="shared" si="4"/>
        <v>0</v>
      </c>
      <c r="AI10" s="90">
        <f t="shared" si="4"/>
        <v>0</v>
      </c>
      <c r="AJ10" s="90">
        <f>AJ11+AJ12+AJ13+AJ14</f>
        <v>113229.22799999999</v>
      </c>
      <c r="AK10" s="90">
        <f t="shared" si="2"/>
        <v>113229.22799999999</v>
      </c>
      <c r="AL10" s="90">
        <f>ROUND((Q10*100%/P10*100),2)</f>
        <v>139.54</v>
      </c>
      <c r="AM10" s="90">
        <f t="shared" si="2"/>
        <v>0</v>
      </c>
      <c r="AN10" s="90">
        <f t="shared" si="2"/>
        <v>0</v>
      </c>
      <c r="AO10" s="400"/>
    </row>
    <row r="11" spans="1:41" ht="59.25" customHeight="1">
      <c r="A11" s="968"/>
      <c r="B11" s="969"/>
      <c r="C11" s="969"/>
      <c r="D11" s="969"/>
      <c r="E11" s="969"/>
      <c r="F11" s="969"/>
      <c r="G11" s="969"/>
      <c r="H11" s="970"/>
      <c r="I11" s="15" t="s">
        <v>19</v>
      </c>
      <c r="J11" s="16">
        <f t="shared" ref="J11:AK11" si="5">J17+J177</f>
        <v>1142546.5</v>
      </c>
      <c r="K11" s="16">
        <f t="shared" si="5"/>
        <v>322311.91999999993</v>
      </c>
      <c r="L11" s="16">
        <f t="shared" si="5"/>
        <v>886119.42</v>
      </c>
      <c r="M11" s="16">
        <f t="shared" si="5"/>
        <v>159344.47</v>
      </c>
      <c r="N11" s="16">
        <f t="shared" si="5"/>
        <v>132821.32999999999</v>
      </c>
      <c r="O11" s="16">
        <f t="shared" si="5"/>
        <v>117361.59000000001</v>
      </c>
      <c r="P11" s="16">
        <f t="shared" si="5"/>
        <v>185102.85</v>
      </c>
      <c r="Q11" s="16">
        <f t="shared" si="5"/>
        <v>6970.7150000000001</v>
      </c>
      <c r="R11" s="16">
        <f t="shared" si="5"/>
        <v>4135.3810000000003</v>
      </c>
      <c r="S11" s="16">
        <f t="shared" si="5"/>
        <v>4135.3810000000003</v>
      </c>
      <c r="T11" s="16">
        <f t="shared" si="5"/>
        <v>2684.2050000000004</v>
      </c>
      <c r="U11" s="16">
        <f t="shared" si="5"/>
        <v>2684.2050000000004</v>
      </c>
      <c r="V11" s="16">
        <f t="shared" si="5"/>
        <v>0</v>
      </c>
      <c r="W11" s="16">
        <f t="shared" si="5"/>
        <v>0</v>
      </c>
      <c r="X11" s="16">
        <f t="shared" si="5"/>
        <v>27.54</v>
      </c>
      <c r="Y11" s="16">
        <f t="shared" si="5"/>
        <v>151.12899999999999</v>
      </c>
      <c r="Z11" s="16">
        <f t="shared" si="5"/>
        <v>3628.4970000000003</v>
      </c>
      <c r="AA11" s="16">
        <f t="shared" si="5"/>
        <v>3463.4070000000002</v>
      </c>
      <c r="AB11" s="16">
        <f t="shared" si="5"/>
        <v>0</v>
      </c>
      <c r="AC11" s="16">
        <f t="shared" si="5"/>
        <v>37.799999999999997</v>
      </c>
      <c r="AD11" s="16">
        <f t="shared" si="5"/>
        <v>127.28999999999999</v>
      </c>
      <c r="AE11" s="16">
        <f t="shared" si="5"/>
        <v>0</v>
      </c>
      <c r="AF11" s="16">
        <f t="shared" si="5"/>
        <v>0</v>
      </c>
      <c r="AG11" s="16">
        <f t="shared" si="5"/>
        <v>0</v>
      </c>
      <c r="AH11" s="16">
        <f t="shared" si="5"/>
        <v>0</v>
      </c>
      <c r="AI11" s="16">
        <f t="shared" si="5"/>
        <v>0</v>
      </c>
      <c r="AJ11" s="16">
        <f t="shared" si="5"/>
        <v>148023.53899999999</v>
      </c>
      <c r="AK11" s="16">
        <f t="shared" si="5"/>
        <v>148023.53899999999</v>
      </c>
      <c r="AL11" s="388">
        <f>ROUND((Q11*100%/P11*100),2)</f>
        <v>3.77</v>
      </c>
      <c r="AM11" s="16">
        <f t="shared" ref="AM11:AN14" si="6">AM17+AM177</f>
        <v>0</v>
      </c>
      <c r="AN11" s="16">
        <f t="shared" si="6"/>
        <v>0</v>
      </c>
      <c r="AO11" s="401"/>
    </row>
    <row r="12" spans="1:41" ht="44.25" customHeight="1">
      <c r="A12" s="971"/>
      <c r="B12" s="972"/>
      <c r="C12" s="972"/>
      <c r="D12" s="972"/>
      <c r="E12" s="972"/>
      <c r="F12" s="972"/>
      <c r="G12" s="972"/>
      <c r="H12" s="973"/>
      <c r="I12" s="15" t="s">
        <v>20</v>
      </c>
      <c r="J12" s="16">
        <f t="shared" ref="J12:AK12" si="7">J18+J178</f>
        <v>207935.45</v>
      </c>
      <c r="K12" s="16">
        <f t="shared" si="7"/>
        <v>0</v>
      </c>
      <c r="L12" s="16">
        <f t="shared" si="7"/>
        <v>626638.76</v>
      </c>
      <c r="M12" s="16">
        <f t="shared" si="7"/>
        <v>60774.350000000006</v>
      </c>
      <c r="N12" s="16">
        <f t="shared" si="7"/>
        <v>134872.99000000002</v>
      </c>
      <c r="O12" s="16">
        <f t="shared" si="7"/>
        <v>91691.959999999992</v>
      </c>
      <c r="P12" s="16">
        <f t="shared" si="7"/>
        <v>87947.839999999997</v>
      </c>
      <c r="Q12" s="16">
        <f t="shared" si="7"/>
        <v>49637.396000000001</v>
      </c>
      <c r="R12" s="16">
        <f t="shared" si="7"/>
        <v>14950.846</v>
      </c>
      <c r="S12" s="16">
        <f t="shared" si="7"/>
        <v>14950.846</v>
      </c>
      <c r="T12" s="16">
        <f t="shared" si="7"/>
        <v>24553.193000000003</v>
      </c>
      <c r="U12" s="16">
        <f t="shared" si="7"/>
        <v>24585.593000000001</v>
      </c>
      <c r="V12" s="16">
        <f t="shared" si="7"/>
        <v>3340.33</v>
      </c>
      <c r="W12" s="16">
        <f t="shared" si="7"/>
        <v>3340.33</v>
      </c>
      <c r="X12" s="16">
        <f t="shared" si="7"/>
        <v>93</v>
      </c>
      <c r="Y12" s="16">
        <f t="shared" si="7"/>
        <v>1682.6559999999999</v>
      </c>
      <c r="Z12" s="16">
        <f t="shared" si="7"/>
        <v>15858.314000000002</v>
      </c>
      <c r="AA12" s="16">
        <f t="shared" si="7"/>
        <v>632.49599999999998</v>
      </c>
      <c r="AB12" s="16">
        <f t="shared" si="7"/>
        <v>4198.7780000000002</v>
      </c>
      <c r="AC12" s="16">
        <f t="shared" si="7"/>
        <v>5291.9189999999999</v>
      </c>
      <c r="AD12" s="16">
        <f t="shared" si="7"/>
        <v>1682.6559999999999</v>
      </c>
      <c r="AE12" s="16">
        <f t="shared" si="7"/>
        <v>0</v>
      </c>
      <c r="AF12" s="16">
        <f t="shared" si="7"/>
        <v>0</v>
      </c>
      <c r="AG12" s="16">
        <f t="shared" si="7"/>
        <v>0</v>
      </c>
      <c r="AH12" s="16">
        <f t="shared" si="7"/>
        <v>0</v>
      </c>
      <c r="AI12" s="16">
        <f t="shared" si="7"/>
        <v>0</v>
      </c>
      <c r="AJ12" s="16">
        <f t="shared" si="7"/>
        <v>-34780.811000000002</v>
      </c>
      <c r="AK12" s="16">
        <f t="shared" si="7"/>
        <v>-34780.811000000002</v>
      </c>
      <c r="AL12" s="388">
        <f>ROUND((Q12*100%/P12*100),2)</f>
        <v>56.44</v>
      </c>
      <c r="AM12" s="16">
        <f t="shared" si="6"/>
        <v>0</v>
      </c>
      <c r="AN12" s="16">
        <f t="shared" si="6"/>
        <v>0</v>
      </c>
      <c r="AO12" s="401"/>
    </row>
    <row r="13" spans="1:41" ht="25.5" customHeight="1">
      <c r="A13" s="971"/>
      <c r="B13" s="972"/>
      <c r="C13" s="972"/>
      <c r="D13" s="972"/>
      <c r="E13" s="972"/>
      <c r="F13" s="972"/>
      <c r="G13" s="972"/>
      <c r="H13" s="973"/>
      <c r="I13" s="15" t="s">
        <v>10</v>
      </c>
      <c r="J13" s="16">
        <f t="shared" ref="J13:AK13" si="8">J19+J179</f>
        <v>23417.360000000001</v>
      </c>
      <c r="K13" s="16">
        <f t="shared" si="8"/>
        <v>0</v>
      </c>
      <c r="L13" s="16">
        <f t="shared" si="8"/>
        <v>826673.89</v>
      </c>
      <c r="M13" s="16">
        <f t="shared" si="8"/>
        <v>627881.75</v>
      </c>
      <c r="N13" s="16">
        <f t="shared" si="8"/>
        <v>527227.44999999995</v>
      </c>
      <c r="O13" s="16">
        <f t="shared" si="8"/>
        <v>490727.64</v>
      </c>
      <c r="P13" s="16">
        <f t="shared" si="8"/>
        <v>0</v>
      </c>
      <c r="Q13" s="16">
        <f t="shared" si="8"/>
        <v>286585.05735000002</v>
      </c>
      <c r="R13" s="16">
        <f t="shared" si="8"/>
        <v>21023.332999999999</v>
      </c>
      <c r="S13" s="16">
        <f t="shared" si="8"/>
        <v>21023.332999999999</v>
      </c>
      <c r="T13" s="16">
        <f t="shared" si="8"/>
        <v>96490.92</v>
      </c>
      <c r="U13" s="16">
        <f t="shared" si="8"/>
        <v>96490.92</v>
      </c>
      <c r="V13" s="16">
        <f t="shared" si="8"/>
        <v>110886.67535</v>
      </c>
      <c r="W13" s="16">
        <f t="shared" si="8"/>
        <v>110886.67535</v>
      </c>
      <c r="X13" s="16">
        <f t="shared" si="8"/>
        <v>0</v>
      </c>
      <c r="Y13" s="16">
        <f t="shared" si="8"/>
        <v>58184.128999999994</v>
      </c>
      <c r="Z13" s="16">
        <f t="shared" si="8"/>
        <v>204696.80111999999</v>
      </c>
      <c r="AA13" s="16">
        <f t="shared" si="8"/>
        <v>21023.332999999999</v>
      </c>
      <c r="AB13" s="16">
        <f t="shared" si="8"/>
        <v>38505.235000000001</v>
      </c>
      <c r="AC13" s="16">
        <f t="shared" si="8"/>
        <v>100291.97612000001</v>
      </c>
      <c r="AD13" s="16">
        <f t="shared" si="8"/>
        <v>44876.256999999998</v>
      </c>
      <c r="AE13" s="16">
        <f t="shared" si="8"/>
        <v>0</v>
      </c>
      <c r="AF13" s="16">
        <f t="shared" si="8"/>
        <v>0</v>
      </c>
      <c r="AG13" s="16">
        <f t="shared" si="8"/>
        <v>0</v>
      </c>
      <c r="AH13" s="16">
        <f t="shared" si="8"/>
        <v>0</v>
      </c>
      <c r="AI13" s="16">
        <f t="shared" si="8"/>
        <v>0</v>
      </c>
      <c r="AJ13" s="16">
        <f t="shared" si="8"/>
        <v>-13.5</v>
      </c>
      <c r="AK13" s="16">
        <f t="shared" si="8"/>
        <v>-13.5</v>
      </c>
      <c r="AL13" s="388">
        <v>0</v>
      </c>
      <c r="AM13" s="16">
        <f t="shared" si="6"/>
        <v>0</v>
      </c>
      <c r="AN13" s="16">
        <f t="shared" si="6"/>
        <v>0</v>
      </c>
      <c r="AO13" s="401"/>
    </row>
    <row r="14" spans="1:41" ht="25.5">
      <c r="A14" s="974"/>
      <c r="B14" s="975"/>
      <c r="C14" s="975"/>
      <c r="D14" s="975"/>
      <c r="E14" s="975"/>
      <c r="F14" s="975"/>
      <c r="G14" s="975"/>
      <c r="H14" s="976"/>
      <c r="I14" s="15" t="s">
        <v>9</v>
      </c>
      <c r="J14" s="16">
        <f t="shared" ref="J14:AK14" si="9">J20+J180</f>
        <v>702203.72</v>
      </c>
      <c r="K14" s="16">
        <f t="shared" si="9"/>
        <v>702203.72</v>
      </c>
      <c r="L14" s="16">
        <f t="shared" si="9"/>
        <v>545414.29</v>
      </c>
      <c r="M14" s="16">
        <f t="shared" si="9"/>
        <v>348941.19</v>
      </c>
      <c r="N14" s="16">
        <f t="shared" si="9"/>
        <v>196473.11</v>
      </c>
      <c r="O14" s="16">
        <f t="shared" si="9"/>
        <v>1</v>
      </c>
      <c r="P14" s="16">
        <f t="shared" si="9"/>
        <v>0</v>
      </c>
      <c r="Q14" s="16">
        <f t="shared" si="9"/>
        <v>37814.324000000001</v>
      </c>
      <c r="R14" s="16">
        <f t="shared" si="9"/>
        <v>37814.324000000001</v>
      </c>
      <c r="S14" s="16">
        <f t="shared" si="9"/>
        <v>37814.324000000001</v>
      </c>
      <c r="T14" s="16">
        <f t="shared" si="9"/>
        <v>0</v>
      </c>
      <c r="U14" s="16">
        <f t="shared" si="9"/>
        <v>0</v>
      </c>
      <c r="V14" s="16">
        <f t="shared" si="9"/>
        <v>0</v>
      </c>
      <c r="W14" s="16">
        <f t="shared" si="9"/>
        <v>0</v>
      </c>
      <c r="X14" s="16">
        <f t="shared" si="9"/>
        <v>0</v>
      </c>
      <c r="Y14" s="16">
        <f t="shared" si="9"/>
        <v>0</v>
      </c>
      <c r="Z14" s="16">
        <f t="shared" si="9"/>
        <v>0</v>
      </c>
      <c r="AA14" s="16">
        <f t="shared" si="9"/>
        <v>0</v>
      </c>
      <c r="AB14" s="16">
        <f t="shared" si="9"/>
        <v>0</v>
      </c>
      <c r="AC14" s="16">
        <f t="shared" si="9"/>
        <v>0</v>
      </c>
      <c r="AD14" s="16">
        <f t="shared" si="9"/>
        <v>0</v>
      </c>
      <c r="AE14" s="16">
        <f t="shared" si="9"/>
        <v>0</v>
      </c>
      <c r="AF14" s="16">
        <f t="shared" si="9"/>
        <v>0</v>
      </c>
      <c r="AG14" s="16">
        <f t="shared" si="9"/>
        <v>0</v>
      </c>
      <c r="AH14" s="16">
        <f t="shared" si="9"/>
        <v>0</v>
      </c>
      <c r="AI14" s="16">
        <f t="shared" si="9"/>
        <v>0</v>
      </c>
      <c r="AJ14" s="16">
        <f t="shared" si="9"/>
        <v>0</v>
      </c>
      <c r="AK14" s="16">
        <f t="shared" si="9"/>
        <v>0</v>
      </c>
      <c r="AL14" s="388">
        <v>0</v>
      </c>
      <c r="AM14" s="16">
        <f t="shared" si="6"/>
        <v>0</v>
      </c>
      <c r="AN14" s="16">
        <f t="shared" si="6"/>
        <v>0</v>
      </c>
      <c r="AO14" s="401"/>
    </row>
    <row r="15" spans="1:41" ht="15.75">
      <c r="A15" s="962" t="s">
        <v>12</v>
      </c>
      <c r="B15" s="963"/>
      <c r="C15" s="963"/>
      <c r="D15" s="963"/>
      <c r="E15" s="963"/>
      <c r="F15" s="963"/>
      <c r="G15" s="963"/>
      <c r="H15" s="964"/>
      <c r="I15" s="17"/>
      <c r="J15" s="17"/>
      <c r="K15" s="17"/>
      <c r="L15" s="18"/>
      <c r="M15" s="18"/>
      <c r="N15" s="18"/>
      <c r="O15" s="18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402"/>
    </row>
    <row r="16" spans="1:41" ht="15.75">
      <c r="A16" s="977"/>
      <c r="B16" s="978"/>
      <c r="C16" s="978"/>
      <c r="D16" s="978"/>
      <c r="E16" s="978"/>
      <c r="F16" s="978"/>
      <c r="G16" s="978"/>
      <c r="H16" s="979"/>
      <c r="I16" s="19" t="s">
        <v>348</v>
      </c>
      <c r="J16" s="20">
        <f t="shared" ref="J16" si="10">J17+J18+J19+J20</f>
        <v>1909326.1</v>
      </c>
      <c r="K16" s="20">
        <f t="shared" ref="K16" si="11">K17+K18+K19+K20</f>
        <v>999161.53999999992</v>
      </c>
      <c r="L16" s="20">
        <f>L17+L18+L19+L20</f>
        <v>1551752.7000000002</v>
      </c>
      <c r="M16" s="20">
        <f t="shared" ref="M16:P16" si="12">M17+M18+M19+M20</f>
        <v>625915.28</v>
      </c>
      <c r="N16" s="20">
        <f t="shared" si="12"/>
        <v>377055.69999999995</v>
      </c>
      <c r="O16" s="20">
        <f t="shared" si="12"/>
        <v>125525.52</v>
      </c>
      <c r="P16" s="47">
        <f t="shared" si="12"/>
        <v>167554.31</v>
      </c>
      <c r="Q16" s="47">
        <f t="shared" ref="Q16:AN16" si="13">Q17+Q18+Q19+Q20</f>
        <v>141064.66899999999</v>
      </c>
      <c r="R16" s="47">
        <f t="shared" si="13"/>
        <v>52208.865000000005</v>
      </c>
      <c r="S16" s="47">
        <f t="shared" si="13"/>
        <v>52208.865000000005</v>
      </c>
      <c r="T16" s="47">
        <f t="shared" si="13"/>
        <v>85313.67</v>
      </c>
      <c r="U16" s="47">
        <f t="shared" si="13"/>
        <v>85313.67</v>
      </c>
      <c r="V16" s="47">
        <f t="shared" si="13"/>
        <v>2024.52</v>
      </c>
      <c r="W16" s="47">
        <f t="shared" si="13"/>
        <v>2024.52</v>
      </c>
      <c r="X16" s="47">
        <f t="shared" si="13"/>
        <v>48</v>
      </c>
      <c r="Y16" s="47">
        <f t="shared" si="13"/>
        <v>1517.616</v>
      </c>
      <c r="Z16" s="47">
        <f t="shared" si="13"/>
        <v>6064.22</v>
      </c>
      <c r="AA16" s="47">
        <f t="shared" si="13"/>
        <v>698.82600000000002</v>
      </c>
      <c r="AB16" s="47">
        <f t="shared" si="13"/>
        <v>1679.596</v>
      </c>
      <c r="AC16" s="47">
        <f t="shared" ref="AC16:AD16" si="14">AC17+AC18+AC19+AC20</f>
        <v>3943.7089999999998</v>
      </c>
      <c r="AD16" s="47">
        <f t="shared" si="14"/>
        <v>1493.777</v>
      </c>
      <c r="AE16" s="47">
        <f t="shared" si="13"/>
        <v>0</v>
      </c>
      <c r="AF16" s="47">
        <f t="shared" ref="AF16" si="15">AF17+AF18+AF19+AF20</f>
        <v>0</v>
      </c>
      <c r="AG16" s="47">
        <f t="shared" ref="AG16:AI16" si="16">AG17+AG18+AG19+AG20</f>
        <v>0</v>
      </c>
      <c r="AH16" s="47">
        <f t="shared" si="16"/>
        <v>0</v>
      </c>
      <c r="AI16" s="47">
        <f t="shared" si="16"/>
        <v>0</v>
      </c>
      <c r="AJ16" s="47">
        <f t="shared" si="13"/>
        <v>135986.38</v>
      </c>
      <c r="AK16" s="47">
        <f t="shared" si="13"/>
        <v>135986.38</v>
      </c>
      <c r="AL16" s="47">
        <f t="shared" si="13"/>
        <v>210.64999999999998</v>
      </c>
      <c r="AM16" s="47">
        <f t="shared" si="13"/>
        <v>0</v>
      </c>
      <c r="AN16" s="47">
        <f t="shared" si="13"/>
        <v>0</v>
      </c>
      <c r="AO16" s="403"/>
    </row>
    <row r="17" spans="1:41" ht="53.25" customHeight="1">
      <c r="A17" s="980"/>
      <c r="B17" s="981"/>
      <c r="C17" s="981"/>
      <c r="D17" s="981"/>
      <c r="E17" s="981"/>
      <c r="F17" s="981"/>
      <c r="G17" s="981"/>
      <c r="H17" s="982"/>
      <c r="I17" s="15" t="s">
        <v>19</v>
      </c>
      <c r="J17" s="16">
        <f t="shared" ref="J17:AN17" si="17">J21+J152</f>
        <v>989659.6</v>
      </c>
      <c r="K17" s="16">
        <f t="shared" si="17"/>
        <v>296957.81999999995</v>
      </c>
      <c r="L17" s="16">
        <f t="shared" si="17"/>
        <v>605271.59</v>
      </c>
      <c r="M17" s="16">
        <f t="shared" si="17"/>
        <v>116901.34999999999</v>
      </c>
      <c r="N17" s="16">
        <f t="shared" si="17"/>
        <v>97490.169999999984</v>
      </c>
      <c r="O17" s="16">
        <f t="shared" si="17"/>
        <v>87829.650000000009</v>
      </c>
      <c r="P17" s="47">
        <f t="shared" si="17"/>
        <v>129338.56</v>
      </c>
      <c r="Q17" s="22">
        <f t="shared" si="17"/>
        <v>508.29799999999994</v>
      </c>
      <c r="R17" s="22">
        <f t="shared" si="17"/>
        <v>384.70899999999995</v>
      </c>
      <c r="S17" s="22">
        <f t="shared" si="17"/>
        <v>384.70899999999995</v>
      </c>
      <c r="T17" s="22">
        <f t="shared" si="17"/>
        <v>0</v>
      </c>
      <c r="U17" s="22">
        <f t="shared" si="17"/>
        <v>0</v>
      </c>
      <c r="V17" s="22">
        <f t="shared" si="17"/>
        <v>0</v>
      </c>
      <c r="W17" s="22">
        <f t="shared" si="17"/>
        <v>0</v>
      </c>
      <c r="X17" s="22">
        <f t="shared" si="17"/>
        <v>0</v>
      </c>
      <c r="Y17" s="22">
        <f t="shared" si="17"/>
        <v>123.589</v>
      </c>
      <c r="Z17" s="22">
        <f t="shared" si="17"/>
        <v>166.07999999999998</v>
      </c>
      <c r="AA17" s="22">
        <f t="shared" si="17"/>
        <v>66.33</v>
      </c>
      <c r="AB17" s="22">
        <f t="shared" si="17"/>
        <v>0</v>
      </c>
      <c r="AC17" s="22">
        <f t="shared" si="17"/>
        <v>0</v>
      </c>
      <c r="AD17" s="22">
        <f t="shared" si="17"/>
        <v>99.75</v>
      </c>
      <c r="AE17" s="22">
        <f t="shared" si="17"/>
        <v>0</v>
      </c>
      <c r="AF17" s="22">
        <f t="shared" si="17"/>
        <v>0</v>
      </c>
      <c r="AG17" s="22">
        <f t="shared" si="17"/>
        <v>0</v>
      </c>
      <c r="AH17" s="22">
        <f t="shared" si="17"/>
        <v>0</v>
      </c>
      <c r="AI17" s="22">
        <f t="shared" si="17"/>
        <v>0</v>
      </c>
      <c r="AJ17" s="22">
        <f t="shared" si="17"/>
        <v>129214.97099999999</v>
      </c>
      <c r="AK17" s="22">
        <f t="shared" si="17"/>
        <v>129214.97099999999</v>
      </c>
      <c r="AL17" s="22">
        <f t="shared" si="17"/>
        <v>22.259999999999998</v>
      </c>
      <c r="AM17" s="22">
        <f t="shared" si="17"/>
        <v>0</v>
      </c>
      <c r="AN17" s="22">
        <f t="shared" si="17"/>
        <v>0</v>
      </c>
      <c r="AO17" s="404"/>
    </row>
    <row r="18" spans="1:41" ht="38.25">
      <c r="A18" s="980"/>
      <c r="B18" s="981"/>
      <c r="C18" s="981"/>
      <c r="D18" s="981"/>
      <c r="E18" s="981"/>
      <c r="F18" s="981"/>
      <c r="G18" s="981"/>
      <c r="H18" s="982"/>
      <c r="I18" s="15" t="s">
        <v>20</v>
      </c>
      <c r="J18" s="16">
        <f>J22+J53+J61+J78+J92+J153</f>
        <v>194045.42</v>
      </c>
      <c r="K18" s="16">
        <f>K22+K78+K153</f>
        <v>0</v>
      </c>
      <c r="L18" s="16">
        <f>L22+L53+L61+L78+L92+L153+L162</f>
        <v>197270.66999999998</v>
      </c>
      <c r="M18" s="16">
        <f t="shared" ref="M18:P18" si="18">M22+M53+M61+M78+M92+M153+M162</f>
        <v>24568.73</v>
      </c>
      <c r="N18" s="16">
        <f t="shared" si="18"/>
        <v>46592.61</v>
      </c>
      <c r="O18" s="16">
        <f t="shared" si="18"/>
        <v>37695.869999999995</v>
      </c>
      <c r="P18" s="22">
        <f t="shared" si="18"/>
        <v>38215.75</v>
      </c>
      <c r="Q18" s="22">
        <f>Q22+Q53+Q61+Q78+Q92+Q153+Q162</f>
        <v>38581.01</v>
      </c>
      <c r="R18" s="22">
        <f t="shared" ref="R18:AN18" si="19">R22+R53+R61+R78+R92+R153</f>
        <v>14009.832</v>
      </c>
      <c r="S18" s="22">
        <f t="shared" si="19"/>
        <v>14009.832</v>
      </c>
      <c r="T18" s="22">
        <f t="shared" si="19"/>
        <v>21152.633000000002</v>
      </c>
      <c r="U18" s="22">
        <f t="shared" si="19"/>
        <v>21152.633000000002</v>
      </c>
      <c r="V18" s="22">
        <f t="shared" si="19"/>
        <v>2024.52</v>
      </c>
      <c r="W18" s="22">
        <f t="shared" si="19"/>
        <v>2024.52</v>
      </c>
      <c r="X18" s="22">
        <f t="shared" si="19"/>
        <v>48</v>
      </c>
      <c r="Y18" s="22">
        <f t="shared" si="19"/>
        <v>1394.027</v>
      </c>
      <c r="Z18" s="22">
        <f t="shared" si="19"/>
        <v>5898.14</v>
      </c>
      <c r="AA18" s="22">
        <f t="shared" si="19"/>
        <v>632.49599999999998</v>
      </c>
      <c r="AB18" s="22">
        <f t="shared" si="19"/>
        <v>1679.596</v>
      </c>
      <c r="AC18" s="22">
        <f t="shared" si="19"/>
        <v>3943.7089999999998</v>
      </c>
      <c r="AD18" s="22">
        <f t="shared" si="19"/>
        <v>1394.027</v>
      </c>
      <c r="AE18" s="22">
        <f t="shared" si="19"/>
        <v>0</v>
      </c>
      <c r="AF18" s="22">
        <f t="shared" si="19"/>
        <v>0</v>
      </c>
      <c r="AG18" s="22">
        <f t="shared" si="19"/>
        <v>0</v>
      </c>
      <c r="AH18" s="22">
        <f t="shared" si="19"/>
        <v>0</v>
      </c>
      <c r="AI18" s="22">
        <f t="shared" si="19"/>
        <v>0</v>
      </c>
      <c r="AJ18" s="22">
        <f t="shared" si="19"/>
        <v>6784.9089999999997</v>
      </c>
      <c r="AK18" s="22">
        <f t="shared" si="19"/>
        <v>6784.9089999999997</v>
      </c>
      <c r="AL18" s="22">
        <f t="shared" si="19"/>
        <v>188.39</v>
      </c>
      <c r="AM18" s="22">
        <f t="shared" si="19"/>
        <v>0</v>
      </c>
      <c r="AN18" s="22">
        <f t="shared" si="19"/>
        <v>0</v>
      </c>
      <c r="AO18" s="404"/>
    </row>
    <row r="19" spans="1:41" ht="25.5">
      <c r="A19" s="980"/>
      <c r="B19" s="981"/>
      <c r="C19" s="981"/>
      <c r="D19" s="981"/>
      <c r="E19" s="981"/>
      <c r="F19" s="981"/>
      <c r="G19" s="981"/>
      <c r="H19" s="982"/>
      <c r="I19" s="15" t="s">
        <v>10</v>
      </c>
      <c r="J19" s="16">
        <f>J23+J79+J154+J54</f>
        <v>23417.360000000001</v>
      </c>
      <c r="K19" s="16">
        <f>K23+K79+K154+K54</f>
        <v>0</v>
      </c>
      <c r="L19" s="16">
        <f>L23+L54+L62+L79+L93+L154</f>
        <v>203796.15000000002</v>
      </c>
      <c r="M19" s="16">
        <f t="shared" ref="M19:AN19" si="20">M23+M79+M154+M54+M62</f>
        <v>135504.01</v>
      </c>
      <c r="N19" s="16">
        <f t="shared" si="20"/>
        <v>36499.81</v>
      </c>
      <c r="O19" s="16">
        <f t="shared" si="20"/>
        <v>0</v>
      </c>
      <c r="P19" s="22">
        <f t="shared" si="20"/>
        <v>0</v>
      </c>
      <c r="Q19" s="22">
        <f>Q23+Q79+Q154+Q54+Q62</f>
        <v>64161.036999999997</v>
      </c>
      <c r="R19" s="22">
        <f t="shared" si="20"/>
        <v>0</v>
      </c>
      <c r="S19" s="22">
        <f t="shared" si="20"/>
        <v>0</v>
      </c>
      <c r="T19" s="22">
        <f t="shared" si="20"/>
        <v>64161.036999999997</v>
      </c>
      <c r="U19" s="22">
        <f t="shared" si="20"/>
        <v>64161.036999999997</v>
      </c>
      <c r="V19" s="22">
        <f t="shared" si="20"/>
        <v>0</v>
      </c>
      <c r="W19" s="22">
        <f t="shared" si="20"/>
        <v>0</v>
      </c>
      <c r="X19" s="22">
        <f t="shared" si="20"/>
        <v>0</v>
      </c>
      <c r="Y19" s="22">
        <f t="shared" si="20"/>
        <v>0</v>
      </c>
      <c r="Z19" s="22">
        <f t="shared" si="20"/>
        <v>0</v>
      </c>
      <c r="AA19" s="22">
        <f t="shared" si="20"/>
        <v>0</v>
      </c>
      <c r="AB19" s="22">
        <f t="shared" si="20"/>
        <v>0</v>
      </c>
      <c r="AC19" s="22">
        <f t="shared" si="20"/>
        <v>0</v>
      </c>
      <c r="AD19" s="22">
        <f t="shared" si="20"/>
        <v>0</v>
      </c>
      <c r="AE19" s="22">
        <f t="shared" si="20"/>
        <v>0</v>
      </c>
      <c r="AF19" s="22">
        <f t="shared" si="20"/>
        <v>0</v>
      </c>
      <c r="AG19" s="22">
        <f t="shared" si="20"/>
        <v>0</v>
      </c>
      <c r="AH19" s="22">
        <f t="shared" si="20"/>
        <v>0</v>
      </c>
      <c r="AI19" s="22">
        <f t="shared" si="20"/>
        <v>0</v>
      </c>
      <c r="AJ19" s="22">
        <f t="shared" si="20"/>
        <v>-13.5</v>
      </c>
      <c r="AK19" s="22">
        <f t="shared" si="20"/>
        <v>-13.5</v>
      </c>
      <c r="AL19" s="22">
        <f t="shared" si="20"/>
        <v>0</v>
      </c>
      <c r="AM19" s="22">
        <f t="shared" si="20"/>
        <v>0</v>
      </c>
      <c r="AN19" s="22">
        <f t="shared" si="20"/>
        <v>0</v>
      </c>
      <c r="AO19" s="404"/>
    </row>
    <row r="20" spans="1:41" ht="25.5">
      <c r="A20" s="983"/>
      <c r="B20" s="984"/>
      <c r="C20" s="984"/>
      <c r="D20" s="984"/>
      <c r="E20" s="984"/>
      <c r="F20" s="984"/>
      <c r="G20" s="984"/>
      <c r="H20" s="985"/>
      <c r="I20" s="15" t="s">
        <v>9</v>
      </c>
      <c r="J20" s="21">
        <f t="shared" ref="J20:AN20" si="21">J24+J80+J155</f>
        <v>702203.72</v>
      </c>
      <c r="K20" s="21">
        <f t="shared" si="21"/>
        <v>702203.72</v>
      </c>
      <c r="L20" s="21">
        <f t="shared" si="21"/>
        <v>545414.29</v>
      </c>
      <c r="M20" s="21">
        <f t="shared" si="21"/>
        <v>348941.19</v>
      </c>
      <c r="N20" s="21">
        <f t="shared" si="21"/>
        <v>196473.11</v>
      </c>
      <c r="O20" s="21">
        <f t="shared" si="21"/>
        <v>0</v>
      </c>
      <c r="P20" s="72">
        <f t="shared" si="21"/>
        <v>0</v>
      </c>
      <c r="Q20" s="72">
        <f t="shared" si="21"/>
        <v>37814.324000000001</v>
      </c>
      <c r="R20" s="72">
        <f t="shared" si="21"/>
        <v>37814.324000000001</v>
      </c>
      <c r="S20" s="72">
        <f t="shared" si="21"/>
        <v>37814.324000000001</v>
      </c>
      <c r="T20" s="72">
        <f t="shared" si="21"/>
        <v>0</v>
      </c>
      <c r="U20" s="72">
        <f t="shared" si="21"/>
        <v>0</v>
      </c>
      <c r="V20" s="72">
        <f t="shared" si="21"/>
        <v>0</v>
      </c>
      <c r="W20" s="72">
        <f t="shared" si="21"/>
        <v>0</v>
      </c>
      <c r="X20" s="72">
        <f t="shared" si="21"/>
        <v>0</v>
      </c>
      <c r="Y20" s="72">
        <f t="shared" si="21"/>
        <v>0</v>
      </c>
      <c r="Z20" s="72">
        <f t="shared" si="21"/>
        <v>0</v>
      </c>
      <c r="AA20" s="72">
        <f t="shared" si="21"/>
        <v>0</v>
      </c>
      <c r="AB20" s="72">
        <f t="shared" si="21"/>
        <v>0</v>
      </c>
      <c r="AC20" s="72">
        <f t="shared" si="21"/>
        <v>0</v>
      </c>
      <c r="AD20" s="72">
        <f t="shared" si="21"/>
        <v>0</v>
      </c>
      <c r="AE20" s="72">
        <f t="shared" si="21"/>
        <v>0</v>
      </c>
      <c r="AF20" s="72">
        <f t="shared" si="21"/>
        <v>0</v>
      </c>
      <c r="AG20" s="72">
        <f t="shared" si="21"/>
        <v>0</v>
      </c>
      <c r="AH20" s="72">
        <f t="shared" si="21"/>
        <v>0</v>
      </c>
      <c r="AI20" s="72">
        <f t="shared" si="21"/>
        <v>0</v>
      </c>
      <c r="AJ20" s="72">
        <f t="shared" si="21"/>
        <v>0</v>
      </c>
      <c r="AK20" s="72">
        <f t="shared" si="21"/>
        <v>0</v>
      </c>
      <c r="AL20" s="72">
        <f t="shared" si="21"/>
        <v>0</v>
      </c>
      <c r="AM20" s="72">
        <f t="shared" si="21"/>
        <v>0</v>
      </c>
      <c r="AN20" s="72">
        <f t="shared" si="21"/>
        <v>0</v>
      </c>
      <c r="AO20" s="405"/>
    </row>
    <row r="21" spans="1:41" ht="51.75" customHeight="1">
      <c r="A21" s="986" t="s">
        <v>25</v>
      </c>
      <c r="B21" s="921" t="s">
        <v>40</v>
      </c>
      <c r="C21" s="922"/>
      <c r="D21" s="922"/>
      <c r="E21" s="922"/>
      <c r="F21" s="922"/>
      <c r="G21" s="922"/>
      <c r="H21" s="923"/>
      <c r="I21" s="15" t="s">
        <v>19</v>
      </c>
      <c r="J21" s="22">
        <f t="shared" ref="J21:K21" si="22">J26+J39+J42</f>
        <v>989659.6</v>
      </c>
      <c r="K21" s="22">
        <f t="shared" si="22"/>
        <v>296957.81999999995</v>
      </c>
      <c r="L21" s="16">
        <f>L26+L39+L42+L46</f>
        <v>605271.59</v>
      </c>
      <c r="M21" s="16">
        <f t="shared" ref="M21:AN21" si="23">M26+M39+M42+M46</f>
        <v>116901.34999999999</v>
      </c>
      <c r="N21" s="16">
        <f t="shared" si="23"/>
        <v>97490.169999999984</v>
      </c>
      <c r="O21" s="16">
        <f t="shared" si="23"/>
        <v>87829.650000000009</v>
      </c>
      <c r="P21" s="16">
        <f t="shared" si="23"/>
        <v>129338.56</v>
      </c>
      <c r="Q21" s="16">
        <f t="shared" si="23"/>
        <v>508.29799999999994</v>
      </c>
      <c r="R21" s="16">
        <f t="shared" si="23"/>
        <v>384.70899999999995</v>
      </c>
      <c r="S21" s="16">
        <f t="shared" si="23"/>
        <v>384.70899999999995</v>
      </c>
      <c r="T21" s="16">
        <f t="shared" si="23"/>
        <v>0</v>
      </c>
      <c r="U21" s="16">
        <f t="shared" si="23"/>
        <v>0</v>
      </c>
      <c r="V21" s="16">
        <f t="shared" si="23"/>
        <v>0</v>
      </c>
      <c r="W21" s="16">
        <f t="shared" si="23"/>
        <v>0</v>
      </c>
      <c r="X21" s="16">
        <f t="shared" si="23"/>
        <v>0</v>
      </c>
      <c r="Y21" s="16">
        <f t="shared" si="23"/>
        <v>123.589</v>
      </c>
      <c r="Z21" s="16">
        <f t="shared" si="23"/>
        <v>166.07999999999998</v>
      </c>
      <c r="AA21" s="16">
        <f t="shared" si="23"/>
        <v>66.33</v>
      </c>
      <c r="AB21" s="16">
        <f t="shared" si="23"/>
        <v>0</v>
      </c>
      <c r="AC21" s="16">
        <f t="shared" si="23"/>
        <v>0</v>
      </c>
      <c r="AD21" s="16">
        <f t="shared" si="23"/>
        <v>99.75</v>
      </c>
      <c r="AE21" s="16">
        <f t="shared" si="23"/>
        <v>0</v>
      </c>
      <c r="AF21" s="16">
        <f t="shared" si="23"/>
        <v>0</v>
      </c>
      <c r="AG21" s="16">
        <f t="shared" si="23"/>
        <v>0</v>
      </c>
      <c r="AH21" s="16">
        <f t="shared" si="23"/>
        <v>0</v>
      </c>
      <c r="AI21" s="16">
        <f t="shared" si="23"/>
        <v>0</v>
      </c>
      <c r="AJ21" s="16">
        <f t="shared" si="23"/>
        <v>129214.97099999999</v>
      </c>
      <c r="AK21" s="16">
        <f t="shared" si="23"/>
        <v>129214.97099999999</v>
      </c>
      <c r="AL21" s="72">
        <f>AL25+AL81+AL156</f>
        <v>22.259999999999998</v>
      </c>
      <c r="AM21" s="16">
        <f t="shared" si="23"/>
        <v>0</v>
      </c>
      <c r="AN21" s="16">
        <f t="shared" si="23"/>
        <v>0</v>
      </c>
      <c r="AO21" s="404"/>
    </row>
    <row r="22" spans="1:41" ht="38.25">
      <c r="A22" s="987"/>
      <c r="B22" s="924"/>
      <c r="C22" s="925"/>
      <c r="D22" s="925"/>
      <c r="E22" s="925"/>
      <c r="F22" s="925"/>
      <c r="G22" s="925"/>
      <c r="H22" s="926"/>
      <c r="I22" s="15" t="s">
        <v>20</v>
      </c>
      <c r="J22" s="16">
        <v>0</v>
      </c>
      <c r="K22" s="16">
        <v>0</v>
      </c>
      <c r="L22" s="16">
        <v>0</v>
      </c>
      <c r="M22" s="16">
        <v>0</v>
      </c>
      <c r="N22" s="22">
        <v>0</v>
      </c>
      <c r="O22" s="22">
        <v>2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404"/>
    </row>
    <row r="23" spans="1:41" ht="25.5">
      <c r="A23" s="987"/>
      <c r="B23" s="924"/>
      <c r="C23" s="925"/>
      <c r="D23" s="925"/>
      <c r="E23" s="925"/>
      <c r="F23" s="925"/>
      <c r="G23" s="925"/>
      <c r="H23" s="926"/>
      <c r="I23" s="15" t="s">
        <v>10</v>
      </c>
      <c r="J23" s="16">
        <v>0</v>
      </c>
      <c r="K23" s="16">
        <v>0</v>
      </c>
      <c r="L23" s="16">
        <f t="shared" ref="L23:L91" si="24">M23+N23+O23</f>
        <v>172003.82</v>
      </c>
      <c r="M23" s="16">
        <f>M36</f>
        <v>135504.01</v>
      </c>
      <c r="N23" s="22">
        <f>N36</f>
        <v>36499.81</v>
      </c>
      <c r="O23" s="22">
        <f>O36</f>
        <v>0</v>
      </c>
      <c r="P23" s="22">
        <f>P36</f>
        <v>0</v>
      </c>
      <c r="Q23" s="22">
        <f>Q36</f>
        <v>64161.036999999997</v>
      </c>
      <c r="R23" s="22">
        <f t="shared" ref="R23:AE23" si="25">R36</f>
        <v>0</v>
      </c>
      <c r="S23" s="22">
        <f t="shared" si="25"/>
        <v>0</v>
      </c>
      <c r="T23" s="22">
        <f t="shared" si="25"/>
        <v>64161.036999999997</v>
      </c>
      <c r="U23" s="22">
        <f t="shared" si="25"/>
        <v>64161.036999999997</v>
      </c>
      <c r="V23" s="22">
        <f t="shared" si="25"/>
        <v>0</v>
      </c>
      <c r="W23" s="22">
        <f t="shared" si="25"/>
        <v>0</v>
      </c>
      <c r="X23" s="22">
        <f t="shared" si="25"/>
        <v>0</v>
      </c>
      <c r="Y23" s="22">
        <f t="shared" si="25"/>
        <v>0</v>
      </c>
      <c r="Z23" s="22">
        <f t="shared" si="25"/>
        <v>0</v>
      </c>
      <c r="AA23" s="22">
        <f t="shared" si="25"/>
        <v>0</v>
      </c>
      <c r="AB23" s="22">
        <f t="shared" ref="AB23:AD23" si="26">AB36</f>
        <v>0</v>
      </c>
      <c r="AC23" s="22">
        <f t="shared" si="26"/>
        <v>0</v>
      </c>
      <c r="AD23" s="22">
        <f t="shared" si="26"/>
        <v>0</v>
      </c>
      <c r="AE23" s="22">
        <f t="shared" si="25"/>
        <v>0</v>
      </c>
      <c r="AF23" s="22">
        <f t="shared" ref="AF23" si="27">AF36</f>
        <v>0</v>
      </c>
      <c r="AG23" s="22">
        <f t="shared" ref="AG23:AH23" si="28">AG36</f>
        <v>0</v>
      </c>
      <c r="AH23" s="22">
        <f t="shared" si="28"/>
        <v>0</v>
      </c>
      <c r="AI23" s="22">
        <f t="shared" ref="AI23" si="29">AI36</f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404"/>
    </row>
    <row r="24" spans="1:41" ht="25.5">
      <c r="A24" s="988"/>
      <c r="B24" s="927"/>
      <c r="C24" s="928"/>
      <c r="D24" s="928"/>
      <c r="E24" s="928"/>
      <c r="F24" s="928"/>
      <c r="G24" s="928"/>
      <c r="H24" s="929"/>
      <c r="I24" s="15" t="s">
        <v>9</v>
      </c>
      <c r="J24" s="16">
        <f>J34</f>
        <v>702203.72</v>
      </c>
      <c r="K24" s="16">
        <f t="shared" ref="K24" si="30">K34</f>
        <v>702203.72</v>
      </c>
      <c r="L24" s="16">
        <f>L34</f>
        <v>545414.29</v>
      </c>
      <c r="M24" s="16">
        <f>M34</f>
        <v>348941.19</v>
      </c>
      <c r="N24" s="22">
        <f t="shared" ref="N24:O24" si="31">N34</f>
        <v>196473.11</v>
      </c>
      <c r="O24" s="22">
        <f t="shared" si="31"/>
        <v>0</v>
      </c>
      <c r="P24" s="22">
        <f>P34</f>
        <v>0</v>
      </c>
      <c r="Q24" s="22">
        <f t="shared" ref="Q24:AE24" si="32">Q34</f>
        <v>37814.324000000001</v>
      </c>
      <c r="R24" s="22">
        <f t="shared" si="32"/>
        <v>37814.324000000001</v>
      </c>
      <c r="S24" s="22">
        <f t="shared" si="32"/>
        <v>37814.324000000001</v>
      </c>
      <c r="T24" s="22">
        <f t="shared" si="32"/>
        <v>0</v>
      </c>
      <c r="U24" s="22">
        <f t="shared" si="32"/>
        <v>0</v>
      </c>
      <c r="V24" s="22">
        <f t="shared" si="32"/>
        <v>0</v>
      </c>
      <c r="W24" s="22">
        <f t="shared" si="32"/>
        <v>0</v>
      </c>
      <c r="X24" s="22">
        <f t="shared" si="32"/>
        <v>0</v>
      </c>
      <c r="Y24" s="22">
        <f t="shared" si="32"/>
        <v>0</v>
      </c>
      <c r="Z24" s="22">
        <f t="shared" si="32"/>
        <v>0</v>
      </c>
      <c r="AA24" s="22">
        <f t="shared" si="32"/>
        <v>0</v>
      </c>
      <c r="AB24" s="22">
        <f t="shared" ref="AB24:AD24" si="33">AB34</f>
        <v>0</v>
      </c>
      <c r="AC24" s="22">
        <f t="shared" si="33"/>
        <v>0</v>
      </c>
      <c r="AD24" s="22">
        <f t="shared" si="33"/>
        <v>0</v>
      </c>
      <c r="AE24" s="22">
        <f t="shared" si="32"/>
        <v>0</v>
      </c>
      <c r="AF24" s="22">
        <f t="shared" ref="AF24" si="34">AF34</f>
        <v>0</v>
      </c>
      <c r="AG24" s="22">
        <f t="shared" ref="AG24:AH24" si="35">AG34</f>
        <v>0</v>
      </c>
      <c r="AH24" s="22">
        <f t="shared" si="35"/>
        <v>0</v>
      </c>
      <c r="AI24" s="22">
        <f t="shared" ref="AI24" si="36">AI34</f>
        <v>0</v>
      </c>
      <c r="AJ24" s="22">
        <f t="shared" ref="AJ24:AN24" si="37">AJ34</f>
        <v>0</v>
      </c>
      <c r="AK24" s="22">
        <f t="shared" si="37"/>
        <v>0</v>
      </c>
      <c r="AL24" s="22">
        <f t="shared" si="37"/>
        <v>0</v>
      </c>
      <c r="AM24" s="22">
        <f t="shared" si="37"/>
        <v>0</v>
      </c>
      <c r="AN24" s="22">
        <f t="shared" si="37"/>
        <v>0</v>
      </c>
      <c r="AO24" s="404"/>
    </row>
    <row r="25" spans="1:41" ht="41.25" customHeight="1">
      <c r="A25" s="937" t="s">
        <v>26</v>
      </c>
      <c r="B25" s="78" t="s">
        <v>373</v>
      </c>
      <c r="C25" s="815"/>
      <c r="D25" s="815"/>
      <c r="E25" s="815"/>
      <c r="F25" s="989" t="s">
        <v>44</v>
      </c>
      <c r="G25" s="815">
        <v>2018</v>
      </c>
      <c r="H25" s="815">
        <v>2020</v>
      </c>
      <c r="I25" s="2"/>
      <c r="J25" s="24">
        <v>1075576.6499999999</v>
      </c>
      <c r="K25" s="25">
        <f>K26+K34</f>
        <v>999161.53999999992</v>
      </c>
      <c r="L25" s="79">
        <f>L26+L34+L36</f>
        <v>793833.22</v>
      </c>
      <c r="M25" s="79">
        <f>M26+M34+M36</f>
        <v>560860.31000000006</v>
      </c>
      <c r="N25" s="79">
        <f t="shared" ref="N25:O25" si="38">N26+N34+N36</f>
        <v>232972.91999999998</v>
      </c>
      <c r="O25" s="79">
        <f t="shared" si="38"/>
        <v>0</v>
      </c>
      <c r="P25" s="79">
        <f>P26+P34+P36</f>
        <v>0</v>
      </c>
      <c r="Q25" s="79">
        <f>Q26+Q34+Q36</f>
        <v>102360.07</v>
      </c>
      <c r="R25" s="79">
        <f t="shared" ref="R25:U25" si="39">R26+R34+R36</f>
        <v>38199.033000000003</v>
      </c>
      <c r="S25" s="79">
        <f t="shared" si="39"/>
        <v>38199.033000000003</v>
      </c>
      <c r="T25" s="79">
        <f t="shared" si="39"/>
        <v>64161.036999999997</v>
      </c>
      <c r="U25" s="79">
        <f t="shared" si="39"/>
        <v>64161.036999999997</v>
      </c>
      <c r="V25" s="79">
        <f t="shared" ref="V25:X25" si="40">V26+V34</f>
        <v>0</v>
      </c>
      <c r="W25" s="79">
        <f t="shared" si="40"/>
        <v>0</v>
      </c>
      <c r="X25" s="79">
        <f t="shared" si="40"/>
        <v>0</v>
      </c>
      <c r="Y25" s="79">
        <f>Y26+Y34+Y36</f>
        <v>0</v>
      </c>
      <c r="Z25" s="79">
        <f>Z26+Z34+Z36</f>
        <v>66.33</v>
      </c>
      <c r="AA25" s="79">
        <f>AA26+AA34</f>
        <v>66.33</v>
      </c>
      <c r="AB25" s="79">
        <f>AB26+AB34</f>
        <v>0</v>
      </c>
      <c r="AC25" s="79">
        <f t="shared" ref="AC25:AD25" si="41">AC26+AC34</f>
        <v>0</v>
      </c>
      <c r="AD25" s="79">
        <f t="shared" si="41"/>
        <v>0</v>
      </c>
      <c r="AE25" s="79">
        <f>AE26+AE34</f>
        <v>0</v>
      </c>
      <c r="AF25" s="79">
        <f t="shared" ref="AF25:AG25" si="42">AF26+AF34</f>
        <v>0</v>
      </c>
      <c r="AG25" s="79">
        <f t="shared" si="42"/>
        <v>0</v>
      </c>
      <c r="AH25" s="79">
        <f t="shared" ref="AH25:AI25" si="43">AH26+AH34</f>
        <v>0</v>
      </c>
      <c r="AI25" s="79">
        <f t="shared" si="43"/>
        <v>0</v>
      </c>
      <c r="AJ25" s="79">
        <f>P25-Q25</f>
        <v>-102360.07</v>
      </c>
      <c r="AK25" s="79">
        <f>AJ25</f>
        <v>-102360.07</v>
      </c>
      <c r="AL25" s="79">
        <v>0</v>
      </c>
      <c r="AM25" s="79">
        <f>AM26+AM34</f>
        <v>0</v>
      </c>
      <c r="AN25" s="79">
        <f>AN26+AN34</f>
        <v>0</v>
      </c>
      <c r="AO25" s="512"/>
    </row>
    <row r="26" spans="1:41" ht="51.75" customHeight="1">
      <c r="A26" s="938"/>
      <c r="B26" s="366" t="s">
        <v>16</v>
      </c>
      <c r="C26" s="816"/>
      <c r="D26" s="816"/>
      <c r="E26" s="816"/>
      <c r="F26" s="990"/>
      <c r="G26" s="816"/>
      <c r="H26" s="816"/>
      <c r="I26" s="2" t="s">
        <v>19</v>
      </c>
      <c r="J26" s="27">
        <v>373372.92999999993</v>
      </c>
      <c r="K26" s="28">
        <f>J26-L26</f>
        <v>296957.81999999995</v>
      </c>
      <c r="L26" s="47">
        <v>76415.11</v>
      </c>
      <c r="M26" s="47">
        <v>76415.11</v>
      </c>
      <c r="N26" s="47">
        <v>0</v>
      </c>
      <c r="O26" s="47">
        <v>0</v>
      </c>
      <c r="P26" s="47">
        <v>0</v>
      </c>
      <c r="Q26" s="47">
        <f>SUM(Q27:Q33)</f>
        <v>384.70899999999995</v>
      </c>
      <c r="R26" s="47">
        <f t="shared" ref="R26:Y26" si="44">SUM(R27:R33)</f>
        <v>384.70899999999995</v>
      </c>
      <c r="S26" s="47">
        <f t="shared" si="44"/>
        <v>384.70899999999995</v>
      </c>
      <c r="T26" s="47">
        <f t="shared" si="44"/>
        <v>0</v>
      </c>
      <c r="U26" s="47">
        <f t="shared" si="44"/>
        <v>0</v>
      </c>
      <c r="V26" s="47">
        <f t="shared" si="44"/>
        <v>0</v>
      </c>
      <c r="W26" s="47">
        <f>SUM(W27:W33)</f>
        <v>0</v>
      </c>
      <c r="X26" s="47">
        <f t="shared" si="44"/>
        <v>0</v>
      </c>
      <c r="Y26" s="47">
        <f t="shared" si="44"/>
        <v>0</v>
      </c>
      <c r="Z26" s="47">
        <f>SUM(Z27:Z33)</f>
        <v>66.33</v>
      </c>
      <c r="AA26" s="47">
        <f>SUM(AA27:AA33)</f>
        <v>66.33</v>
      </c>
      <c r="AB26" s="47">
        <f>SUM(AB27:AB33)</f>
        <v>0</v>
      </c>
      <c r="AC26" s="47">
        <f t="shared" ref="AC26:AD26" si="45">SUM(AC27:AC33)</f>
        <v>0</v>
      </c>
      <c r="AD26" s="47">
        <f t="shared" si="45"/>
        <v>0</v>
      </c>
      <c r="AE26" s="47">
        <f>SUM(AE27:AE33)</f>
        <v>0</v>
      </c>
      <c r="AF26" s="47">
        <f>SUM(AF27:AF33)</f>
        <v>0</v>
      </c>
      <c r="AG26" s="47">
        <f t="shared" ref="AG26:AI26" si="46">SUM(AG27:AG33)</f>
        <v>0</v>
      </c>
      <c r="AH26" s="47">
        <f t="shared" si="46"/>
        <v>0</v>
      </c>
      <c r="AI26" s="47">
        <f t="shared" si="46"/>
        <v>0</v>
      </c>
      <c r="AJ26" s="47">
        <v>0</v>
      </c>
      <c r="AK26" s="47">
        <v>0</v>
      </c>
      <c r="AL26" s="47">
        <v>0</v>
      </c>
      <c r="AM26" s="47">
        <v>0</v>
      </c>
      <c r="AN26" s="47">
        <v>0</v>
      </c>
      <c r="AO26" s="1003"/>
    </row>
    <row r="27" spans="1:41" s="100" customFormat="1" ht="25.5" hidden="1" customHeight="1">
      <c r="A27" s="938"/>
      <c r="B27" s="369" t="s">
        <v>220</v>
      </c>
      <c r="C27" s="93"/>
      <c r="D27" s="93"/>
      <c r="E27" s="93"/>
      <c r="F27" s="94"/>
      <c r="G27" s="93"/>
      <c r="H27" s="93"/>
      <c r="I27" s="276">
        <f>R26+T26+V26</f>
        <v>384.70899999999995</v>
      </c>
      <c r="J27" s="96"/>
      <c r="K27" s="97"/>
      <c r="L27" s="98"/>
      <c r="M27" s="99"/>
      <c r="N27" s="99"/>
      <c r="O27" s="99"/>
      <c r="P27" s="99">
        <f>R27+T27+V27+X27</f>
        <v>66.332999999999998</v>
      </c>
      <c r="Q27" s="99">
        <f>S27+U27+W27+Y27</f>
        <v>66.332999999999998</v>
      </c>
      <c r="R27" s="99">
        <f t="shared" ref="R27:R28" si="47">S27</f>
        <v>66.332999999999998</v>
      </c>
      <c r="S27" s="99">
        <v>66.332999999999998</v>
      </c>
      <c r="T27" s="99">
        <v>0</v>
      </c>
      <c r="U27" s="99">
        <v>0</v>
      </c>
      <c r="V27" s="99">
        <v>0</v>
      </c>
      <c r="W27" s="99">
        <v>0</v>
      </c>
      <c r="X27" s="99">
        <v>0</v>
      </c>
      <c r="Y27" s="99">
        <v>0</v>
      </c>
      <c r="Z27" s="99">
        <f>AA27+AB27+AC27+AD27</f>
        <v>66.33</v>
      </c>
      <c r="AA27" s="99">
        <v>66.33</v>
      </c>
      <c r="AB27" s="99">
        <v>0</v>
      </c>
      <c r="AC27" s="99">
        <v>0</v>
      </c>
      <c r="AD27" s="99">
        <v>0</v>
      </c>
      <c r="AE27" s="99">
        <f t="shared" ref="AE27:AE33" si="48">SUM(AF27:AF27)</f>
        <v>0</v>
      </c>
      <c r="AF27" s="99"/>
      <c r="AG27" s="99"/>
      <c r="AH27" s="99"/>
      <c r="AI27" s="99"/>
      <c r="AJ27" s="99"/>
      <c r="AK27" s="99"/>
      <c r="AL27" s="99"/>
      <c r="AM27" s="99"/>
      <c r="AN27" s="99"/>
      <c r="AO27" s="1004"/>
    </row>
    <row r="28" spans="1:41" s="100" customFormat="1" ht="15" hidden="1" customHeight="1">
      <c r="A28" s="938"/>
      <c r="B28" s="369" t="s">
        <v>221</v>
      </c>
      <c r="C28" s="93"/>
      <c r="D28" s="93"/>
      <c r="E28" s="93"/>
      <c r="F28" s="94"/>
      <c r="G28" s="93"/>
      <c r="H28" s="93"/>
      <c r="I28" s="276">
        <f>S26+U26+W26</f>
        <v>384.70899999999995</v>
      </c>
      <c r="J28" s="96"/>
      <c r="K28" s="97"/>
      <c r="L28" s="98"/>
      <c r="M28" s="99"/>
      <c r="N28" s="99"/>
      <c r="O28" s="99"/>
      <c r="P28" s="99">
        <f>Q28</f>
        <v>204.93299999999999</v>
      </c>
      <c r="Q28" s="99">
        <f>S28+U28+W28+Y28</f>
        <v>204.93299999999999</v>
      </c>
      <c r="R28" s="99">
        <f t="shared" si="47"/>
        <v>204.93299999999999</v>
      </c>
      <c r="S28" s="99">
        <v>204.93299999999999</v>
      </c>
      <c r="T28" s="99">
        <v>0</v>
      </c>
      <c r="U28" s="99">
        <v>0</v>
      </c>
      <c r="V28" s="99">
        <v>0</v>
      </c>
      <c r="W28" s="99">
        <v>0</v>
      </c>
      <c r="X28" s="99">
        <v>0</v>
      </c>
      <c r="Y28" s="99">
        <v>0</v>
      </c>
      <c r="Z28" s="99">
        <f>AA28+AB28+AC28+AD28</f>
        <v>0</v>
      </c>
      <c r="AA28" s="99">
        <v>0</v>
      </c>
      <c r="AB28" s="99"/>
      <c r="AC28" s="99">
        <v>0</v>
      </c>
      <c r="AD28" s="99">
        <v>0</v>
      </c>
      <c r="AE28" s="99">
        <f t="shared" si="48"/>
        <v>0</v>
      </c>
      <c r="AF28" s="99"/>
      <c r="AG28" s="99"/>
      <c r="AH28" s="99"/>
      <c r="AI28" s="99"/>
      <c r="AJ28" s="99"/>
      <c r="AK28" s="99"/>
      <c r="AL28" s="99"/>
      <c r="AM28" s="99"/>
      <c r="AN28" s="99"/>
      <c r="AO28" s="1004"/>
    </row>
    <row r="29" spans="1:41" s="100" customFormat="1" ht="15" hidden="1" customHeight="1">
      <c r="A29" s="938"/>
      <c r="B29" s="369" t="s">
        <v>222</v>
      </c>
      <c r="C29" s="93"/>
      <c r="D29" s="93"/>
      <c r="E29" s="93"/>
      <c r="F29" s="94"/>
      <c r="G29" s="93"/>
      <c r="H29" s="93"/>
      <c r="I29" s="95"/>
      <c r="J29" s="96"/>
      <c r="K29" s="97"/>
      <c r="L29" s="98"/>
      <c r="M29" s="99"/>
      <c r="N29" s="99"/>
      <c r="O29" s="99"/>
      <c r="P29" s="99">
        <f t="shared" ref="P29:P30" si="49">R29</f>
        <v>113.443</v>
      </c>
      <c r="Q29" s="99">
        <f t="shared" ref="Q29:Q31" si="50">S29+U29+W29+Y29</f>
        <v>113.443</v>
      </c>
      <c r="R29" s="99">
        <f>S29</f>
        <v>113.443</v>
      </c>
      <c r="S29" s="99">
        <v>113.443</v>
      </c>
      <c r="T29" s="99">
        <f>U29</f>
        <v>0</v>
      </c>
      <c r="U29" s="99">
        <v>0</v>
      </c>
      <c r="V29" s="99">
        <v>0</v>
      </c>
      <c r="W29" s="99">
        <v>0</v>
      </c>
      <c r="X29" s="99">
        <v>0</v>
      </c>
      <c r="Y29" s="99">
        <v>0</v>
      </c>
      <c r="Z29" s="99">
        <f>AA29+AB29+AC29+AD29</f>
        <v>0</v>
      </c>
      <c r="AA29" s="99">
        <v>0</v>
      </c>
      <c r="AB29" s="99">
        <v>0</v>
      </c>
      <c r="AC29" s="99">
        <v>0</v>
      </c>
      <c r="AD29" s="99">
        <v>0</v>
      </c>
      <c r="AE29" s="99">
        <f t="shared" si="48"/>
        <v>0</v>
      </c>
      <c r="AF29" s="99"/>
      <c r="AG29" s="99"/>
      <c r="AH29" s="99"/>
      <c r="AI29" s="99"/>
      <c r="AJ29" s="99"/>
      <c r="AK29" s="99"/>
      <c r="AL29" s="99"/>
      <c r="AM29" s="99"/>
      <c r="AN29" s="99"/>
      <c r="AO29" s="1004"/>
    </row>
    <row r="30" spans="1:41" s="100" customFormat="1" ht="15" hidden="1" customHeight="1">
      <c r="A30" s="938"/>
      <c r="B30" s="369" t="s">
        <v>223</v>
      </c>
      <c r="C30" s="93"/>
      <c r="D30" s="93"/>
      <c r="E30" s="93"/>
      <c r="F30" s="94"/>
      <c r="G30" s="93"/>
      <c r="H30" s="93"/>
      <c r="I30" s="95"/>
      <c r="J30" s="96"/>
      <c r="K30" s="97"/>
      <c r="L30" s="98"/>
      <c r="M30" s="99"/>
      <c r="N30" s="99"/>
      <c r="O30" s="99"/>
      <c r="P30" s="99">
        <f t="shared" si="49"/>
        <v>0</v>
      </c>
      <c r="Q30" s="99">
        <f t="shared" si="50"/>
        <v>0</v>
      </c>
      <c r="R30" s="99">
        <v>0</v>
      </c>
      <c r="S30" s="99">
        <v>0</v>
      </c>
      <c r="T30" s="99">
        <v>0</v>
      </c>
      <c r="U30" s="99">
        <v>0</v>
      </c>
      <c r="V30" s="99">
        <v>0</v>
      </c>
      <c r="W30" s="99">
        <v>0</v>
      </c>
      <c r="X30" s="99">
        <v>0</v>
      </c>
      <c r="Y30" s="99">
        <v>0</v>
      </c>
      <c r="Z30" s="99">
        <f t="shared" ref="Z30:Z32" si="51">AA30+AB30+AC30</f>
        <v>0</v>
      </c>
      <c r="AA30" s="99">
        <v>0</v>
      </c>
      <c r="AB30" s="99"/>
      <c r="AC30" s="99"/>
      <c r="AD30" s="99"/>
      <c r="AE30" s="99">
        <f t="shared" si="48"/>
        <v>0</v>
      </c>
      <c r="AF30" s="99"/>
      <c r="AG30" s="99"/>
      <c r="AH30" s="99"/>
      <c r="AI30" s="99"/>
      <c r="AJ30" s="99"/>
      <c r="AK30" s="99"/>
      <c r="AL30" s="99"/>
      <c r="AM30" s="99"/>
      <c r="AN30" s="99"/>
      <c r="AO30" s="1004"/>
    </row>
    <row r="31" spans="1:41" s="100" customFormat="1" ht="15" hidden="1" customHeight="1">
      <c r="A31" s="938"/>
      <c r="B31" s="369" t="s">
        <v>269</v>
      </c>
      <c r="C31" s="93"/>
      <c r="D31" s="93"/>
      <c r="E31" s="93"/>
      <c r="F31" s="94"/>
      <c r="G31" s="93"/>
      <c r="H31" s="93"/>
      <c r="I31" s="95"/>
      <c r="J31" s="96"/>
      <c r="K31" s="97"/>
      <c r="L31" s="98"/>
      <c r="M31" s="99"/>
      <c r="N31" s="99"/>
      <c r="O31" s="99"/>
      <c r="P31" s="99">
        <v>0</v>
      </c>
      <c r="Q31" s="99">
        <f t="shared" si="50"/>
        <v>0</v>
      </c>
      <c r="R31" s="99">
        <v>0</v>
      </c>
      <c r="S31" s="99">
        <v>0</v>
      </c>
      <c r="T31" s="99">
        <v>0</v>
      </c>
      <c r="U31" s="99">
        <v>0</v>
      </c>
      <c r="V31" s="99">
        <v>0</v>
      </c>
      <c r="W31" s="99">
        <v>0</v>
      </c>
      <c r="X31" s="99">
        <v>0</v>
      </c>
      <c r="Y31" s="99">
        <v>0</v>
      </c>
      <c r="Z31" s="99">
        <f t="shared" si="51"/>
        <v>0</v>
      </c>
      <c r="AA31" s="99">
        <v>0</v>
      </c>
      <c r="AB31" s="99"/>
      <c r="AC31" s="99"/>
      <c r="AD31" s="99"/>
      <c r="AE31" s="99">
        <f t="shared" si="48"/>
        <v>0</v>
      </c>
      <c r="AF31" s="99"/>
      <c r="AG31" s="99"/>
      <c r="AH31" s="99"/>
      <c r="AI31" s="99"/>
      <c r="AJ31" s="99"/>
      <c r="AK31" s="99"/>
      <c r="AL31" s="99"/>
      <c r="AM31" s="99"/>
      <c r="AN31" s="99"/>
      <c r="AO31" s="1004"/>
    </row>
    <row r="32" spans="1:41" s="100" customFormat="1" ht="15" hidden="1" customHeight="1">
      <c r="A32" s="938"/>
      <c r="B32" s="369" t="s">
        <v>228</v>
      </c>
      <c r="C32" s="93"/>
      <c r="D32" s="93"/>
      <c r="E32" s="93"/>
      <c r="F32" s="94"/>
      <c r="G32" s="93"/>
      <c r="H32" s="93"/>
      <c r="I32" s="95"/>
      <c r="J32" s="96"/>
      <c r="K32" s="97"/>
      <c r="L32" s="98"/>
      <c r="M32" s="99"/>
      <c r="N32" s="99"/>
      <c r="O32" s="99"/>
      <c r="P32" s="99">
        <v>0</v>
      </c>
      <c r="Q32" s="99">
        <f>S32+U32+W32+Y32</f>
        <v>0</v>
      </c>
      <c r="R32" s="99">
        <v>0</v>
      </c>
      <c r="S32" s="99">
        <v>0</v>
      </c>
      <c r="T32" s="99">
        <v>0</v>
      </c>
      <c r="U32" s="99">
        <v>0</v>
      </c>
      <c r="V32" s="99">
        <v>0</v>
      </c>
      <c r="W32" s="99">
        <v>0</v>
      </c>
      <c r="X32" s="99">
        <v>0</v>
      </c>
      <c r="Y32" s="99">
        <v>0</v>
      </c>
      <c r="Z32" s="99">
        <f t="shared" si="51"/>
        <v>0</v>
      </c>
      <c r="AA32" s="99">
        <v>0</v>
      </c>
      <c r="AB32" s="99"/>
      <c r="AC32" s="99"/>
      <c r="AD32" s="99"/>
      <c r="AE32" s="99">
        <f t="shared" si="48"/>
        <v>0</v>
      </c>
      <c r="AF32" s="99"/>
      <c r="AG32" s="99"/>
      <c r="AH32" s="99"/>
      <c r="AI32" s="99"/>
      <c r="AJ32" s="99"/>
      <c r="AK32" s="99"/>
      <c r="AL32" s="99"/>
      <c r="AM32" s="99"/>
      <c r="AN32" s="99"/>
      <c r="AO32" s="1004"/>
    </row>
    <row r="33" spans="1:41" s="100" customFormat="1" ht="31.5" hidden="1" customHeight="1">
      <c r="A33" s="938"/>
      <c r="B33" s="369" t="s">
        <v>226</v>
      </c>
      <c r="C33" s="93"/>
      <c r="D33" s="93"/>
      <c r="E33" s="93"/>
      <c r="F33" s="94"/>
      <c r="G33" s="93"/>
      <c r="H33" s="93"/>
      <c r="I33" s="95"/>
      <c r="J33" s="96"/>
      <c r="K33" s="97"/>
      <c r="L33" s="98"/>
      <c r="M33" s="99"/>
      <c r="N33" s="99"/>
      <c r="O33" s="99"/>
      <c r="P33" s="99">
        <f>R33</f>
        <v>0</v>
      </c>
      <c r="Q33" s="99">
        <f>S33+U33+W33+Y33</f>
        <v>0</v>
      </c>
      <c r="R33" s="99">
        <f>S33</f>
        <v>0</v>
      </c>
      <c r="S33" s="99">
        <v>0</v>
      </c>
      <c r="T33" s="99">
        <v>0</v>
      </c>
      <c r="U33" s="99">
        <v>0</v>
      </c>
      <c r="V33" s="99">
        <v>0</v>
      </c>
      <c r="W33" s="99">
        <v>0</v>
      </c>
      <c r="X33" s="99">
        <v>0</v>
      </c>
      <c r="Y33" s="99">
        <v>0</v>
      </c>
      <c r="Z33" s="99">
        <f>SUM(AA33:AD33)</f>
        <v>0</v>
      </c>
      <c r="AA33" s="99">
        <v>0</v>
      </c>
      <c r="AB33" s="99">
        <v>0</v>
      </c>
      <c r="AC33" s="99">
        <v>0</v>
      </c>
      <c r="AD33" s="99">
        <v>0</v>
      </c>
      <c r="AE33" s="99">
        <f t="shared" si="48"/>
        <v>0</v>
      </c>
      <c r="AF33" s="99"/>
      <c r="AG33" s="99"/>
      <c r="AH33" s="99"/>
      <c r="AI33" s="99"/>
      <c r="AJ33" s="99"/>
      <c r="AK33" s="99"/>
      <c r="AL33" s="99"/>
      <c r="AM33" s="99"/>
      <c r="AN33" s="99"/>
      <c r="AO33" s="1004"/>
    </row>
    <row r="34" spans="1:41" ht="29.25" customHeight="1">
      <c r="A34" s="938"/>
      <c r="B34" s="459"/>
      <c r="C34" s="446"/>
      <c r="D34" s="446"/>
      <c r="E34" s="446"/>
      <c r="F34" s="450"/>
      <c r="G34" s="446"/>
      <c r="H34" s="446"/>
      <c r="I34" s="15" t="s">
        <v>9</v>
      </c>
      <c r="J34" s="451">
        <f>K34</f>
        <v>702203.72</v>
      </c>
      <c r="K34" s="29">
        <v>702203.72</v>
      </c>
      <c r="L34" s="74">
        <v>545414.29</v>
      </c>
      <c r="M34" s="74">
        <v>348941.19</v>
      </c>
      <c r="N34" s="74">
        <v>196473.11</v>
      </c>
      <c r="O34" s="74">
        <v>0</v>
      </c>
      <c r="P34" s="74">
        <v>0</v>
      </c>
      <c r="Q34" s="74">
        <f>SUM(Q35:Q35)</f>
        <v>37814.324000000001</v>
      </c>
      <c r="R34" s="74">
        <f>SUM(R35:R35)</f>
        <v>37814.324000000001</v>
      </c>
      <c r="S34" s="74">
        <f>SUM(S35:S35)</f>
        <v>37814.324000000001</v>
      </c>
      <c r="T34" s="74">
        <f t="shared" ref="T34:AI34" si="52">SUM(T35:T35)</f>
        <v>0</v>
      </c>
      <c r="U34" s="74">
        <f t="shared" si="52"/>
        <v>0</v>
      </c>
      <c r="V34" s="74">
        <f t="shared" si="52"/>
        <v>0</v>
      </c>
      <c r="W34" s="74">
        <f t="shared" si="52"/>
        <v>0</v>
      </c>
      <c r="X34" s="74">
        <v>0</v>
      </c>
      <c r="Y34" s="74">
        <f t="shared" si="52"/>
        <v>0</v>
      </c>
      <c r="Z34" s="74">
        <f t="shared" si="52"/>
        <v>0</v>
      </c>
      <c r="AA34" s="74">
        <f>SUM(AA35:AA35)</f>
        <v>0</v>
      </c>
      <c r="AB34" s="74">
        <f>SUM(AB35:AB35)</f>
        <v>0</v>
      </c>
      <c r="AC34" s="74">
        <f t="shared" ref="AC34:AD34" si="53">SUM(AC35:AC35)</f>
        <v>0</v>
      </c>
      <c r="AD34" s="74">
        <f t="shared" si="53"/>
        <v>0</v>
      </c>
      <c r="AE34" s="74">
        <f t="shared" si="52"/>
        <v>0</v>
      </c>
      <c r="AF34" s="74">
        <f t="shared" si="52"/>
        <v>0</v>
      </c>
      <c r="AG34" s="74">
        <f t="shared" si="52"/>
        <v>0</v>
      </c>
      <c r="AH34" s="74">
        <f t="shared" si="52"/>
        <v>0</v>
      </c>
      <c r="AI34" s="74">
        <f t="shared" si="52"/>
        <v>0</v>
      </c>
      <c r="AJ34" s="74">
        <v>0</v>
      </c>
      <c r="AK34" s="74">
        <v>0</v>
      </c>
      <c r="AL34" s="74">
        <v>0</v>
      </c>
      <c r="AM34" s="74">
        <v>0</v>
      </c>
      <c r="AN34" s="74">
        <v>0</v>
      </c>
      <c r="AO34" s="1004"/>
    </row>
    <row r="35" spans="1:41" s="100" customFormat="1" ht="15.75" hidden="1" customHeight="1">
      <c r="A35" s="329"/>
      <c r="B35" s="437" t="s">
        <v>253</v>
      </c>
      <c r="C35" s="93"/>
      <c r="D35" s="93"/>
      <c r="E35" s="93"/>
      <c r="F35" s="94"/>
      <c r="G35" s="93"/>
      <c r="H35" s="93"/>
      <c r="I35" s="104"/>
      <c r="J35" s="101"/>
      <c r="K35" s="102"/>
      <c r="L35" s="103"/>
      <c r="M35" s="103"/>
      <c r="N35" s="103"/>
      <c r="O35" s="103"/>
      <c r="P35" s="99">
        <f>Q35</f>
        <v>37814.324000000001</v>
      </c>
      <c r="Q35" s="99">
        <f>S35+U35+W35+Y35</f>
        <v>37814.324000000001</v>
      </c>
      <c r="R35" s="99">
        <f>S35</f>
        <v>37814.324000000001</v>
      </c>
      <c r="S35" s="103">
        <v>37814.324000000001</v>
      </c>
      <c r="T35" s="103">
        <v>0</v>
      </c>
      <c r="U35" s="103">
        <v>0</v>
      </c>
      <c r="V35" s="103">
        <v>0</v>
      </c>
      <c r="W35" s="103">
        <v>0</v>
      </c>
      <c r="X35" s="103">
        <v>0</v>
      </c>
      <c r="Y35" s="103">
        <v>0</v>
      </c>
      <c r="Z35" s="99">
        <f>SUM(AA35:AD35)</f>
        <v>0</v>
      </c>
      <c r="AA35" s="103">
        <v>0</v>
      </c>
      <c r="AB35" s="103">
        <v>0</v>
      </c>
      <c r="AC35" s="103">
        <v>0</v>
      </c>
      <c r="AD35" s="103">
        <v>0</v>
      </c>
      <c r="AE35" s="99">
        <f>SUM(AF35:AF35)</f>
        <v>0</v>
      </c>
      <c r="AF35" s="103"/>
      <c r="AG35" s="103"/>
      <c r="AH35" s="103"/>
      <c r="AI35" s="103"/>
      <c r="AJ35" s="103"/>
      <c r="AK35" s="103"/>
      <c r="AL35" s="103"/>
      <c r="AM35" s="103"/>
      <c r="AN35" s="103"/>
      <c r="AO35" s="1004"/>
    </row>
    <row r="36" spans="1:41" ht="25.5">
      <c r="A36" s="447"/>
      <c r="B36" s="459"/>
      <c r="C36" s="446"/>
      <c r="D36" s="446"/>
      <c r="E36" s="446"/>
      <c r="F36" s="450"/>
      <c r="G36" s="446"/>
      <c r="H36" s="446"/>
      <c r="I36" s="452" t="s">
        <v>10</v>
      </c>
      <c r="J36" s="444"/>
      <c r="K36" s="290"/>
      <c r="L36" s="74">
        <f>SUM(L37:L38)</f>
        <v>172003.82</v>
      </c>
      <c r="M36" s="74">
        <v>135504.01</v>
      </c>
      <c r="N36" s="74">
        <f>SUM(N37:N38)</f>
        <v>36499.81</v>
      </c>
      <c r="O36" s="74">
        <v>0</v>
      </c>
      <c r="P36" s="74">
        <v>0</v>
      </c>
      <c r="Q36" s="47">
        <f>SUM(Q37:Q38)</f>
        <v>64161.036999999997</v>
      </c>
      <c r="R36" s="47">
        <f t="shared" ref="R36:Y36" si="54">SUM(R37:R38)</f>
        <v>0</v>
      </c>
      <c r="S36" s="47">
        <f t="shared" si="54"/>
        <v>0</v>
      </c>
      <c r="T36" s="47">
        <f t="shared" si="54"/>
        <v>64161.036999999997</v>
      </c>
      <c r="U36" s="47">
        <f t="shared" si="54"/>
        <v>64161.036999999997</v>
      </c>
      <c r="V36" s="47">
        <f t="shared" si="54"/>
        <v>0</v>
      </c>
      <c r="W36" s="47">
        <f t="shared" si="54"/>
        <v>0</v>
      </c>
      <c r="X36" s="47">
        <v>0</v>
      </c>
      <c r="Y36" s="47">
        <f t="shared" si="54"/>
        <v>0</v>
      </c>
      <c r="Z36" s="47">
        <f t="shared" ref="Z36" si="55">SUM(Z37:Z38)</f>
        <v>0</v>
      </c>
      <c r="AA36" s="47">
        <f t="shared" ref="AA36:AD36" si="56">SUM(AA37:AA38)</f>
        <v>0</v>
      </c>
      <c r="AB36" s="47">
        <f t="shared" si="56"/>
        <v>0</v>
      </c>
      <c r="AC36" s="47">
        <f t="shared" si="56"/>
        <v>0</v>
      </c>
      <c r="AD36" s="47">
        <f t="shared" si="56"/>
        <v>0</v>
      </c>
      <c r="AE36" s="47">
        <f t="shared" ref="AE36:AF36" si="57">SUM(AE37:AE38)</f>
        <v>0</v>
      </c>
      <c r="AF36" s="47">
        <f t="shared" si="57"/>
        <v>0</v>
      </c>
      <c r="AG36" s="47">
        <f t="shared" ref="AG36:AI36" si="58">SUM(AG37:AG38)</f>
        <v>0</v>
      </c>
      <c r="AH36" s="47">
        <f t="shared" si="58"/>
        <v>0</v>
      </c>
      <c r="AI36" s="47">
        <f t="shared" si="58"/>
        <v>0</v>
      </c>
      <c r="AJ36" s="74">
        <v>0</v>
      </c>
      <c r="AK36" s="74">
        <v>0</v>
      </c>
      <c r="AL36" s="74">
        <v>0</v>
      </c>
      <c r="AM36" s="74">
        <v>0</v>
      </c>
      <c r="AN36" s="74">
        <v>0</v>
      </c>
      <c r="AO36" s="1005"/>
    </row>
    <row r="37" spans="1:41" ht="15.75">
      <c r="A37" s="479"/>
      <c r="B37" s="495" t="s">
        <v>224</v>
      </c>
      <c r="C37" s="478"/>
      <c r="D37" s="478"/>
      <c r="E37" s="478"/>
      <c r="F37" s="480"/>
      <c r="G37" s="478"/>
      <c r="H37" s="478"/>
      <c r="I37" s="482"/>
      <c r="J37" s="477"/>
      <c r="K37" s="290"/>
      <c r="L37" s="74">
        <v>90003.82</v>
      </c>
      <c r="M37" s="74"/>
      <c r="N37" s="74">
        <v>62531.64</v>
      </c>
      <c r="O37" s="74"/>
      <c r="P37" s="47">
        <f t="shared" ref="P37:P38" si="59">Q37</f>
        <v>64161.036999999997</v>
      </c>
      <c r="Q37" s="47">
        <f>S37+U37+W37+Y37</f>
        <v>64161.036999999997</v>
      </c>
      <c r="R37" s="74">
        <v>0</v>
      </c>
      <c r="S37" s="74">
        <v>0</v>
      </c>
      <c r="T37" s="74">
        <f>374.667+18409.181+45377.189</f>
        <v>64161.036999999997</v>
      </c>
      <c r="U37" s="74">
        <f>374.667+18409.181+45377.189</f>
        <v>64161.036999999997</v>
      </c>
      <c r="V37" s="74">
        <v>0</v>
      </c>
      <c r="W37" s="74">
        <v>0</v>
      </c>
      <c r="X37" s="74">
        <v>0</v>
      </c>
      <c r="Y37" s="74">
        <v>0</v>
      </c>
      <c r="Z37" s="74">
        <v>0</v>
      </c>
      <c r="AA37" s="74">
        <v>0</v>
      </c>
      <c r="AB37" s="74"/>
      <c r="AC37" s="74"/>
      <c r="AD37" s="74"/>
      <c r="AE37" s="47">
        <f>SUM(AF37:AF37)</f>
        <v>0</v>
      </c>
      <c r="AF37" s="74">
        <v>0</v>
      </c>
      <c r="AG37" s="74"/>
      <c r="AH37" s="74"/>
      <c r="AI37" s="74"/>
      <c r="AJ37" s="74">
        <v>0</v>
      </c>
      <c r="AK37" s="74">
        <v>0</v>
      </c>
      <c r="AL37" s="74">
        <v>0</v>
      </c>
      <c r="AM37" s="74">
        <v>0</v>
      </c>
      <c r="AN37" s="74">
        <v>0</v>
      </c>
      <c r="AO37" s="496"/>
    </row>
    <row r="38" spans="1:41" ht="15.75">
      <c r="A38" s="479"/>
      <c r="B38" s="495" t="s">
        <v>225</v>
      </c>
      <c r="C38" s="478"/>
      <c r="D38" s="478"/>
      <c r="E38" s="478"/>
      <c r="F38" s="480"/>
      <c r="G38" s="478"/>
      <c r="H38" s="478"/>
      <c r="I38" s="482"/>
      <c r="J38" s="477"/>
      <c r="K38" s="290"/>
      <c r="L38" s="74">
        <v>82000</v>
      </c>
      <c r="M38" s="74"/>
      <c r="N38" s="74">
        <v>-26031.83</v>
      </c>
      <c r="O38" s="74"/>
      <c r="P38" s="47">
        <f t="shared" si="59"/>
        <v>0</v>
      </c>
      <c r="Q38" s="47">
        <f>S38+U38+W38</f>
        <v>0</v>
      </c>
      <c r="R38" s="74">
        <v>0</v>
      </c>
      <c r="S38" s="74">
        <v>0</v>
      </c>
      <c r="T38" s="74">
        <v>0</v>
      </c>
      <c r="U38" s="74">
        <v>0</v>
      </c>
      <c r="V38" s="74">
        <v>0</v>
      </c>
      <c r="W38" s="74">
        <v>0</v>
      </c>
      <c r="X38" s="74">
        <v>0</v>
      </c>
      <c r="Y38" s="74">
        <v>0</v>
      </c>
      <c r="Z38" s="74">
        <v>0</v>
      </c>
      <c r="AA38" s="74">
        <v>0</v>
      </c>
      <c r="AB38" s="74"/>
      <c r="AC38" s="74"/>
      <c r="AD38" s="74"/>
      <c r="AE38" s="47">
        <f>SUM(AF38:AF38)</f>
        <v>0</v>
      </c>
      <c r="AF38" s="74">
        <v>0</v>
      </c>
      <c r="AG38" s="74"/>
      <c r="AH38" s="74"/>
      <c r="AI38" s="74"/>
      <c r="AJ38" s="74">
        <v>0</v>
      </c>
      <c r="AK38" s="74">
        <v>0</v>
      </c>
      <c r="AL38" s="74">
        <v>0</v>
      </c>
      <c r="AM38" s="74">
        <v>0</v>
      </c>
      <c r="AN38" s="74">
        <v>0</v>
      </c>
      <c r="AO38" s="496"/>
    </row>
    <row r="39" spans="1:41" ht="66" customHeight="1">
      <c r="A39" s="937" t="s">
        <v>33</v>
      </c>
      <c r="B39" s="80" t="s">
        <v>28</v>
      </c>
      <c r="C39" s="30"/>
      <c r="D39" s="30"/>
      <c r="E39" s="30"/>
      <c r="F39" s="31">
        <v>30000</v>
      </c>
      <c r="G39" s="10"/>
      <c r="H39" s="10"/>
      <c r="I39" s="820" t="s">
        <v>19</v>
      </c>
      <c r="J39" s="882">
        <f>K39+L39</f>
        <v>272205.39</v>
      </c>
      <c r="K39" s="882">
        <v>0</v>
      </c>
      <c r="L39" s="81">
        <f>L41+L40</f>
        <v>272205.39</v>
      </c>
      <c r="M39" s="81">
        <f t="shared" ref="M39:P39" si="60">M41+M40</f>
        <v>0</v>
      </c>
      <c r="N39" s="81">
        <f t="shared" si="60"/>
        <v>69943.709999999992</v>
      </c>
      <c r="O39" s="81">
        <f t="shared" si="60"/>
        <v>69943.710000000006</v>
      </c>
      <c r="P39" s="81">
        <f t="shared" si="60"/>
        <v>116395.59</v>
      </c>
      <c r="Q39" s="81">
        <f t="shared" ref="Q39:AN39" si="61">Q41</f>
        <v>0</v>
      </c>
      <c r="R39" s="81">
        <f t="shared" si="61"/>
        <v>0</v>
      </c>
      <c r="S39" s="81">
        <f t="shared" si="61"/>
        <v>0</v>
      </c>
      <c r="T39" s="81">
        <f t="shared" si="61"/>
        <v>0</v>
      </c>
      <c r="U39" s="81">
        <f t="shared" si="61"/>
        <v>0</v>
      </c>
      <c r="V39" s="81">
        <f t="shared" si="61"/>
        <v>0</v>
      </c>
      <c r="W39" s="81">
        <f t="shared" si="61"/>
        <v>0</v>
      </c>
      <c r="X39" s="81">
        <f t="shared" si="61"/>
        <v>0</v>
      </c>
      <c r="Y39" s="81">
        <f t="shared" si="61"/>
        <v>0</v>
      </c>
      <c r="Z39" s="81">
        <f t="shared" si="61"/>
        <v>0</v>
      </c>
      <c r="AA39" s="81">
        <f t="shared" si="61"/>
        <v>0</v>
      </c>
      <c r="AB39" s="81">
        <f t="shared" si="61"/>
        <v>0</v>
      </c>
      <c r="AC39" s="81">
        <f t="shared" si="61"/>
        <v>0</v>
      </c>
      <c r="AD39" s="81">
        <f t="shared" si="61"/>
        <v>0</v>
      </c>
      <c r="AE39" s="81">
        <f t="shared" si="61"/>
        <v>0</v>
      </c>
      <c r="AF39" s="81">
        <f t="shared" si="61"/>
        <v>0</v>
      </c>
      <c r="AG39" s="81">
        <f t="shared" si="61"/>
        <v>0</v>
      </c>
      <c r="AH39" s="81">
        <f t="shared" ref="AH39:AI39" si="62">AH41</f>
        <v>0</v>
      </c>
      <c r="AI39" s="81">
        <f t="shared" si="62"/>
        <v>0</v>
      </c>
      <c r="AJ39" s="82">
        <f>P39-Q39</f>
        <v>116395.59</v>
      </c>
      <c r="AK39" s="82">
        <f>AJ39</f>
        <v>116395.59</v>
      </c>
      <c r="AL39" s="81">
        <f t="shared" si="61"/>
        <v>0</v>
      </c>
      <c r="AM39" s="81">
        <f t="shared" si="61"/>
        <v>0</v>
      </c>
      <c r="AN39" s="81">
        <f t="shared" si="61"/>
        <v>0</v>
      </c>
      <c r="AO39" s="431"/>
    </row>
    <row r="40" spans="1:41" s="292" customFormat="1" ht="17.25" customHeight="1">
      <c r="A40" s="938"/>
      <c r="B40" s="1" t="s">
        <v>15</v>
      </c>
      <c r="C40" s="293"/>
      <c r="D40" s="293"/>
      <c r="E40" s="293"/>
      <c r="F40" s="294"/>
      <c r="G40" s="280"/>
      <c r="H40" s="280"/>
      <c r="I40" s="822"/>
      <c r="J40" s="917"/>
      <c r="K40" s="917"/>
      <c r="L40" s="75">
        <v>4946.26</v>
      </c>
      <c r="M40" s="75">
        <v>0</v>
      </c>
      <c r="N40" s="75">
        <v>4946.26</v>
      </c>
      <c r="O40" s="75">
        <v>0</v>
      </c>
      <c r="P40" s="75">
        <v>0</v>
      </c>
      <c r="Q40" s="75">
        <v>0</v>
      </c>
      <c r="R40" s="75">
        <v>0</v>
      </c>
      <c r="S40" s="75">
        <v>0</v>
      </c>
      <c r="T40" s="75">
        <v>0</v>
      </c>
      <c r="U40" s="75">
        <v>0</v>
      </c>
      <c r="V40" s="75">
        <v>0</v>
      </c>
      <c r="W40" s="75">
        <v>0</v>
      </c>
      <c r="X40" s="75">
        <v>0</v>
      </c>
      <c r="Y40" s="75">
        <v>0</v>
      </c>
      <c r="Z40" s="75">
        <v>0</v>
      </c>
      <c r="AA40" s="75">
        <v>0</v>
      </c>
      <c r="AB40" s="75">
        <v>0</v>
      </c>
      <c r="AC40" s="75">
        <v>0</v>
      </c>
      <c r="AD40" s="75">
        <v>0</v>
      </c>
      <c r="AE40" s="75">
        <v>0</v>
      </c>
      <c r="AF40" s="75">
        <v>0</v>
      </c>
      <c r="AG40" s="75">
        <v>0</v>
      </c>
      <c r="AH40" s="75">
        <v>0</v>
      </c>
      <c r="AI40" s="75">
        <v>0</v>
      </c>
      <c r="AJ40" s="295">
        <v>0</v>
      </c>
      <c r="AK40" s="295">
        <v>0</v>
      </c>
      <c r="AL40" s="75">
        <v>0</v>
      </c>
      <c r="AM40" s="75">
        <v>0</v>
      </c>
      <c r="AN40" s="75">
        <v>0</v>
      </c>
      <c r="AO40" s="1006"/>
    </row>
    <row r="41" spans="1:41" ht="15.75" customHeight="1">
      <c r="A41" s="939"/>
      <c r="B41" s="1" t="s">
        <v>32</v>
      </c>
      <c r="C41" s="30"/>
      <c r="D41" s="30"/>
      <c r="E41" s="30"/>
      <c r="F41" s="32"/>
      <c r="G41" s="10">
        <v>2020</v>
      </c>
      <c r="H41" s="10">
        <v>2021</v>
      </c>
      <c r="I41" s="821"/>
      <c r="J41" s="883"/>
      <c r="K41" s="883"/>
      <c r="L41" s="75">
        <v>267259.13</v>
      </c>
      <c r="M41" s="75">
        <v>0</v>
      </c>
      <c r="N41" s="75">
        <v>64997.45</v>
      </c>
      <c r="O41" s="75">
        <v>69943.710000000006</v>
      </c>
      <c r="P41" s="75">
        <v>116395.59</v>
      </c>
      <c r="Q41" s="75">
        <v>0</v>
      </c>
      <c r="R41" s="75">
        <v>0</v>
      </c>
      <c r="S41" s="75">
        <v>0</v>
      </c>
      <c r="T41" s="75">
        <v>0</v>
      </c>
      <c r="U41" s="75">
        <v>0</v>
      </c>
      <c r="V41" s="75">
        <v>0</v>
      </c>
      <c r="W41" s="75">
        <v>0</v>
      </c>
      <c r="X41" s="75">
        <v>0</v>
      </c>
      <c r="Y41" s="75">
        <v>0</v>
      </c>
      <c r="Z41" s="75">
        <v>0</v>
      </c>
      <c r="AA41" s="75">
        <v>0</v>
      </c>
      <c r="AB41" s="75">
        <v>0</v>
      </c>
      <c r="AC41" s="75">
        <v>0</v>
      </c>
      <c r="AD41" s="75">
        <v>0</v>
      </c>
      <c r="AE41" s="75">
        <v>0</v>
      </c>
      <c r="AF41" s="75">
        <v>0</v>
      </c>
      <c r="AG41" s="75">
        <v>0</v>
      </c>
      <c r="AH41" s="75">
        <v>0</v>
      </c>
      <c r="AI41" s="75">
        <v>0</v>
      </c>
      <c r="AJ41" s="75">
        <v>0</v>
      </c>
      <c r="AK41" s="75">
        <v>0</v>
      </c>
      <c r="AL41" s="75">
        <v>0</v>
      </c>
      <c r="AM41" s="75">
        <v>0</v>
      </c>
      <c r="AN41" s="75">
        <v>0</v>
      </c>
      <c r="AO41" s="1007"/>
    </row>
    <row r="42" spans="1:41" ht="56.25" customHeight="1">
      <c r="A42" s="937" t="s">
        <v>37</v>
      </c>
      <c r="B42" s="80" t="s">
        <v>36</v>
      </c>
      <c r="C42" s="30"/>
      <c r="D42" s="30"/>
      <c r="E42" s="30"/>
      <c r="F42" s="32"/>
      <c r="G42" s="10"/>
      <c r="H42" s="10"/>
      <c r="I42" s="820" t="s">
        <v>19</v>
      </c>
      <c r="J42" s="33">
        <v>344081.28</v>
      </c>
      <c r="K42" s="809">
        <v>0</v>
      </c>
      <c r="L42" s="79">
        <f>L43+L45</f>
        <v>248435.19</v>
      </c>
      <c r="M42" s="79">
        <f t="shared" ref="M42:P42" si="63">M43+M45</f>
        <v>20243.12</v>
      </c>
      <c r="N42" s="79">
        <f t="shared" si="63"/>
        <v>13773.23</v>
      </c>
      <c r="O42" s="79">
        <f t="shared" si="63"/>
        <v>8942.9699999999993</v>
      </c>
      <c r="P42" s="79">
        <f t="shared" si="63"/>
        <v>12942.97</v>
      </c>
      <c r="Q42" s="79">
        <f t="shared" ref="Q42:AN42" si="64">Q43+Q45</f>
        <v>0</v>
      </c>
      <c r="R42" s="79">
        <f t="shared" si="64"/>
        <v>0</v>
      </c>
      <c r="S42" s="79">
        <f t="shared" si="64"/>
        <v>0</v>
      </c>
      <c r="T42" s="79">
        <f t="shared" si="64"/>
        <v>0</v>
      </c>
      <c r="U42" s="79">
        <f t="shared" si="64"/>
        <v>0</v>
      </c>
      <c r="V42" s="79">
        <f t="shared" si="64"/>
        <v>0</v>
      </c>
      <c r="W42" s="79">
        <f t="shared" si="64"/>
        <v>0</v>
      </c>
      <c r="X42" s="79">
        <f t="shared" si="64"/>
        <v>0</v>
      </c>
      <c r="Y42" s="79">
        <f t="shared" si="64"/>
        <v>0</v>
      </c>
      <c r="Z42" s="79">
        <f t="shared" si="64"/>
        <v>0</v>
      </c>
      <c r="AA42" s="79">
        <f t="shared" si="64"/>
        <v>0</v>
      </c>
      <c r="AB42" s="79">
        <f t="shared" ref="AB42:AD42" si="65">AB43+AB45</f>
        <v>0</v>
      </c>
      <c r="AC42" s="79">
        <f t="shared" si="65"/>
        <v>0</v>
      </c>
      <c r="AD42" s="79">
        <f t="shared" si="65"/>
        <v>0</v>
      </c>
      <c r="AE42" s="79">
        <f t="shared" si="64"/>
        <v>0</v>
      </c>
      <c r="AF42" s="79">
        <f t="shared" si="64"/>
        <v>0</v>
      </c>
      <c r="AG42" s="79">
        <f t="shared" si="64"/>
        <v>0</v>
      </c>
      <c r="AH42" s="79">
        <f t="shared" ref="AH42:AI42" si="66">AH43+AH45</f>
        <v>0</v>
      </c>
      <c r="AI42" s="79">
        <f t="shared" si="66"/>
        <v>0</v>
      </c>
      <c r="AJ42" s="79">
        <f>P42-Q42</f>
        <v>12942.97</v>
      </c>
      <c r="AK42" s="79">
        <f>AJ42</f>
        <v>12942.97</v>
      </c>
      <c r="AL42" s="79">
        <f>ROUND((Q42*100%/P42*100),2)</f>
        <v>0</v>
      </c>
      <c r="AM42" s="79">
        <f t="shared" si="64"/>
        <v>0</v>
      </c>
      <c r="AN42" s="79">
        <f t="shared" si="64"/>
        <v>0</v>
      </c>
      <c r="AO42" s="406"/>
    </row>
    <row r="43" spans="1:41" ht="15" customHeight="1">
      <c r="A43" s="938"/>
      <c r="B43" s="1" t="s">
        <v>15</v>
      </c>
      <c r="C43" s="30"/>
      <c r="D43" s="30"/>
      <c r="E43" s="30"/>
      <c r="F43" s="32"/>
      <c r="G43" s="10">
        <v>2019</v>
      </c>
      <c r="H43" s="10">
        <v>2019</v>
      </c>
      <c r="I43" s="822"/>
      <c r="J43" s="16">
        <v>31543.64</v>
      </c>
      <c r="K43" s="810"/>
      <c r="L43" s="47">
        <f>SUM(M43:O43)</f>
        <v>31543.64</v>
      </c>
      <c r="M43" s="4">
        <v>20243.12</v>
      </c>
      <c r="N43" s="4">
        <v>11300.52</v>
      </c>
      <c r="O43" s="4">
        <v>0</v>
      </c>
      <c r="P43" s="4">
        <v>0</v>
      </c>
      <c r="Q43" s="4">
        <f>Q44</f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f>X44</f>
        <v>0</v>
      </c>
      <c r="Y43" s="4">
        <f>Y44</f>
        <v>0</v>
      </c>
      <c r="Z43" s="4">
        <f>Z44</f>
        <v>0</v>
      </c>
      <c r="AA43" s="4">
        <v>0</v>
      </c>
      <c r="AB43" s="4">
        <v>0</v>
      </c>
      <c r="AC43" s="4">
        <v>0</v>
      </c>
      <c r="AD43" s="4">
        <f>AD44</f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07"/>
    </row>
    <row r="44" spans="1:41" s="100" customFormat="1" ht="15" hidden="1" customHeight="1">
      <c r="A44" s="938"/>
      <c r="B44" s="105" t="s">
        <v>301</v>
      </c>
      <c r="C44" s="506"/>
      <c r="D44" s="506"/>
      <c r="E44" s="506"/>
      <c r="F44" s="507"/>
      <c r="G44" s="508"/>
      <c r="H44" s="508"/>
      <c r="I44" s="822"/>
      <c r="J44" s="110"/>
      <c r="K44" s="810"/>
      <c r="L44" s="99"/>
      <c r="M44" s="275"/>
      <c r="N44" s="275"/>
      <c r="O44" s="275"/>
      <c r="P44" s="275"/>
      <c r="Q44" s="275">
        <f>Y44</f>
        <v>0</v>
      </c>
      <c r="R44" s="275"/>
      <c r="S44" s="275"/>
      <c r="T44" s="275"/>
      <c r="U44" s="275"/>
      <c r="V44" s="275"/>
      <c r="W44" s="275"/>
      <c r="X44" s="275">
        <v>0</v>
      </c>
      <c r="Y44" s="275">
        <v>0</v>
      </c>
      <c r="Z44" s="275">
        <f>AD44</f>
        <v>0</v>
      </c>
      <c r="AA44" s="275"/>
      <c r="AB44" s="275"/>
      <c r="AC44" s="275"/>
      <c r="AD44" s="275">
        <v>0</v>
      </c>
      <c r="AE44" s="275"/>
      <c r="AF44" s="275"/>
      <c r="AG44" s="275"/>
      <c r="AH44" s="275"/>
      <c r="AI44" s="275"/>
      <c r="AJ44" s="275"/>
      <c r="AK44" s="275"/>
      <c r="AL44" s="275"/>
      <c r="AM44" s="275"/>
      <c r="AN44" s="275"/>
      <c r="AO44" s="509"/>
    </row>
    <row r="45" spans="1:41" ht="14.25" customHeight="1">
      <c r="A45" s="939"/>
      <c r="B45" s="1" t="s">
        <v>16</v>
      </c>
      <c r="C45" s="30"/>
      <c r="D45" s="30"/>
      <c r="E45" s="30"/>
      <c r="F45" s="32"/>
      <c r="G45" s="10">
        <v>2020</v>
      </c>
      <c r="H45" s="10">
        <v>2021</v>
      </c>
      <c r="I45" s="821"/>
      <c r="J45" s="16">
        <v>312537.64</v>
      </c>
      <c r="K45" s="811"/>
      <c r="L45" s="47">
        <v>216891.55</v>
      </c>
      <c r="M45" s="4">
        <v>0</v>
      </c>
      <c r="N45" s="4">
        <v>2472.71</v>
      </c>
      <c r="O45" s="4">
        <v>8942.9699999999993</v>
      </c>
      <c r="P45" s="4">
        <v>12942.97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47">
        <v>0</v>
      </c>
      <c r="X45" s="47">
        <v>0</v>
      </c>
      <c r="Y45" s="47">
        <v>0</v>
      </c>
      <c r="Z45" s="47">
        <v>0</v>
      </c>
      <c r="AA45" s="47">
        <v>0</v>
      </c>
      <c r="AB45" s="47">
        <v>0</v>
      </c>
      <c r="AC45" s="47">
        <v>0</v>
      </c>
      <c r="AD45" s="47">
        <v>0</v>
      </c>
      <c r="AE45" s="47">
        <v>0</v>
      </c>
      <c r="AF45" s="47">
        <v>0</v>
      </c>
      <c r="AG45" s="47">
        <v>0</v>
      </c>
      <c r="AH45" s="47">
        <v>0</v>
      </c>
      <c r="AI45" s="47">
        <v>0</v>
      </c>
      <c r="AJ45" s="47">
        <v>0</v>
      </c>
      <c r="AK45" s="47">
        <v>0</v>
      </c>
      <c r="AL45" s="47">
        <v>0</v>
      </c>
      <c r="AM45" s="47">
        <v>0</v>
      </c>
      <c r="AN45" s="47">
        <v>0</v>
      </c>
      <c r="AO45" s="403"/>
    </row>
    <row r="46" spans="1:41" ht="64.5" customHeight="1">
      <c r="A46" s="937" t="s">
        <v>37</v>
      </c>
      <c r="B46" s="80" t="s">
        <v>381</v>
      </c>
      <c r="C46" s="30"/>
      <c r="D46" s="30"/>
      <c r="E46" s="30"/>
      <c r="F46" s="32"/>
      <c r="G46" s="739"/>
      <c r="H46" s="739"/>
      <c r="I46" s="820" t="s">
        <v>19</v>
      </c>
      <c r="J46" s="33">
        <v>344081.28</v>
      </c>
      <c r="K46" s="809">
        <v>0</v>
      </c>
      <c r="L46" s="79">
        <f>L47+L51</f>
        <v>8215.9</v>
      </c>
      <c r="M46" s="79">
        <f t="shared" ref="M46:AI46" si="67">M47+M51</f>
        <v>20243.12</v>
      </c>
      <c r="N46" s="79">
        <f t="shared" si="67"/>
        <v>13773.23</v>
      </c>
      <c r="O46" s="79">
        <f t="shared" si="67"/>
        <v>8942.9699999999993</v>
      </c>
      <c r="P46" s="79">
        <f t="shared" si="67"/>
        <v>0</v>
      </c>
      <c r="Q46" s="79">
        <f t="shared" si="67"/>
        <v>123.589</v>
      </c>
      <c r="R46" s="79">
        <f t="shared" si="67"/>
        <v>0</v>
      </c>
      <c r="S46" s="79">
        <f t="shared" si="67"/>
        <v>0</v>
      </c>
      <c r="T46" s="79">
        <f t="shared" si="67"/>
        <v>0</v>
      </c>
      <c r="U46" s="79">
        <f t="shared" si="67"/>
        <v>0</v>
      </c>
      <c r="V46" s="79">
        <f t="shared" si="67"/>
        <v>0</v>
      </c>
      <c r="W46" s="79">
        <f t="shared" si="67"/>
        <v>0</v>
      </c>
      <c r="X46" s="79">
        <f t="shared" si="67"/>
        <v>0</v>
      </c>
      <c r="Y46" s="79">
        <f t="shared" si="67"/>
        <v>123.589</v>
      </c>
      <c r="Z46" s="79">
        <f t="shared" si="67"/>
        <v>99.75</v>
      </c>
      <c r="AA46" s="79">
        <f t="shared" si="67"/>
        <v>0</v>
      </c>
      <c r="AB46" s="79">
        <f t="shared" si="67"/>
        <v>0</v>
      </c>
      <c r="AC46" s="79">
        <f t="shared" si="67"/>
        <v>0</v>
      </c>
      <c r="AD46" s="79">
        <f t="shared" si="67"/>
        <v>99.75</v>
      </c>
      <c r="AE46" s="79">
        <f t="shared" si="67"/>
        <v>0</v>
      </c>
      <c r="AF46" s="79">
        <f t="shared" si="67"/>
        <v>0</v>
      </c>
      <c r="AG46" s="79">
        <f t="shared" si="67"/>
        <v>0</v>
      </c>
      <c r="AH46" s="79">
        <f t="shared" si="67"/>
        <v>0</v>
      </c>
      <c r="AI46" s="79">
        <f t="shared" si="67"/>
        <v>0</v>
      </c>
      <c r="AJ46" s="79">
        <f>P46-Q46</f>
        <v>-123.589</v>
      </c>
      <c r="AK46" s="79">
        <f>AJ46</f>
        <v>-123.589</v>
      </c>
      <c r="AL46" s="79" t="e">
        <f>ROUND((Q46*100%/P46*100),2)</f>
        <v>#DIV/0!</v>
      </c>
      <c r="AM46" s="79">
        <f t="shared" ref="AM46:AN46" si="68">AM47+AM51</f>
        <v>0</v>
      </c>
      <c r="AN46" s="79">
        <f t="shared" si="68"/>
        <v>0</v>
      </c>
      <c r="AO46" s="406"/>
    </row>
    <row r="47" spans="1:41" ht="15" customHeight="1">
      <c r="A47" s="938"/>
      <c r="B47" s="1" t="s">
        <v>15</v>
      </c>
      <c r="C47" s="30"/>
      <c r="D47" s="30"/>
      <c r="E47" s="30"/>
      <c r="F47" s="32"/>
      <c r="G47" s="739">
        <v>2019</v>
      </c>
      <c r="H47" s="739">
        <v>2019</v>
      </c>
      <c r="I47" s="822"/>
      <c r="J47" s="16">
        <v>31543.64</v>
      </c>
      <c r="K47" s="810"/>
      <c r="L47" s="47">
        <v>1519.43</v>
      </c>
      <c r="M47" s="4">
        <v>20243.12</v>
      </c>
      <c r="N47" s="4">
        <v>11300.52</v>
      </c>
      <c r="O47" s="4">
        <v>0</v>
      </c>
      <c r="P47" s="4">
        <v>0</v>
      </c>
      <c r="Q47" s="4">
        <f t="shared" ref="Q47:X47" si="69">SUM(Q48:Q50)</f>
        <v>123.589</v>
      </c>
      <c r="R47" s="4">
        <f t="shared" si="69"/>
        <v>0</v>
      </c>
      <c r="S47" s="4">
        <f t="shared" si="69"/>
        <v>0</v>
      </c>
      <c r="T47" s="4">
        <f t="shared" si="69"/>
        <v>0</v>
      </c>
      <c r="U47" s="4">
        <f t="shared" si="69"/>
        <v>0</v>
      </c>
      <c r="V47" s="4">
        <f t="shared" si="69"/>
        <v>0</v>
      </c>
      <c r="W47" s="4">
        <f t="shared" si="69"/>
        <v>0</v>
      </c>
      <c r="X47" s="4">
        <f t="shared" si="69"/>
        <v>0</v>
      </c>
      <c r="Y47" s="4">
        <f>SUM(Y48:Y50)</f>
        <v>123.589</v>
      </c>
      <c r="Z47" s="4">
        <f t="shared" ref="Z47:AC47" si="70">SUM(Z48:Z50)</f>
        <v>99.75</v>
      </c>
      <c r="AA47" s="4">
        <f t="shared" si="70"/>
        <v>0</v>
      </c>
      <c r="AB47" s="4">
        <f t="shared" si="70"/>
        <v>0</v>
      </c>
      <c r="AC47" s="4">
        <f t="shared" si="70"/>
        <v>0</v>
      </c>
      <c r="AD47" s="4">
        <f>SUM(AD48:AD50)</f>
        <v>99.75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740"/>
    </row>
    <row r="48" spans="1:41" s="100" customFormat="1" ht="15" hidden="1" customHeight="1">
      <c r="A48" s="938"/>
      <c r="B48" s="105" t="s">
        <v>301</v>
      </c>
      <c r="C48" s="506"/>
      <c r="D48" s="506"/>
      <c r="E48" s="506"/>
      <c r="F48" s="507"/>
      <c r="G48" s="508"/>
      <c r="H48" s="508"/>
      <c r="I48" s="822"/>
      <c r="J48" s="110"/>
      <c r="K48" s="810"/>
      <c r="L48" s="99"/>
      <c r="M48" s="275"/>
      <c r="N48" s="275"/>
      <c r="O48" s="275"/>
      <c r="P48" s="275"/>
      <c r="Q48" s="275">
        <f>Y48</f>
        <v>0</v>
      </c>
      <c r="R48" s="275"/>
      <c r="S48" s="275"/>
      <c r="T48" s="275"/>
      <c r="U48" s="275"/>
      <c r="V48" s="275"/>
      <c r="W48" s="275"/>
      <c r="X48" s="275">
        <v>0</v>
      </c>
      <c r="Y48" s="275">
        <v>0</v>
      </c>
      <c r="Z48" s="275">
        <f>AD48</f>
        <v>0</v>
      </c>
      <c r="AA48" s="275"/>
      <c r="AB48" s="275"/>
      <c r="AC48" s="275"/>
      <c r="AD48" s="275">
        <v>0</v>
      </c>
      <c r="AE48" s="275"/>
      <c r="AF48" s="275"/>
      <c r="AG48" s="275"/>
      <c r="AH48" s="275"/>
      <c r="AI48" s="275"/>
      <c r="AJ48" s="275"/>
      <c r="AK48" s="275"/>
      <c r="AL48" s="275"/>
      <c r="AM48" s="275"/>
      <c r="AN48" s="275"/>
      <c r="AO48" s="509"/>
    </row>
    <row r="49" spans="1:41" s="100" customFormat="1" ht="24.75" hidden="1" customHeight="1">
      <c r="A49" s="938"/>
      <c r="B49" s="105" t="s">
        <v>434</v>
      </c>
      <c r="C49" s="506"/>
      <c r="D49" s="506"/>
      <c r="E49" s="506"/>
      <c r="F49" s="507"/>
      <c r="G49" s="508"/>
      <c r="H49" s="508"/>
      <c r="I49" s="822"/>
      <c r="J49" s="110"/>
      <c r="K49" s="810"/>
      <c r="L49" s="99"/>
      <c r="M49" s="275"/>
      <c r="N49" s="275"/>
      <c r="O49" s="275"/>
      <c r="P49" s="275"/>
      <c r="Q49" s="275">
        <f t="shared" ref="Q49:Q50" si="71">Y49</f>
        <v>23.838999999999999</v>
      </c>
      <c r="R49" s="275"/>
      <c r="S49" s="275"/>
      <c r="T49" s="275"/>
      <c r="U49" s="275"/>
      <c r="V49" s="275"/>
      <c r="W49" s="275"/>
      <c r="X49" s="275"/>
      <c r="Y49" s="275">
        <f>3.973+11.92+7.946</f>
        <v>23.838999999999999</v>
      </c>
      <c r="Z49" s="275">
        <f t="shared" ref="Z49:Z50" si="72">AD49</f>
        <v>0</v>
      </c>
      <c r="AA49" s="275"/>
      <c r="AB49" s="275"/>
      <c r="AC49" s="275"/>
      <c r="AD49" s="275"/>
      <c r="AE49" s="275"/>
      <c r="AF49" s="275"/>
      <c r="AG49" s="275"/>
      <c r="AH49" s="275"/>
      <c r="AI49" s="275"/>
      <c r="AJ49" s="275"/>
      <c r="AK49" s="275"/>
      <c r="AL49" s="275"/>
      <c r="AM49" s="275"/>
      <c r="AN49" s="275"/>
      <c r="AO49" s="509"/>
    </row>
    <row r="50" spans="1:41" s="100" customFormat="1" ht="15" hidden="1" customHeight="1">
      <c r="A50" s="938"/>
      <c r="B50" s="105" t="s">
        <v>435</v>
      </c>
      <c r="C50" s="506"/>
      <c r="D50" s="506"/>
      <c r="E50" s="506"/>
      <c r="F50" s="507"/>
      <c r="G50" s="508"/>
      <c r="H50" s="508"/>
      <c r="I50" s="822"/>
      <c r="J50" s="110"/>
      <c r="K50" s="810"/>
      <c r="L50" s="99"/>
      <c r="M50" s="275"/>
      <c r="N50" s="275"/>
      <c r="O50" s="275"/>
      <c r="P50" s="275"/>
      <c r="Q50" s="275">
        <f t="shared" si="71"/>
        <v>99.75</v>
      </c>
      <c r="R50" s="275"/>
      <c r="S50" s="275"/>
      <c r="T50" s="275"/>
      <c r="U50" s="275"/>
      <c r="V50" s="275"/>
      <c r="W50" s="275"/>
      <c r="X50" s="275"/>
      <c r="Y50" s="275">
        <v>99.75</v>
      </c>
      <c r="Z50" s="275">
        <f t="shared" si="72"/>
        <v>99.75</v>
      </c>
      <c r="AA50" s="275"/>
      <c r="AB50" s="275"/>
      <c r="AC50" s="275"/>
      <c r="AD50" s="275">
        <v>99.75</v>
      </c>
      <c r="AE50" s="275"/>
      <c r="AF50" s="275"/>
      <c r="AG50" s="275"/>
      <c r="AH50" s="275"/>
      <c r="AI50" s="275"/>
      <c r="AJ50" s="275"/>
      <c r="AK50" s="275"/>
      <c r="AL50" s="275"/>
      <c r="AM50" s="275"/>
      <c r="AN50" s="275"/>
      <c r="AO50" s="509"/>
    </row>
    <row r="51" spans="1:41" ht="14.25" customHeight="1">
      <c r="A51" s="939"/>
      <c r="B51" s="1" t="s">
        <v>16</v>
      </c>
      <c r="C51" s="30"/>
      <c r="D51" s="30"/>
      <c r="E51" s="30"/>
      <c r="F51" s="32"/>
      <c r="G51" s="739">
        <v>2020</v>
      </c>
      <c r="H51" s="739">
        <v>2021</v>
      </c>
      <c r="I51" s="821"/>
      <c r="J51" s="16">
        <v>312537.64</v>
      </c>
      <c r="K51" s="811"/>
      <c r="L51" s="47">
        <v>6696.47</v>
      </c>
      <c r="M51" s="4">
        <v>0</v>
      </c>
      <c r="N51" s="4">
        <v>2472.71</v>
      </c>
      <c r="O51" s="4">
        <v>8942.9699999999993</v>
      </c>
      <c r="P51" s="4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  <c r="V51" s="47">
        <v>0</v>
      </c>
      <c r="W51" s="47">
        <v>0</v>
      </c>
      <c r="X51" s="47">
        <v>0</v>
      </c>
      <c r="Y51" s="47">
        <v>0</v>
      </c>
      <c r="Z51" s="47">
        <v>0</v>
      </c>
      <c r="AA51" s="47">
        <v>0</v>
      </c>
      <c r="AB51" s="47">
        <v>0</v>
      </c>
      <c r="AC51" s="47">
        <v>0</v>
      </c>
      <c r="AD51" s="47">
        <v>0</v>
      </c>
      <c r="AE51" s="47">
        <v>0</v>
      </c>
      <c r="AF51" s="47">
        <v>0</v>
      </c>
      <c r="AG51" s="47">
        <v>0</v>
      </c>
      <c r="AH51" s="47">
        <v>0</v>
      </c>
      <c r="AI51" s="47">
        <v>0</v>
      </c>
      <c r="AJ51" s="47">
        <v>0</v>
      </c>
      <c r="AK51" s="47">
        <v>0</v>
      </c>
      <c r="AL51" s="47">
        <v>0</v>
      </c>
      <c r="AM51" s="47">
        <v>0</v>
      </c>
      <c r="AN51" s="47">
        <v>0</v>
      </c>
      <c r="AO51" s="403"/>
    </row>
    <row r="52" spans="1:41" ht="53.25" customHeight="1">
      <c r="A52" s="937" t="s">
        <v>22</v>
      </c>
      <c r="B52" s="889" t="s">
        <v>49</v>
      </c>
      <c r="C52" s="890"/>
      <c r="D52" s="890"/>
      <c r="E52" s="890"/>
      <c r="F52" s="890"/>
      <c r="G52" s="890"/>
      <c r="H52" s="891"/>
      <c r="I52" s="15" t="s">
        <v>19</v>
      </c>
      <c r="J52" s="16">
        <v>0</v>
      </c>
      <c r="K52" s="16">
        <v>0</v>
      </c>
      <c r="L52" s="3">
        <v>0</v>
      </c>
      <c r="M52" s="325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740"/>
    </row>
    <row r="53" spans="1:41" ht="39" customHeight="1">
      <c r="A53" s="938"/>
      <c r="B53" s="892"/>
      <c r="C53" s="893"/>
      <c r="D53" s="893"/>
      <c r="E53" s="893"/>
      <c r="F53" s="893"/>
      <c r="G53" s="893"/>
      <c r="H53" s="894"/>
      <c r="I53" s="15" t="s">
        <v>20</v>
      </c>
      <c r="J53" s="16">
        <v>0</v>
      </c>
      <c r="K53" s="16">
        <v>0</v>
      </c>
      <c r="L53" s="3">
        <f>L56</f>
        <v>6815.74</v>
      </c>
      <c r="M53" s="3">
        <f t="shared" ref="M53:AD53" si="73">M56</f>
        <v>0</v>
      </c>
      <c r="N53" s="47">
        <f t="shared" si="73"/>
        <v>0</v>
      </c>
      <c r="O53" s="47">
        <f t="shared" si="73"/>
        <v>0</v>
      </c>
      <c r="P53" s="47">
        <f t="shared" si="73"/>
        <v>7.2</v>
      </c>
      <c r="Q53" s="47">
        <f t="shared" si="73"/>
        <v>55.2</v>
      </c>
      <c r="R53" s="47">
        <f t="shared" si="73"/>
        <v>0</v>
      </c>
      <c r="S53" s="47">
        <f t="shared" si="73"/>
        <v>0</v>
      </c>
      <c r="T53" s="47">
        <f t="shared" si="73"/>
        <v>7.2</v>
      </c>
      <c r="U53" s="47">
        <f t="shared" si="73"/>
        <v>7.2</v>
      </c>
      <c r="V53" s="47">
        <f t="shared" si="73"/>
        <v>0</v>
      </c>
      <c r="W53" s="47">
        <f t="shared" si="73"/>
        <v>0</v>
      </c>
      <c r="X53" s="47">
        <f t="shared" si="73"/>
        <v>48</v>
      </c>
      <c r="Y53" s="47">
        <f t="shared" si="73"/>
        <v>48</v>
      </c>
      <c r="Z53" s="47">
        <f t="shared" si="73"/>
        <v>55.2</v>
      </c>
      <c r="AA53" s="47">
        <f t="shared" si="73"/>
        <v>0</v>
      </c>
      <c r="AB53" s="47">
        <f t="shared" si="73"/>
        <v>7.2</v>
      </c>
      <c r="AC53" s="47">
        <f t="shared" si="73"/>
        <v>0</v>
      </c>
      <c r="AD53" s="47">
        <f t="shared" si="73"/>
        <v>48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740"/>
    </row>
    <row r="54" spans="1:41" ht="27.75" customHeight="1">
      <c r="A54" s="938"/>
      <c r="B54" s="892"/>
      <c r="C54" s="893"/>
      <c r="D54" s="893"/>
      <c r="E54" s="893"/>
      <c r="F54" s="893"/>
      <c r="G54" s="893"/>
      <c r="H54" s="894"/>
      <c r="I54" s="15" t="s">
        <v>10</v>
      </c>
      <c r="J54" s="16">
        <f t="shared" ref="J54:M54" si="74">J56</f>
        <v>23417.360000000001</v>
      </c>
      <c r="K54" s="16">
        <f t="shared" si="74"/>
        <v>0</v>
      </c>
      <c r="L54" s="3">
        <v>0</v>
      </c>
      <c r="M54" s="325">
        <f t="shared" si="74"/>
        <v>0</v>
      </c>
      <c r="N54" s="4">
        <f t="shared" ref="N54:W54" si="75">N56</f>
        <v>0</v>
      </c>
      <c r="O54" s="4">
        <f t="shared" si="75"/>
        <v>0</v>
      </c>
      <c r="P54" s="4">
        <v>0</v>
      </c>
      <c r="Q54" s="4">
        <v>0</v>
      </c>
      <c r="R54" s="4">
        <f t="shared" si="75"/>
        <v>0</v>
      </c>
      <c r="S54" s="4">
        <f t="shared" si="75"/>
        <v>0</v>
      </c>
      <c r="T54" s="4">
        <f>0</f>
        <v>0</v>
      </c>
      <c r="U54" s="4">
        <v>0</v>
      </c>
      <c r="V54" s="4">
        <f t="shared" si="75"/>
        <v>0</v>
      </c>
      <c r="W54" s="4">
        <f t="shared" si="75"/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f t="shared" ref="AL54:AN54" si="76">AL56</f>
        <v>0</v>
      </c>
      <c r="AM54" s="4">
        <f t="shared" si="76"/>
        <v>0</v>
      </c>
      <c r="AN54" s="4">
        <f t="shared" si="76"/>
        <v>0</v>
      </c>
      <c r="AO54" s="740"/>
    </row>
    <row r="55" spans="1:41" ht="27.75" customHeight="1">
      <c r="A55" s="939"/>
      <c r="B55" s="895"/>
      <c r="C55" s="896"/>
      <c r="D55" s="896"/>
      <c r="E55" s="896"/>
      <c r="F55" s="896"/>
      <c r="G55" s="896"/>
      <c r="H55" s="897"/>
      <c r="I55" s="15" t="s">
        <v>9</v>
      </c>
      <c r="J55" s="16">
        <v>0</v>
      </c>
      <c r="K55" s="16">
        <v>0</v>
      </c>
      <c r="L55" s="3">
        <v>0</v>
      </c>
      <c r="M55" s="325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740"/>
    </row>
    <row r="56" spans="1:41" ht="57.75" customHeight="1">
      <c r="A56" s="965" t="s">
        <v>23</v>
      </c>
      <c r="B56" s="80" t="s">
        <v>380</v>
      </c>
      <c r="C56" s="34">
        <v>900</v>
      </c>
      <c r="D56" s="35">
        <v>28000</v>
      </c>
      <c r="E56" s="34"/>
      <c r="F56" s="36"/>
      <c r="G56" s="11"/>
      <c r="H56" s="11"/>
      <c r="I56" s="918" t="s">
        <v>20</v>
      </c>
      <c r="J56" s="882">
        <v>23417.360000000001</v>
      </c>
      <c r="K56" s="882">
        <v>0</v>
      </c>
      <c r="L56" s="81">
        <f>SUM(L57:L60)</f>
        <v>6815.74</v>
      </c>
      <c r="M56" s="81">
        <f t="shared" ref="M56:P56" si="77">SUM(M57:M60)</f>
        <v>0</v>
      </c>
      <c r="N56" s="81">
        <f t="shared" si="77"/>
        <v>0</v>
      </c>
      <c r="O56" s="81">
        <f t="shared" si="77"/>
        <v>0</v>
      </c>
      <c r="P56" s="81">
        <f t="shared" si="77"/>
        <v>7.2</v>
      </c>
      <c r="Q56" s="81">
        <f>Q57+Q60</f>
        <v>55.2</v>
      </c>
      <c r="R56" s="81">
        <f t="shared" ref="R56:AI56" si="78">R57+R60</f>
        <v>0</v>
      </c>
      <c r="S56" s="81">
        <f t="shared" si="78"/>
        <v>0</v>
      </c>
      <c r="T56" s="81">
        <f t="shared" si="78"/>
        <v>7.2</v>
      </c>
      <c r="U56" s="81">
        <f t="shared" si="78"/>
        <v>7.2</v>
      </c>
      <c r="V56" s="81">
        <f t="shared" si="78"/>
        <v>0</v>
      </c>
      <c r="W56" s="81">
        <f t="shared" si="78"/>
        <v>0</v>
      </c>
      <c r="X56" s="81">
        <f t="shared" si="78"/>
        <v>48</v>
      </c>
      <c r="Y56" s="81">
        <f t="shared" si="78"/>
        <v>48</v>
      </c>
      <c r="Z56" s="81">
        <f t="shared" si="78"/>
        <v>55.2</v>
      </c>
      <c r="AA56" s="81">
        <f t="shared" si="78"/>
        <v>0</v>
      </c>
      <c r="AB56" s="81">
        <f t="shared" si="78"/>
        <v>7.2</v>
      </c>
      <c r="AC56" s="81">
        <f t="shared" si="78"/>
        <v>0</v>
      </c>
      <c r="AD56" s="81">
        <f t="shared" si="78"/>
        <v>48</v>
      </c>
      <c r="AE56" s="81">
        <f t="shared" si="78"/>
        <v>0</v>
      </c>
      <c r="AF56" s="81">
        <f t="shared" si="78"/>
        <v>0</v>
      </c>
      <c r="AG56" s="81">
        <f t="shared" si="78"/>
        <v>0</v>
      </c>
      <c r="AH56" s="81">
        <f t="shared" si="78"/>
        <v>0</v>
      </c>
      <c r="AI56" s="81">
        <f t="shared" si="78"/>
        <v>0</v>
      </c>
      <c r="AJ56" s="82">
        <f>P56-Q56</f>
        <v>-48</v>
      </c>
      <c r="AK56" s="82">
        <f>AJ56</f>
        <v>-48</v>
      </c>
      <c r="AL56" s="81">
        <v>0</v>
      </c>
      <c r="AM56" s="81">
        <v>0</v>
      </c>
      <c r="AN56" s="81">
        <v>0</v>
      </c>
      <c r="AO56" s="432"/>
    </row>
    <row r="57" spans="1:41" s="292" customFormat="1" ht="15.75" customHeight="1">
      <c r="A57" s="966"/>
      <c r="B57" s="683" t="s">
        <v>15</v>
      </c>
      <c r="C57" s="682"/>
      <c r="D57" s="689"/>
      <c r="E57" s="682"/>
      <c r="F57" s="36"/>
      <c r="G57" s="681"/>
      <c r="H57" s="681"/>
      <c r="I57" s="919"/>
      <c r="J57" s="917"/>
      <c r="K57" s="917"/>
      <c r="L57" s="75">
        <v>7.2</v>
      </c>
      <c r="M57" s="75"/>
      <c r="N57" s="75">
        <v>0</v>
      </c>
      <c r="O57" s="76"/>
      <c r="P57" s="75">
        <v>7.2</v>
      </c>
      <c r="Q57" s="75">
        <f>Q58+Q59</f>
        <v>55.2</v>
      </c>
      <c r="R57" s="75">
        <f t="shared" ref="R57:AI57" si="79">R58+R59</f>
        <v>0</v>
      </c>
      <c r="S57" s="75">
        <f t="shared" si="79"/>
        <v>0</v>
      </c>
      <c r="T57" s="75">
        <f t="shared" si="79"/>
        <v>7.2</v>
      </c>
      <c r="U57" s="75">
        <f t="shared" si="79"/>
        <v>7.2</v>
      </c>
      <c r="V57" s="75">
        <f t="shared" si="79"/>
        <v>0</v>
      </c>
      <c r="W57" s="75">
        <f t="shared" si="79"/>
        <v>0</v>
      </c>
      <c r="X57" s="75">
        <f t="shared" si="79"/>
        <v>48</v>
      </c>
      <c r="Y57" s="75">
        <f t="shared" si="79"/>
        <v>48</v>
      </c>
      <c r="Z57" s="75">
        <f t="shared" si="79"/>
        <v>55.2</v>
      </c>
      <c r="AA57" s="75">
        <f t="shared" si="79"/>
        <v>0</v>
      </c>
      <c r="AB57" s="75">
        <f t="shared" si="79"/>
        <v>7.2</v>
      </c>
      <c r="AC57" s="75">
        <f t="shared" si="79"/>
        <v>0</v>
      </c>
      <c r="AD57" s="75">
        <f t="shared" si="79"/>
        <v>48</v>
      </c>
      <c r="AE57" s="75">
        <f t="shared" si="79"/>
        <v>0</v>
      </c>
      <c r="AF57" s="75">
        <f t="shared" si="79"/>
        <v>0</v>
      </c>
      <c r="AG57" s="75">
        <f t="shared" si="79"/>
        <v>0</v>
      </c>
      <c r="AH57" s="75">
        <f t="shared" si="79"/>
        <v>0</v>
      </c>
      <c r="AI57" s="75">
        <f t="shared" si="79"/>
        <v>0</v>
      </c>
      <c r="AJ57" s="295"/>
      <c r="AK57" s="295"/>
      <c r="AL57" s="75"/>
      <c r="AM57" s="75"/>
      <c r="AN57" s="75"/>
      <c r="AO57" s="690"/>
    </row>
    <row r="58" spans="1:41" s="273" customFormat="1" ht="15.75" hidden="1" customHeight="1">
      <c r="A58" s="966"/>
      <c r="B58" s="95" t="s">
        <v>350</v>
      </c>
      <c r="C58" s="107"/>
      <c r="D58" s="685"/>
      <c r="E58" s="107"/>
      <c r="F58" s="684"/>
      <c r="G58" s="267"/>
      <c r="H58" s="267"/>
      <c r="I58" s="919"/>
      <c r="J58" s="917"/>
      <c r="K58" s="917"/>
      <c r="L58" s="263"/>
      <c r="M58" s="263"/>
      <c r="N58" s="263"/>
      <c r="O58" s="686"/>
      <c r="P58" s="263"/>
      <c r="Q58" s="263">
        <f>U58</f>
        <v>7.2</v>
      </c>
      <c r="R58" s="263"/>
      <c r="S58" s="263"/>
      <c r="T58" s="263">
        <f>U58</f>
        <v>7.2</v>
      </c>
      <c r="U58" s="263">
        <v>7.2</v>
      </c>
      <c r="V58" s="263"/>
      <c r="W58" s="263"/>
      <c r="X58" s="263"/>
      <c r="Y58" s="263"/>
      <c r="Z58" s="263">
        <f>AB58</f>
        <v>7.2</v>
      </c>
      <c r="AA58" s="263"/>
      <c r="AB58" s="263">
        <v>7.2</v>
      </c>
      <c r="AC58" s="263"/>
      <c r="AD58" s="263"/>
      <c r="AE58" s="263">
        <f>AG58</f>
        <v>0</v>
      </c>
      <c r="AF58" s="263"/>
      <c r="AG58" s="263">
        <v>0</v>
      </c>
      <c r="AH58" s="263"/>
      <c r="AI58" s="263"/>
      <c r="AJ58" s="687"/>
      <c r="AK58" s="687"/>
      <c r="AL58" s="263"/>
      <c r="AM58" s="263"/>
      <c r="AN58" s="263"/>
      <c r="AO58" s="688"/>
    </row>
    <row r="59" spans="1:41" s="273" customFormat="1" ht="24.75" hidden="1" customHeight="1">
      <c r="A59" s="966"/>
      <c r="B59" s="95" t="s">
        <v>375</v>
      </c>
      <c r="C59" s="107"/>
      <c r="D59" s="685"/>
      <c r="E59" s="107"/>
      <c r="F59" s="684"/>
      <c r="G59" s="267"/>
      <c r="H59" s="267"/>
      <c r="I59" s="919"/>
      <c r="J59" s="917"/>
      <c r="K59" s="917"/>
      <c r="L59" s="263"/>
      <c r="M59" s="263"/>
      <c r="N59" s="263"/>
      <c r="O59" s="686"/>
      <c r="P59" s="263"/>
      <c r="Q59" s="263">
        <f>U59+Y59</f>
        <v>48</v>
      </c>
      <c r="R59" s="263"/>
      <c r="S59" s="263"/>
      <c r="T59" s="263"/>
      <c r="U59" s="263"/>
      <c r="V59" s="263"/>
      <c r="W59" s="263"/>
      <c r="X59" s="263">
        <f>Y59</f>
        <v>48</v>
      </c>
      <c r="Y59" s="263">
        <v>48</v>
      </c>
      <c r="Z59" s="263">
        <f>AD59</f>
        <v>48</v>
      </c>
      <c r="AA59" s="263"/>
      <c r="AB59" s="263"/>
      <c r="AC59" s="263"/>
      <c r="AD59" s="263">
        <v>48</v>
      </c>
      <c r="AE59" s="263"/>
      <c r="AF59" s="263"/>
      <c r="AG59" s="263"/>
      <c r="AH59" s="263"/>
      <c r="AI59" s="263"/>
      <c r="AJ59" s="687"/>
      <c r="AK59" s="687"/>
      <c r="AL59" s="263"/>
      <c r="AM59" s="263"/>
      <c r="AN59" s="263"/>
      <c r="AO59" s="688"/>
    </row>
    <row r="60" spans="1:41" ht="14.25" customHeight="1">
      <c r="A60" s="967"/>
      <c r="B60" s="483" t="s">
        <v>16</v>
      </c>
      <c r="C60" s="34"/>
      <c r="D60" s="34"/>
      <c r="E60" s="34"/>
      <c r="F60" s="36"/>
      <c r="G60" s="11">
        <v>2020</v>
      </c>
      <c r="H60" s="11">
        <v>2020</v>
      </c>
      <c r="I60" s="920"/>
      <c r="J60" s="883"/>
      <c r="K60" s="883"/>
      <c r="L60" s="500">
        <v>6808.54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5">
        <v>0</v>
      </c>
      <c r="V60" s="75">
        <v>0</v>
      </c>
      <c r="W60" s="75">
        <v>0</v>
      </c>
      <c r="X60" s="75">
        <v>0</v>
      </c>
      <c r="Y60" s="75">
        <v>0</v>
      </c>
      <c r="Z60" s="75">
        <v>0</v>
      </c>
      <c r="AA60" s="75">
        <v>0</v>
      </c>
      <c r="AB60" s="75">
        <v>0</v>
      </c>
      <c r="AC60" s="75">
        <v>0</v>
      </c>
      <c r="AD60" s="75">
        <v>0</v>
      </c>
      <c r="AE60" s="75">
        <v>0</v>
      </c>
      <c r="AF60" s="75">
        <f t="shared" ref="AF60" si="80">AF63+AF66</f>
        <v>0</v>
      </c>
      <c r="AG60" s="75">
        <f t="shared" ref="AG60:AH60" si="81">AG63+AG66</f>
        <v>0</v>
      </c>
      <c r="AH60" s="75">
        <f t="shared" si="81"/>
        <v>0</v>
      </c>
      <c r="AI60" s="75">
        <f t="shared" ref="AI60" si="82">AI63+AI66</f>
        <v>0</v>
      </c>
      <c r="AJ60" s="75">
        <v>0</v>
      </c>
      <c r="AK60" s="75">
        <v>0</v>
      </c>
      <c r="AL60" s="75">
        <v>0</v>
      </c>
      <c r="AM60" s="75">
        <v>0</v>
      </c>
      <c r="AN60" s="75">
        <v>0</v>
      </c>
      <c r="AO60" s="408"/>
    </row>
    <row r="61" spans="1:41" ht="49.5" customHeight="1">
      <c r="A61" s="833" t="s">
        <v>29</v>
      </c>
      <c r="B61" s="889" t="s">
        <v>62</v>
      </c>
      <c r="C61" s="890"/>
      <c r="D61" s="890"/>
      <c r="E61" s="890"/>
      <c r="F61" s="890"/>
      <c r="G61" s="890"/>
      <c r="H61" s="891"/>
      <c r="I61" s="37" t="s">
        <v>20</v>
      </c>
      <c r="J61" s="38">
        <f>L61</f>
        <v>975.37</v>
      </c>
      <c r="K61" s="38">
        <v>0</v>
      </c>
      <c r="L61" s="62">
        <f>L67</f>
        <v>975.37</v>
      </c>
      <c r="M61" s="75">
        <f>M64+M67</f>
        <v>0</v>
      </c>
      <c r="N61" s="75">
        <f t="shared" ref="N61:O61" si="83">N64+N67</f>
        <v>0</v>
      </c>
      <c r="O61" s="75">
        <f t="shared" si="83"/>
        <v>0</v>
      </c>
      <c r="P61" s="75">
        <f>P64+P67</f>
        <v>250</v>
      </c>
      <c r="Q61" s="75">
        <f>Q64+Q67+Q73</f>
        <v>259.18099999999998</v>
      </c>
      <c r="R61" s="75">
        <f t="shared" ref="R61:AI61" si="84">R64+R67+R73</f>
        <v>0</v>
      </c>
      <c r="S61" s="75">
        <f t="shared" si="84"/>
        <v>0</v>
      </c>
      <c r="T61" s="75">
        <f t="shared" si="84"/>
        <v>0</v>
      </c>
      <c r="U61" s="75">
        <f t="shared" si="84"/>
        <v>0</v>
      </c>
      <c r="V61" s="75">
        <f t="shared" si="84"/>
        <v>131</v>
      </c>
      <c r="W61" s="75">
        <f t="shared" si="84"/>
        <v>131</v>
      </c>
      <c r="X61" s="75">
        <f t="shared" si="84"/>
        <v>0</v>
      </c>
      <c r="Y61" s="75">
        <f t="shared" si="84"/>
        <v>128.18099999999998</v>
      </c>
      <c r="Z61" s="75">
        <f t="shared" si="84"/>
        <v>328.18099999999998</v>
      </c>
      <c r="AA61" s="75">
        <f t="shared" si="84"/>
        <v>0</v>
      </c>
      <c r="AB61" s="75">
        <f t="shared" si="84"/>
        <v>0</v>
      </c>
      <c r="AC61" s="75">
        <f t="shared" si="84"/>
        <v>200</v>
      </c>
      <c r="AD61" s="75">
        <f t="shared" si="84"/>
        <v>128.18099999999998</v>
      </c>
      <c r="AE61" s="75">
        <f t="shared" si="84"/>
        <v>0</v>
      </c>
      <c r="AF61" s="75">
        <f t="shared" si="84"/>
        <v>0</v>
      </c>
      <c r="AG61" s="75">
        <f t="shared" si="84"/>
        <v>0</v>
      </c>
      <c r="AH61" s="75">
        <f t="shared" si="84"/>
        <v>0</v>
      </c>
      <c r="AI61" s="75">
        <f t="shared" si="84"/>
        <v>0</v>
      </c>
      <c r="AJ61" s="75">
        <f t="shared" ref="AJ61:AN61" si="85">AJ64+AJ67</f>
        <v>4.3190000000000168</v>
      </c>
      <c r="AK61" s="75">
        <f t="shared" si="85"/>
        <v>4.3190000000000168</v>
      </c>
      <c r="AL61" s="75">
        <f t="shared" si="85"/>
        <v>0</v>
      </c>
      <c r="AM61" s="75">
        <f t="shared" si="85"/>
        <v>0</v>
      </c>
      <c r="AN61" s="75">
        <f t="shared" si="85"/>
        <v>0</v>
      </c>
      <c r="AO61" s="408"/>
    </row>
    <row r="62" spans="1:41" ht="31.5" customHeight="1">
      <c r="A62" s="834"/>
      <c r="B62" s="892"/>
      <c r="C62" s="893"/>
      <c r="D62" s="893"/>
      <c r="E62" s="893"/>
      <c r="F62" s="893"/>
      <c r="G62" s="893"/>
      <c r="H62" s="894"/>
      <c r="I62" s="37" t="s">
        <v>10</v>
      </c>
      <c r="J62" s="38">
        <f t="shared" ref="J62:J63" si="86">L62</f>
        <v>31792.33</v>
      </c>
      <c r="K62" s="38">
        <v>0</v>
      </c>
      <c r="L62" s="62">
        <f>L72</f>
        <v>31792.33</v>
      </c>
      <c r="M62" s="754">
        <f t="shared" ref="M62:AN62" si="87">M72</f>
        <v>0</v>
      </c>
      <c r="N62" s="754">
        <f t="shared" si="87"/>
        <v>0</v>
      </c>
      <c r="O62" s="754">
        <f t="shared" si="87"/>
        <v>0</v>
      </c>
      <c r="P62" s="500">
        <f t="shared" si="87"/>
        <v>0</v>
      </c>
      <c r="Q62" s="500">
        <f>Q75+Q77</f>
        <v>0</v>
      </c>
      <c r="R62" s="500">
        <f t="shared" ref="R62:AI62" si="88">R75+R77</f>
        <v>0</v>
      </c>
      <c r="S62" s="500">
        <f t="shared" si="88"/>
        <v>0</v>
      </c>
      <c r="T62" s="500">
        <f t="shared" si="88"/>
        <v>0</v>
      </c>
      <c r="U62" s="500">
        <f t="shared" si="88"/>
        <v>0</v>
      </c>
      <c r="V62" s="500">
        <f t="shared" si="88"/>
        <v>0</v>
      </c>
      <c r="W62" s="500">
        <f t="shared" si="88"/>
        <v>0</v>
      </c>
      <c r="X62" s="500">
        <f t="shared" si="88"/>
        <v>0</v>
      </c>
      <c r="Y62" s="500">
        <f t="shared" si="88"/>
        <v>0</v>
      </c>
      <c r="Z62" s="500">
        <f t="shared" si="88"/>
        <v>0</v>
      </c>
      <c r="AA62" s="500">
        <f t="shared" si="88"/>
        <v>0</v>
      </c>
      <c r="AB62" s="500">
        <f t="shared" si="88"/>
        <v>0</v>
      </c>
      <c r="AC62" s="500">
        <f t="shared" si="88"/>
        <v>0</v>
      </c>
      <c r="AD62" s="500">
        <f t="shared" si="88"/>
        <v>0</v>
      </c>
      <c r="AE62" s="500">
        <f t="shared" si="88"/>
        <v>0</v>
      </c>
      <c r="AF62" s="500">
        <f t="shared" si="88"/>
        <v>0</v>
      </c>
      <c r="AG62" s="500">
        <f t="shared" si="88"/>
        <v>0</v>
      </c>
      <c r="AH62" s="500">
        <f t="shared" si="88"/>
        <v>0</v>
      </c>
      <c r="AI62" s="500">
        <f t="shared" si="88"/>
        <v>0</v>
      </c>
      <c r="AJ62" s="500">
        <f>AJ72</f>
        <v>-13.5</v>
      </c>
      <c r="AK62" s="500">
        <f t="shared" si="87"/>
        <v>-13.5</v>
      </c>
      <c r="AL62" s="500">
        <f t="shared" si="87"/>
        <v>0</v>
      </c>
      <c r="AM62" s="500">
        <f t="shared" si="87"/>
        <v>0</v>
      </c>
      <c r="AN62" s="500">
        <f t="shared" si="87"/>
        <v>0</v>
      </c>
      <c r="AO62" s="408"/>
    </row>
    <row r="63" spans="1:41" ht="28.5" hidden="1" customHeight="1">
      <c r="A63" s="835"/>
      <c r="B63" s="895"/>
      <c r="C63" s="896"/>
      <c r="D63" s="896"/>
      <c r="E63" s="896"/>
      <c r="F63" s="896"/>
      <c r="G63" s="896"/>
      <c r="H63" s="897"/>
      <c r="I63" s="37" t="s">
        <v>9</v>
      </c>
      <c r="J63" s="38">
        <f t="shared" si="86"/>
        <v>0</v>
      </c>
      <c r="K63" s="38">
        <v>0</v>
      </c>
      <c r="L63" s="62">
        <v>0</v>
      </c>
      <c r="M63" s="75">
        <v>0</v>
      </c>
      <c r="N63" s="75">
        <v>0</v>
      </c>
      <c r="O63" s="76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5">
        <v>0</v>
      </c>
      <c r="V63" s="75">
        <v>0</v>
      </c>
      <c r="W63" s="75">
        <v>0</v>
      </c>
      <c r="X63" s="75">
        <v>0</v>
      </c>
      <c r="Y63" s="75">
        <v>0</v>
      </c>
      <c r="Z63" s="75">
        <v>0</v>
      </c>
      <c r="AA63" s="75">
        <v>0</v>
      </c>
      <c r="AB63" s="75">
        <v>0</v>
      </c>
      <c r="AC63" s="75">
        <v>0</v>
      </c>
      <c r="AD63" s="75">
        <v>0</v>
      </c>
      <c r="AE63" s="75">
        <v>0</v>
      </c>
      <c r="AF63" s="75">
        <v>0</v>
      </c>
      <c r="AG63" s="75">
        <v>0</v>
      </c>
      <c r="AH63" s="75">
        <v>0</v>
      </c>
      <c r="AI63" s="75">
        <v>0</v>
      </c>
      <c r="AJ63" s="75">
        <v>0</v>
      </c>
      <c r="AK63" s="75">
        <v>0</v>
      </c>
      <c r="AL63" s="75">
        <v>0</v>
      </c>
      <c r="AM63" s="75">
        <v>0</v>
      </c>
      <c r="AN63" s="75">
        <v>0</v>
      </c>
      <c r="AO63" s="408"/>
    </row>
    <row r="64" spans="1:41" ht="30" hidden="1" customHeight="1">
      <c r="A64" s="965" t="s">
        <v>46</v>
      </c>
      <c r="B64" s="80" t="s">
        <v>53</v>
      </c>
      <c r="C64" s="815">
        <v>300</v>
      </c>
      <c r="D64" s="815">
        <v>17</v>
      </c>
      <c r="E64" s="815"/>
      <c r="F64" s="867"/>
      <c r="G64" s="56"/>
      <c r="H64" s="56"/>
      <c r="I64" s="995" t="s">
        <v>20</v>
      </c>
      <c r="J64" s="57">
        <f>L64</f>
        <v>0</v>
      </c>
      <c r="K64" s="57"/>
      <c r="L64" s="291">
        <f>M64+N64+O64</f>
        <v>0</v>
      </c>
      <c r="M64" s="81">
        <f>M65+M66</f>
        <v>0</v>
      </c>
      <c r="N64" s="81">
        <f t="shared" ref="N64:O64" si="89">N65+N66</f>
        <v>0</v>
      </c>
      <c r="O64" s="81">
        <f t="shared" si="89"/>
        <v>0</v>
      </c>
      <c r="P64" s="81">
        <f>P65+P66</f>
        <v>0</v>
      </c>
      <c r="Q64" s="81">
        <f>Q65+Q66</f>
        <v>0</v>
      </c>
      <c r="R64" s="81">
        <f t="shared" ref="R64:AN64" si="90">R65+R66</f>
        <v>0</v>
      </c>
      <c r="S64" s="81">
        <f t="shared" si="90"/>
        <v>0</v>
      </c>
      <c r="T64" s="81">
        <f t="shared" si="90"/>
        <v>0</v>
      </c>
      <c r="U64" s="81">
        <f t="shared" si="90"/>
        <v>0</v>
      </c>
      <c r="V64" s="81">
        <f t="shared" si="90"/>
        <v>0</v>
      </c>
      <c r="W64" s="81">
        <f t="shared" si="90"/>
        <v>0</v>
      </c>
      <c r="X64" s="81">
        <f t="shared" si="90"/>
        <v>0</v>
      </c>
      <c r="Y64" s="81">
        <f t="shared" si="90"/>
        <v>0</v>
      </c>
      <c r="Z64" s="81">
        <f t="shared" si="90"/>
        <v>0</v>
      </c>
      <c r="AA64" s="81">
        <f t="shared" si="90"/>
        <v>0</v>
      </c>
      <c r="AB64" s="81">
        <f t="shared" ref="AB64:AD64" si="91">AB65+AB66</f>
        <v>0</v>
      </c>
      <c r="AC64" s="81">
        <f t="shared" si="91"/>
        <v>0</v>
      </c>
      <c r="AD64" s="81">
        <f t="shared" si="91"/>
        <v>0</v>
      </c>
      <c r="AE64" s="81">
        <f t="shared" si="90"/>
        <v>0</v>
      </c>
      <c r="AF64" s="81">
        <f t="shared" si="90"/>
        <v>0</v>
      </c>
      <c r="AG64" s="81">
        <f t="shared" si="90"/>
        <v>0</v>
      </c>
      <c r="AH64" s="81">
        <f t="shared" si="90"/>
        <v>0</v>
      </c>
      <c r="AI64" s="81"/>
      <c r="AJ64" s="82">
        <f>P64-Q64</f>
        <v>0</v>
      </c>
      <c r="AK64" s="82">
        <f>AJ64</f>
        <v>0</v>
      </c>
      <c r="AL64" s="79">
        <v>0</v>
      </c>
      <c r="AM64" s="81">
        <f t="shared" si="90"/>
        <v>0</v>
      </c>
      <c r="AN64" s="81">
        <f t="shared" si="90"/>
        <v>0</v>
      </c>
      <c r="AO64" s="433" t="s">
        <v>163</v>
      </c>
    </row>
    <row r="65" spans="1:41" ht="14.25" hidden="1" customHeight="1">
      <c r="A65" s="966"/>
      <c r="B65" s="40" t="s">
        <v>15</v>
      </c>
      <c r="C65" s="816"/>
      <c r="D65" s="816"/>
      <c r="E65" s="816"/>
      <c r="F65" s="819"/>
      <c r="G65" s="56">
        <v>2019</v>
      </c>
      <c r="H65" s="56">
        <v>2019</v>
      </c>
      <c r="I65" s="878"/>
      <c r="J65" s="57">
        <f t="shared" ref="J65:J70" si="92">L65</f>
        <v>0</v>
      </c>
      <c r="K65" s="57"/>
      <c r="L65" s="61">
        <f t="shared" ref="L65:L66" si="93">M65+N65+O65</f>
        <v>0</v>
      </c>
      <c r="M65" s="74">
        <v>0</v>
      </c>
      <c r="N65" s="74">
        <v>0</v>
      </c>
      <c r="O65" s="74">
        <v>0</v>
      </c>
      <c r="P65" s="74">
        <v>0</v>
      </c>
      <c r="Q65" s="74">
        <v>0</v>
      </c>
      <c r="R65" s="74">
        <v>0</v>
      </c>
      <c r="S65" s="74">
        <v>0</v>
      </c>
      <c r="T65" s="74">
        <v>0</v>
      </c>
      <c r="U65" s="74">
        <v>0</v>
      </c>
      <c r="V65" s="74">
        <v>0</v>
      </c>
      <c r="W65" s="74">
        <v>0</v>
      </c>
      <c r="X65" s="74">
        <v>0</v>
      </c>
      <c r="Y65" s="74">
        <v>0</v>
      </c>
      <c r="Z65" s="74">
        <v>0</v>
      </c>
      <c r="AA65" s="74">
        <v>0</v>
      </c>
      <c r="AB65" s="74">
        <v>0</v>
      </c>
      <c r="AC65" s="74">
        <v>0</v>
      </c>
      <c r="AD65" s="74">
        <v>0</v>
      </c>
      <c r="AE65" s="74">
        <v>0</v>
      </c>
      <c r="AF65" s="74">
        <v>0</v>
      </c>
      <c r="AG65" s="74">
        <v>0</v>
      </c>
      <c r="AH65" s="74">
        <v>0</v>
      </c>
      <c r="AI65" s="74"/>
      <c r="AJ65" s="74">
        <v>0</v>
      </c>
      <c r="AK65" s="74">
        <v>0</v>
      </c>
      <c r="AL65" s="74">
        <v>0</v>
      </c>
      <c r="AM65" s="74">
        <v>0</v>
      </c>
      <c r="AN65" s="74">
        <v>0</v>
      </c>
      <c r="AO65" s="409"/>
    </row>
    <row r="66" spans="1:41" ht="14.25" hidden="1" customHeight="1">
      <c r="A66" s="967"/>
      <c r="B66" s="40" t="s">
        <v>16</v>
      </c>
      <c r="C66" s="900"/>
      <c r="D66" s="900"/>
      <c r="E66" s="900"/>
      <c r="F66" s="868"/>
      <c r="G66" s="58">
        <v>2019</v>
      </c>
      <c r="H66" s="58">
        <v>2019</v>
      </c>
      <c r="I66" s="996"/>
      <c r="J66" s="57">
        <f t="shared" si="92"/>
        <v>0</v>
      </c>
      <c r="K66" s="55"/>
      <c r="L66" s="61">
        <f t="shared" si="93"/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74">
        <v>0</v>
      </c>
      <c r="AA66" s="74">
        <v>0</v>
      </c>
      <c r="AB66" s="74">
        <v>0</v>
      </c>
      <c r="AC66" s="74">
        <v>0</v>
      </c>
      <c r="AD66" s="74">
        <v>0</v>
      </c>
      <c r="AE66" s="74">
        <v>0</v>
      </c>
      <c r="AF66" s="74">
        <v>0</v>
      </c>
      <c r="AG66" s="74">
        <v>0</v>
      </c>
      <c r="AH66" s="74">
        <v>0</v>
      </c>
      <c r="AI66" s="74"/>
      <c r="AJ66" s="74">
        <v>0</v>
      </c>
      <c r="AK66" s="74">
        <v>0</v>
      </c>
      <c r="AL66" s="74">
        <v>0</v>
      </c>
      <c r="AM66" s="74">
        <v>0</v>
      </c>
      <c r="AN66" s="74">
        <v>0</v>
      </c>
      <c r="AO66" s="410"/>
    </row>
    <row r="67" spans="1:41" ht="53.25" customHeight="1">
      <c r="A67" s="937" t="s">
        <v>46</v>
      </c>
      <c r="B67" s="83" t="s">
        <v>372</v>
      </c>
      <c r="C67" s="815">
        <v>200</v>
      </c>
      <c r="D67" s="815">
        <v>10</v>
      </c>
      <c r="E67" s="997"/>
      <c r="F67" s="1000"/>
      <c r="G67" s="58"/>
      <c r="H67" s="58"/>
      <c r="I67" s="995" t="s">
        <v>20</v>
      </c>
      <c r="J67" s="57">
        <f t="shared" si="92"/>
        <v>975.37</v>
      </c>
      <c r="K67" s="55"/>
      <c r="L67" s="291">
        <f>SUM(L68:L70)</f>
        <v>975.37</v>
      </c>
      <c r="M67" s="79">
        <f>M68+M70</f>
        <v>0</v>
      </c>
      <c r="N67" s="79">
        <f t="shared" ref="N67:O67" si="94">N68+N70</f>
        <v>0</v>
      </c>
      <c r="O67" s="79">
        <f t="shared" si="94"/>
        <v>0</v>
      </c>
      <c r="P67" s="79">
        <f>P68+P70</f>
        <v>250</v>
      </c>
      <c r="Q67" s="79">
        <f>Q68+Q70</f>
        <v>245.68099999999998</v>
      </c>
      <c r="R67" s="79">
        <f t="shared" ref="R67:AN67" si="95">R68+R70</f>
        <v>0</v>
      </c>
      <c r="S67" s="79">
        <f t="shared" si="95"/>
        <v>0</v>
      </c>
      <c r="T67" s="79">
        <f t="shared" si="95"/>
        <v>0</v>
      </c>
      <c r="U67" s="79">
        <f t="shared" si="95"/>
        <v>0</v>
      </c>
      <c r="V67" s="79">
        <f t="shared" si="95"/>
        <v>131</v>
      </c>
      <c r="W67" s="79">
        <f t="shared" si="95"/>
        <v>131</v>
      </c>
      <c r="X67" s="79">
        <f t="shared" si="95"/>
        <v>0</v>
      </c>
      <c r="Y67" s="79">
        <f>Y68+Y70</f>
        <v>114.681</v>
      </c>
      <c r="Z67" s="79">
        <f t="shared" ref="Z67:AC67" si="96">Z68+Z70</f>
        <v>314.68099999999998</v>
      </c>
      <c r="AA67" s="79">
        <f t="shared" si="96"/>
        <v>0</v>
      </c>
      <c r="AB67" s="79">
        <f t="shared" si="96"/>
        <v>0</v>
      </c>
      <c r="AC67" s="79">
        <f t="shared" si="96"/>
        <v>200</v>
      </c>
      <c r="AD67" s="79">
        <f t="shared" ref="AD67" si="97">AD68+AD70</f>
        <v>114.681</v>
      </c>
      <c r="AE67" s="79">
        <f t="shared" si="95"/>
        <v>0</v>
      </c>
      <c r="AF67" s="79">
        <f t="shared" si="95"/>
        <v>0</v>
      </c>
      <c r="AG67" s="79">
        <f t="shared" si="95"/>
        <v>0</v>
      </c>
      <c r="AH67" s="79">
        <f t="shared" ref="AH67:AI67" si="98">AH68+AH70</f>
        <v>0</v>
      </c>
      <c r="AI67" s="79">
        <f t="shared" si="98"/>
        <v>0</v>
      </c>
      <c r="AJ67" s="82">
        <f>P67-Q67</f>
        <v>4.3190000000000168</v>
      </c>
      <c r="AK67" s="82">
        <f>AJ67</f>
        <v>4.3190000000000168</v>
      </c>
      <c r="AL67" s="79">
        <v>0</v>
      </c>
      <c r="AM67" s="79">
        <f t="shared" si="95"/>
        <v>0</v>
      </c>
      <c r="AN67" s="79">
        <f t="shared" si="95"/>
        <v>0</v>
      </c>
      <c r="AO67" s="433"/>
    </row>
    <row r="68" spans="1:41" ht="14.25" customHeight="1">
      <c r="A68" s="938"/>
      <c r="B68" s="42" t="s">
        <v>15</v>
      </c>
      <c r="C68" s="816"/>
      <c r="D68" s="816"/>
      <c r="E68" s="998"/>
      <c r="F68" s="1001"/>
      <c r="G68" s="58">
        <v>2019</v>
      </c>
      <c r="H68" s="58">
        <v>2019</v>
      </c>
      <c r="I68" s="878"/>
      <c r="J68" s="57">
        <f t="shared" si="92"/>
        <v>250</v>
      </c>
      <c r="K68" s="55"/>
      <c r="L68" s="75">
        <v>250</v>
      </c>
      <c r="M68" s="4">
        <v>0</v>
      </c>
      <c r="N68" s="4">
        <v>0</v>
      </c>
      <c r="O68" s="4">
        <v>0</v>
      </c>
      <c r="P68" s="4">
        <v>250</v>
      </c>
      <c r="Q68" s="4">
        <f>Q69</f>
        <v>131</v>
      </c>
      <c r="R68" s="4">
        <f t="shared" ref="R68:AH68" si="99">R69</f>
        <v>0</v>
      </c>
      <c r="S68" s="4">
        <f t="shared" si="99"/>
        <v>0</v>
      </c>
      <c r="T68" s="4">
        <f t="shared" si="99"/>
        <v>0</v>
      </c>
      <c r="U68" s="4">
        <f t="shared" si="99"/>
        <v>0</v>
      </c>
      <c r="V68" s="4">
        <f t="shared" si="99"/>
        <v>131</v>
      </c>
      <c r="W68" s="4">
        <f t="shared" si="99"/>
        <v>131</v>
      </c>
      <c r="X68" s="4">
        <f t="shared" si="99"/>
        <v>0</v>
      </c>
      <c r="Y68" s="4">
        <f t="shared" si="99"/>
        <v>0</v>
      </c>
      <c r="Z68" s="4">
        <f t="shared" si="99"/>
        <v>200</v>
      </c>
      <c r="AA68" s="4">
        <f t="shared" si="99"/>
        <v>0</v>
      </c>
      <c r="AB68" s="4">
        <f t="shared" si="99"/>
        <v>0</v>
      </c>
      <c r="AC68" s="4">
        <f t="shared" si="99"/>
        <v>200</v>
      </c>
      <c r="AD68" s="4">
        <f t="shared" si="99"/>
        <v>0</v>
      </c>
      <c r="AE68" s="4">
        <f t="shared" si="99"/>
        <v>0</v>
      </c>
      <c r="AF68" s="4">
        <f t="shared" si="99"/>
        <v>0</v>
      </c>
      <c r="AG68" s="4">
        <f t="shared" si="99"/>
        <v>0</v>
      </c>
      <c r="AH68" s="4">
        <f t="shared" si="99"/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07"/>
    </row>
    <row r="69" spans="1:41" s="100" customFormat="1" ht="27.75" hidden="1" customHeight="1">
      <c r="A69" s="938"/>
      <c r="B69" s="257" t="s">
        <v>361</v>
      </c>
      <c r="C69" s="816"/>
      <c r="D69" s="816"/>
      <c r="E69" s="998"/>
      <c r="F69" s="1001"/>
      <c r="G69" s="508"/>
      <c r="H69" s="508"/>
      <c r="I69" s="878"/>
      <c r="J69" s="695"/>
      <c r="K69" s="376"/>
      <c r="L69" s="263"/>
      <c r="M69" s="275"/>
      <c r="N69" s="275"/>
      <c r="O69" s="275"/>
      <c r="P69" s="275"/>
      <c r="Q69" s="275">
        <f>W69</f>
        <v>131</v>
      </c>
      <c r="R69" s="275"/>
      <c r="S69" s="275"/>
      <c r="T69" s="275"/>
      <c r="U69" s="275"/>
      <c r="V69" s="275">
        <f>W69</f>
        <v>131</v>
      </c>
      <c r="W69" s="275">
        <v>131</v>
      </c>
      <c r="X69" s="275"/>
      <c r="Y69" s="275"/>
      <c r="Z69" s="275">
        <f>AC69</f>
        <v>200</v>
      </c>
      <c r="AA69" s="275"/>
      <c r="AB69" s="275"/>
      <c r="AC69" s="275">
        <v>200</v>
      </c>
      <c r="AD69" s="275"/>
      <c r="AE69" s="275"/>
      <c r="AF69" s="275"/>
      <c r="AG69" s="275"/>
      <c r="AH69" s="275"/>
      <c r="AI69" s="275"/>
      <c r="AJ69" s="275"/>
      <c r="AK69" s="275"/>
      <c r="AL69" s="275"/>
      <c r="AM69" s="275"/>
      <c r="AN69" s="275"/>
      <c r="AO69" s="509"/>
    </row>
    <row r="70" spans="1:41" ht="14.25" customHeight="1">
      <c r="A70" s="939"/>
      <c r="B70" s="42" t="s">
        <v>16</v>
      </c>
      <c r="C70" s="900"/>
      <c r="D70" s="900"/>
      <c r="E70" s="999"/>
      <c r="F70" s="1002"/>
      <c r="G70" s="58">
        <v>2019</v>
      </c>
      <c r="H70" s="58">
        <v>2019</v>
      </c>
      <c r="I70" s="996"/>
      <c r="J70" s="57">
        <f t="shared" si="92"/>
        <v>725.37</v>
      </c>
      <c r="K70" s="55"/>
      <c r="L70" s="75">
        <v>725.37</v>
      </c>
      <c r="M70" s="4">
        <v>0</v>
      </c>
      <c r="N70" s="4">
        <v>0</v>
      </c>
      <c r="O70" s="4">
        <v>0</v>
      </c>
      <c r="P70" s="4">
        <v>0</v>
      </c>
      <c r="Q70" s="47">
        <f>SUM(Q71)</f>
        <v>114.681</v>
      </c>
      <c r="R70" s="47">
        <v>0</v>
      </c>
      <c r="S70" s="47">
        <v>0</v>
      </c>
      <c r="T70" s="47">
        <v>0</v>
      </c>
      <c r="U70" s="47">
        <v>0</v>
      </c>
      <c r="V70" s="47">
        <v>0</v>
      </c>
      <c r="W70" s="47">
        <v>0</v>
      </c>
      <c r="X70" s="47">
        <v>0</v>
      </c>
      <c r="Y70" s="47">
        <f>SUM(Y71)</f>
        <v>114.681</v>
      </c>
      <c r="Z70" s="47">
        <f>SUM(Z71)</f>
        <v>114.681</v>
      </c>
      <c r="AA70" s="47">
        <v>0</v>
      </c>
      <c r="AB70" s="47">
        <v>0</v>
      </c>
      <c r="AC70" s="47">
        <v>0</v>
      </c>
      <c r="AD70" s="47">
        <f>SUM(AD71)</f>
        <v>114.681</v>
      </c>
      <c r="AE70" s="47">
        <v>0</v>
      </c>
      <c r="AF70" s="47">
        <v>0</v>
      </c>
      <c r="AG70" s="47">
        <v>0</v>
      </c>
      <c r="AH70" s="47">
        <v>0</v>
      </c>
      <c r="AI70" s="47">
        <v>0</v>
      </c>
      <c r="AJ70" s="47">
        <v>0</v>
      </c>
      <c r="AK70" s="47">
        <v>0</v>
      </c>
      <c r="AL70" s="47">
        <v>0</v>
      </c>
      <c r="AM70" s="47">
        <v>0</v>
      </c>
      <c r="AN70" s="47">
        <v>0</v>
      </c>
      <c r="AO70" s="403"/>
    </row>
    <row r="71" spans="1:41" s="100" customFormat="1" ht="27.75" hidden="1" customHeight="1">
      <c r="A71" s="760"/>
      <c r="B71" s="257" t="s">
        <v>436</v>
      </c>
      <c r="C71" s="758"/>
      <c r="D71" s="758"/>
      <c r="E71" s="761"/>
      <c r="F71" s="762"/>
      <c r="G71" s="508"/>
      <c r="H71" s="508"/>
      <c r="I71" s="759"/>
      <c r="J71" s="695"/>
      <c r="K71" s="376"/>
      <c r="L71" s="263"/>
      <c r="M71" s="275"/>
      <c r="N71" s="275"/>
      <c r="O71" s="275"/>
      <c r="P71" s="275"/>
      <c r="Q71" s="275">
        <v>114.681</v>
      </c>
      <c r="R71" s="275"/>
      <c r="S71" s="275"/>
      <c r="T71" s="275"/>
      <c r="U71" s="275"/>
      <c r="V71" s="275"/>
      <c r="W71" s="275"/>
      <c r="X71" s="275"/>
      <c r="Y71" s="275">
        <v>114.681</v>
      </c>
      <c r="Z71" s="275">
        <f>AD71</f>
        <v>114.681</v>
      </c>
      <c r="AA71" s="275"/>
      <c r="AB71" s="275"/>
      <c r="AC71" s="275"/>
      <c r="AD71" s="275">
        <v>114.681</v>
      </c>
      <c r="AE71" s="275"/>
      <c r="AF71" s="275"/>
      <c r="AG71" s="275"/>
      <c r="AH71" s="275"/>
      <c r="AI71" s="275"/>
      <c r="AJ71" s="275"/>
      <c r="AK71" s="275"/>
      <c r="AL71" s="275"/>
      <c r="AM71" s="275"/>
      <c r="AN71" s="275"/>
      <c r="AO71" s="509"/>
    </row>
    <row r="72" spans="1:41" ht="65.25" customHeight="1">
      <c r="A72" s="937" t="s">
        <v>383</v>
      </c>
      <c r="B72" s="83" t="s">
        <v>384</v>
      </c>
      <c r="C72" s="815">
        <v>200</v>
      </c>
      <c r="D72" s="815">
        <v>10</v>
      </c>
      <c r="E72" s="997"/>
      <c r="F72" s="1000"/>
      <c r="G72" s="749"/>
      <c r="H72" s="749"/>
      <c r="I72" s="779"/>
      <c r="J72" s="71">
        <f t="shared" ref="J72:J73" si="100">L72</f>
        <v>31792.33</v>
      </c>
      <c r="K72" s="744"/>
      <c r="L72" s="291">
        <f>SUM(L73:L77)</f>
        <v>31792.33</v>
      </c>
      <c r="M72" s="79">
        <f t="shared" ref="M72:AI72" si="101">M73+M77</f>
        <v>0</v>
      </c>
      <c r="N72" s="79">
        <f t="shared" si="101"/>
        <v>0</v>
      </c>
      <c r="O72" s="79">
        <f t="shared" si="101"/>
        <v>0</v>
      </c>
      <c r="P72" s="79">
        <f t="shared" si="101"/>
        <v>0</v>
      </c>
      <c r="Q72" s="79">
        <f t="shared" si="101"/>
        <v>13.5</v>
      </c>
      <c r="R72" s="79">
        <f t="shared" si="101"/>
        <v>0</v>
      </c>
      <c r="S72" s="79">
        <f t="shared" si="101"/>
        <v>0</v>
      </c>
      <c r="T72" s="79">
        <f t="shared" si="101"/>
        <v>0</v>
      </c>
      <c r="U72" s="79">
        <f t="shared" si="101"/>
        <v>0</v>
      </c>
      <c r="V72" s="79">
        <f t="shared" si="101"/>
        <v>0</v>
      </c>
      <c r="W72" s="79">
        <f t="shared" si="101"/>
        <v>0</v>
      </c>
      <c r="X72" s="79">
        <f t="shared" si="101"/>
        <v>0</v>
      </c>
      <c r="Y72" s="79">
        <f t="shared" si="101"/>
        <v>13.5</v>
      </c>
      <c r="Z72" s="79">
        <f t="shared" si="101"/>
        <v>13.5</v>
      </c>
      <c r="AA72" s="79">
        <f t="shared" si="101"/>
        <v>0</v>
      </c>
      <c r="AB72" s="79">
        <f t="shared" si="101"/>
        <v>0</v>
      </c>
      <c r="AC72" s="79">
        <f t="shared" si="101"/>
        <v>0</v>
      </c>
      <c r="AD72" s="79">
        <f t="shared" si="101"/>
        <v>13.5</v>
      </c>
      <c r="AE72" s="79">
        <f t="shared" si="101"/>
        <v>0</v>
      </c>
      <c r="AF72" s="79">
        <f t="shared" si="101"/>
        <v>0</v>
      </c>
      <c r="AG72" s="79">
        <f t="shared" si="101"/>
        <v>0</v>
      </c>
      <c r="AH72" s="79">
        <f t="shared" si="101"/>
        <v>0</v>
      </c>
      <c r="AI72" s="79">
        <f t="shared" si="101"/>
        <v>0</v>
      </c>
      <c r="AJ72" s="82">
        <f>P72-Q72</f>
        <v>-13.5</v>
      </c>
      <c r="AK72" s="82">
        <f>AJ72</f>
        <v>-13.5</v>
      </c>
      <c r="AL72" s="79">
        <v>0</v>
      </c>
      <c r="AM72" s="79">
        <f>AM73+AM77</f>
        <v>0</v>
      </c>
      <c r="AN72" s="79">
        <f>AN73+AN77</f>
        <v>0</v>
      </c>
      <c r="AO72" s="433"/>
    </row>
    <row r="73" spans="1:41" ht="32.25" customHeight="1">
      <c r="A73" s="938"/>
      <c r="B73" s="42" t="s">
        <v>15</v>
      </c>
      <c r="C73" s="816"/>
      <c r="D73" s="816"/>
      <c r="E73" s="998"/>
      <c r="F73" s="1001"/>
      <c r="G73" s="749">
        <v>2019</v>
      </c>
      <c r="H73" s="749">
        <v>2019</v>
      </c>
      <c r="I73" s="780" t="s">
        <v>20</v>
      </c>
      <c r="J73" s="71">
        <f t="shared" si="100"/>
        <v>4959</v>
      </c>
      <c r="K73" s="744"/>
      <c r="L73" s="75">
        <v>4959</v>
      </c>
      <c r="M73" s="4">
        <v>0</v>
      </c>
      <c r="N73" s="4">
        <v>0</v>
      </c>
      <c r="O73" s="4">
        <v>0</v>
      </c>
      <c r="P73" s="4">
        <v>0</v>
      </c>
      <c r="Q73" s="4">
        <f>Q74</f>
        <v>13.5</v>
      </c>
      <c r="R73" s="4">
        <f t="shared" ref="R73:AD73" si="102">R74</f>
        <v>0</v>
      </c>
      <c r="S73" s="4">
        <f t="shared" si="102"/>
        <v>0</v>
      </c>
      <c r="T73" s="4">
        <f t="shared" si="102"/>
        <v>0</v>
      </c>
      <c r="U73" s="4">
        <f t="shared" si="102"/>
        <v>0</v>
      </c>
      <c r="V73" s="4">
        <f t="shared" si="102"/>
        <v>0</v>
      </c>
      <c r="W73" s="4">
        <f t="shared" si="102"/>
        <v>0</v>
      </c>
      <c r="X73" s="4">
        <f t="shared" si="102"/>
        <v>0</v>
      </c>
      <c r="Y73" s="4">
        <f t="shared" si="102"/>
        <v>13.5</v>
      </c>
      <c r="Z73" s="4">
        <f t="shared" si="102"/>
        <v>13.5</v>
      </c>
      <c r="AA73" s="4">
        <f t="shared" si="102"/>
        <v>0</v>
      </c>
      <c r="AB73" s="4">
        <f t="shared" si="102"/>
        <v>0</v>
      </c>
      <c r="AC73" s="4">
        <f t="shared" si="102"/>
        <v>0</v>
      </c>
      <c r="AD73" s="4">
        <f t="shared" si="102"/>
        <v>13.5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743"/>
    </row>
    <row r="74" spans="1:41" s="100" customFormat="1" ht="14.25" hidden="1" customHeight="1">
      <c r="A74" s="938"/>
      <c r="B74" s="774" t="s">
        <v>432</v>
      </c>
      <c r="C74" s="816"/>
      <c r="D74" s="816"/>
      <c r="E74" s="998"/>
      <c r="F74" s="1001"/>
      <c r="G74" s="508"/>
      <c r="H74" s="508"/>
      <c r="I74" s="780"/>
      <c r="J74" s="695"/>
      <c r="K74" s="376"/>
      <c r="L74" s="263"/>
      <c r="M74" s="275"/>
      <c r="N74" s="275"/>
      <c r="O74" s="275"/>
      <c r="P74" s="275"/>
      <c r="Q74" s="275">
        <v>13.5</v>
      </c>
      <c r="R74" s="275"/>
      <c r="S74" s="275"/>
      <c r="T74" s="275"/>
      <c r="U74" s="275"/>
      <c r="V74" s="275"/>
      <c r="W74" s="275"/>
      <c r="X74" s="275"/>
      <c r="Y74" s="275">
        <v>13.5</v>
      </c>
      <c r="Z74" s="275">
        <f>AD74</f>
        <v>13.5</v>
      </c>
      <c r="AA74" s="275"/>
      <c r="AB74" s="275"/>
      <c r="AC74" s="275"/>
      <c r="AD74" s="275">
        <v>13.5</v>
      </c>
      <c r="AE74" s="275"/>
      <c r="AF74" s="275"/>
      <c r="AG74" s="275"/>
      <c r="AH74" s="275"/>
      <c r="AI74" s="275"/>
      <c r="AJ74" s="275"/>
      <c r="AK74" s="275"/>
      <c r="AL74" s="275"/>
      <c r="AM74" s="275"/>
      <c r="AN74" s="275"/>
      <c r="AO74" s="509"/>
    </row>
    <row r="75" spans="1:41" ht="14.25" customHeight="1">
      <c r="A75" s="938"/>
      <c r="B75" s="42" t="s">
        <v>15</v>
      </c>
      <c r="C75" s="816"/>
      <c r="D75" s="816"/>
      <c r="E75" s="998"/>
      <c r="F75" s="1001"/>
      <c r="G75" s="777"/>
      <c r="H75" s="777"/>
      <c r="I75" s="878" t="s">
        <v>10</v>
      </c>
      <c r="J75" s="71"/>
      <c r="K75" s="775"/>
      <c r="L75" s="75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781"/>
    </row>
    <row r="76" spans="1:41" s="100" customFormat="1" ht="14.25" hidden="1" customHeight="1">
      <c r="A76" s="938"/>
      <c r="B76" s="763"/>
      <c r="C76" s="816"/>
      <c r="D76" s="816"/>
      <c r="E76" s="998"/>
      <c r="F76" s="1001"/>
      <c r="G76" s="508"/>
      <c r="H76" s="508"/>
      <c r="I76" s="879"/>
      <c r="J76" s="695"/>
      <c r="K76" s="376"/>
      <c r="L76" s="263"/>
      <c r="M76" s="275"/>
      <c r="N76" s="275"/>
      <c r="O76" s="275"/>
      <c r="P76" s="275"/>
      <c r="Q76" s="275"/>
      <c r="R76" s="275"/>
      <c r="S76" s="275"/>
      <c r="T76" s="275"/>
      <c r="U76" s="275"/>
      <c r="V76" s="275"/>
      <c r="W76" s="275"/>
      <c r="X76" s="275"/>
      <c r="Y76" s="275"/>
      <c r="Z76" s="275"/>
      <c r="AA76" s="275"/>
      <c r="AB76" s="275"/>
      <c r="AC76" s="275"/>
      <c r="AD76" s="275"/>
      <c r="AE76" s="275"/>
      <c r="AF76" s="275"/>
      <c r="AG76" s="275"/>
      <c r="AH76" s="275"/>
      <c r="AI76" s="275"/>
      <c r="AJ76" s="275"/>
      <c r="AK76" s="275"/>
      <c r="AL76" s="275"/>
      <c r="AM76" s="275"/>
      <c r="AN76" s="275"/>
      <c r="AO76" s="509"/>
    </row>
    <row r="77" spans="1:41" ht="14.25" customHeight="1">
      <c r="A77" s="939"/>
      <c r="B77" s="42" t="s">
        <v>16</v>
      </c>
      <c r="C77" s="900"/>
      <c r="D77" s="900"/>
      <c r="E77" s="999"/>
      <c r="F77" s="1002"/>
      <c r="G77" s="749">
        <v>2019</v>
      </c>
      <c r="H77" s="749">
        <v>2019</v>
      </c>
      <c r="I77" s="880"/>
      <c r="J77" s="71">
        <f t="shared" ref="J77" si="103">L77</f>
        <v>26833.33</v>
      </c>
      <c r="K77" s="744"/>
      <c r="L77" s="75">
        <v>26833.33</v>
      </c>
      <c r="M77" s="4">
        <v>0</v>
      </c>
      <c r="N77" s="4">
        <v>0</v>
      </c>
      <c r="O77" s="4">
        <v>0</v>
      </c>
      <c r="P77" s="4">
        <v>0</v>
      </c>
      <c r="Q77" s="47">
        <v>0</v>
      </c>
      <c r="R77" s="47">
        <v>0</v>
      </c>
      <c r="S77" s="47">
        <v>0</v>
      </c>
      <c r="T77" s="47">
        <v>0</v>
      </c>
      <c r="U77" s="47">
        <v>0</v>
      </c>
      <c r="V77" s="47">
        <v>0</v>
      </c>
      <c r="W77" s="47">
        <v>0</v>
      </c>
      <c r="X77" s="47">
        <v>0</v>
      </c>
      <c r="Y77" s="47">
        <v>0</v>
      </c>
      <c r="Z77" s="47">
        <v>0</v>
      </c>
      <c r="AA77" s="47">
        <v>0</v>
      </c>
      <c r="AB77" s="47">
        <v>0</v>
      </c>
      <c r="AC77" s="47">
        <v>0</v>
      </c>
      <c r="AD77" s="47">
        <v>0</v>
      </c>
      <c r="AE77" s="47">
        <v>0</v>
      </c>
      <c r="AF77" s="47">
        <v>0</v>
      </c>
      <c r="AG77" s="47">
        <v>0</v>
      </c>
      <c r="AH77" s="47">
        <v>0</v>
      </c>
      <c r="AI77" s="47">
        <v>0</v>
      </c>
      <c r="AJ77" s="47">
        <v>0</v>
      </c>
      <c r="AK77" s="47">
        <v>0</v>
      </c>
      <c r="AL77" s="47">
        <v>0</v>
      </c>
      <c r="AM77" s="47">
        <v>0</v>
      </c>
      <c r="AN77" s="47">
        <v>0</v>
      </c>
      <c r="AO77" s="403"/>
    </row>
    <row r="78" spans="1:41" ht="38.25">
      <c r="A78" s="833" t="s">
        <v>47</v>
      </c>
      <c r="B78" s="889" t="s">
        <v>17</v>
      </c>
      <c r="C78" s="890"/>
      <c r="D78" s="890"/>
      <c r="E78" s="890"/>
      <c r="F78" s="890"/>
      <c r="G78" s="890"/>
      <c r="H78" s="891"/>
      <c r="I78" s="15" t="s">
        <v>20</v>
      </c>
      <c r="J78" s="16">
        <f>J81</f>
        <v>18824.2</v>
      </c>
      <c r="K78" s="16">
        <f>K81</f>
        <v>0</v>
      </c>
      <c r="L78" s="16">
        <f>L81+L85+L88</f>
        <v>10754.58</v>
      </c>
      <c r="M78" s="16">
        <f>M81</f>
        <v>893.45</v>
      </c>
      <c r="N78" s="22">
        <f t="shared" ref="N78:O78" si="104">N81</f>
        <v>1051.49</v>
      </c>
      <c r="O78" s="22">
        <f t="shared" si="104"/>
        <v>11206.2</v>
      </c>
      <c r="P78" s="22">
        <f>P81</f>
        <v>3765.8</v>
      </c>
      <c r="Q78" s="22">
        <f t="shared" ref="Q78:AN78" si="105">Q81</f>
        <v>40</v>
      </c>
      <c r="R78" s="22">
        <f t="shared" si="105"/>
        <v>0</v>
      </c>
      <c r="S78" s="22">
        <f t="shared" si="105"/>
        <v>0</v>
      </c>
      <c r="T78" s="22">
        <f t="shared" si="105"/>
        <v>0</v>
      </c>
      <c r="U78" s="22">
        <f t="shared" si="105"/>
        <v>0</v>
      </c>
      <c r="V78" s="22">
        <f t="shared" si="105"/>
        <v>0</v>
      </c>
      <c r="W78" s="22">
        <f t="shared" si="105"/>
        <v>0</v>
      </c>
      <c r="X78" s="22">
        <f t="shared" si="105"/>
        <v>0</v>
      </c>
      <c r="Y78" s="22">
        <f t="shared" si="105"/>
        <v>40</v>
      </c>
      <c r="Z78" s="22">
        <f t="shared" si="105"/>
        <v>40</v>
      </c>
      <c r="AA78" s="22">
        <f t="shared" si="105"/>
        <v>0</v>
      </c>
      <c r="AB78" s="22">
        <f t="shared" ref="AB78:AD78" si="106">AB81</f>
        <v>0</v>
      </c>
      <c r="AC78" s="22">
        <f t="shared" si="106"/>
        <v>0</v>
      </c>
      <c r="AD78" s="22">
        <f t="shared" si="106"/>
        <v>40</v>
      </c>
      <c r="AE78" s="22">
        <f t="shared" si="105"/>
        <v>0</v>
      </c>
      <c r="AF78" s="22">
        <f t="shared" ref="AF78" si="107">AF81</f>
        <v>0</v>
      </c>
      <c r="AG78" s="22">
        <f t="shared" ref="AG78:AH78" si="108">AG81</f>
        <v>0</v>
      </c>
      <c r="AH78" s="22">
        <f t="shared" si="108"/>
        <v>0</v>
      </c>
      <c r="AI78" s="22">
        <f t="shared" ref="AI78" si="109">AI81</f>
        <v>0</v>
      </c>
      <c r="AJ78" s="22">
        <f t="shared" si="105"/>
        <v>3725.8</v>
      </c>
      <c r="AK78" s="22">
        <f t="shared" si="105"/>
        <v>3725.8</v>
      </c>
      <c r="AL78" s="22">
        <f t="shared" si="105"/>
        <v>1.06</v>
      </c>
      <c r="AM78" s="22">
        <f t="shared" si="105"/>
        <v>0</v>
      </c>
      <c r="AN78" s="22">
        <f t="shared" si="105"/>
        <v>0</v>
      </c>
      <c r="AO78" s="404"/>
    </row>
    <row r="79" spans="1:41" ht="25.5" customHeight="1">
      <c r="A79" s="834"/>
      <c r="B79" s="892"/>
      <c r="C79" s="893"/>
      <c r="D79" s="893"/>
      <c r="E79" s="893"/>
      <c r="F79" s="893"/>
      <c r="G79" s="893"/>
      <c r="H79" s="894"/>
      <c r="I79" s="15" t="s">
        <v>10</v>
      </c>
      <c r="J79" s="16">
        <v>0</v>
      </c>
      <c r="K79" s="16">
        <v>0</v>
      </c>
      <c r="L79" s="16">
        <f t="shared" si="24"/>
        <v>0</v>
      </c>
      <c r="M79" s="16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2">
        <v>0</v>
      </c>
      <c r="AJ79" s="22">
        <v>0</v>
      </c>
      <c r="AK79" s="22">
        <v>0</v>
      </c>
      <c r="AL79" s="22">
        <v>0</v>
      </c>
      <c r="AM79" s="22">
        <v>0</v>
      </c>
      <c r="AN79" s="22">
        <v>0</v>
      </c>
      <c r="AO79" s="404"/>
    </row>
    <row r="80" spans="1:41" ht="25.5" customHeight="1">
      <c r="A80" s="835"/>
      <c r="B80" s="895"/>
      <c r="C80" s="896"/>
      <c r="D80" s="896"/>
      <c r="E80" s="896"/>
      <c r="F80" s="896"/>
      <c r="G80" s="896"/>
      <c r="H80" s="897"/>
      <c r="I80" s="15" t="s">
        <v>9</v>
      </c>
      <c r="J80" s="16">
        <v>0</v>
      </c>
      <c r="K80" s="16">
        <v>0</v>
      </c>
      <c r="L80" s="16">
        <f t="shared" si="24"/>
        <v>0</v>
      </c>
      <c r="M80" s="16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404"/>
    </row>
    <row r="81" spans="1:41" ht="80.25" customHeight="1">
      <c r="A81" s="812" t="s">
        <v>48</v>
      </c>
      <c r="B81" s="78" t="s">
        <v>286</v>
      </c>
      <c r="C81" s="815">
        <v>200</v>
      </c>
      <c r="D81" s="815">
        <v>180</v>
      </c>
      <c r="E81" s="815"/>
      <c r="F81" s="815"/>
      <c r="G81" s="9"/>
      <c r="H81" s="9"/>
      <c r="I81" s="820" t="s">
        <v>20</v>
      </c>
      <c r="J81" s="806">
        <v>18824.2</v>
      </c>
      <c r="K81" s="16">
        <v>0</v>
      </c>
      <c r="L81" s="82">
        <f>L82+L84</f>
        <v>5902.8</v>
      </c>
      <c r="M81" s="82">
        <f t="shared" ref="M81:O81" si="110">M82+M84</f>
        <v>893.45</v>
      </c>
      <c r="N81" s="82">
        <f t="shared" si="110"/>
        <v>1051.49</v>
      </c>
      <c r="O81" s="82">
        <f t="shared" si="110"/>
        <v>11206.2</v>
      </c>
      <c r="P81" s="82">
        <f>P82+P84</f>
        <v>3765.8</v>
      </c>
      <c r="Q81" s="82">
        <f>Q82+Q84</f>
        <v>40</v>
      </c>
      <c r="R81" s="82">
        <f t="shared" ref="R81:AN81" si="111">R82+R84</f>
        <v>0</v>
      </c>
      <c r="S81" s="82">
        <f t="shared" si="111"/>
        <v>0</v>
      </c>
      <c r="T81" s="82">
        <f t="shared" si="111"/>
        <v>0</v>
      </c>
      <c r="U81" s="82">
        <f t="shared" si="111"/>
        <v>0</v>
      </c>
      <c r="V81" s="82">
        <f t="shared" si="111"/>
        <v>0</v>
      </c>
      <c r="W81" s="82">
        <f t="shared" si="111"/>
        <v>0</v>
      </c>
      <c r="X81" s="82">
        <f t="shared" si="111"/>
        <v>0</v>
      </c>
      <c r="Y81" s="82">
        <f t="shared" si="111"/>
        <v>40</v>
      </c>
      <c r="Z81" s="82">
        <f t="shared" si="111"/>
        <v>40</v>
      </c>
      <c r="AA81" s="82">
        <f t="shared" si="111"/>
        <v>0</v>
      </c>
      <c r="AB81" s="82">
        <f t="shared" ref="AB81:AD81" si="112">AB82+AB84</f>
        <v>0</v>
      </c>
      <c r="AC81" s="82">
        <f t="shared" si="112"/>
        <v>0</v>
      </c>
      <c r="AD81" s="82">
        <f t="shared" si="112"/>
        <v>40</v>
      </c>
      <c r="AE81" s="82">
        <f t="shared" si="111"/>
        <v>0</v>
      </c>
      <c r="AF81" s="82">
        <f t="shared" si="111"/>
        <v>0</v>
      </c>
      <c r="AG81" s="82">
        <f t="shared" si="111"/>
        <v>0</v>
      </c>
      <c r="AH81" s="82">
        <f t="shared" si="111"/>
        <v>0</v>
      </c>
      <c r="AI81" s="82">
        <f t="shared" ref="AI81" si="113">AI82+AI84</f>
        <v>0</v>
      </c>
      <c r="AJ81" s="82">
        <f>P81-Q81</f>
        <v>3725.8</v>
      </c>
      <c r="AK81" s="82">
        <f>AJ81</f>
        <v>3725.8</v>
      </c>
      <c r="AL81" s="79">
        <f>ROUND((Q81*100%/P81*100),2)</f>
        <v>1.06</v>
      </c>
      <c r="AM81" s="82">
        <f t="shared" si="111"/>
        <v>0</v>
      </c>
      <c r="AN81" s="82">
        <f t="shared" si="111"/>
        <v>0</v>
      </c>
      <c r="AO81" s="411" t="s">
        <v>281</v>
      </c>
    </row>
    <row r="82" spans="1:41" ht="15.75" customHeight="1">
      <c r="A82" s="813"/>
      <c r="B82" s="2" t="s">
        <v>15</v>
      </c>
      <c r="C82" s="816"/>
      <c r="D82" s="816"/>
      <c r="E82" s="816"/>
      <c r="F82" s="816"/>
      <c r="G82" s="11">
        <v>2019</v>
      </c>
      <c r="H82" s="11">
        <v>2019</v>
      </c>
      <c r="I82" s="822"/>
      <c r="J82" s="807"/>
      <c r="K82" s="16"/>
      <c r="L82" s="22">
        <v>1944.94</v>
      </c>
      <c r="M82" s="47">
        <v>893.45</v>
      </c>
      <c r="N82" s="47">
        <v>1051.49</v>
      </c>
      <c r="O82" s="47">
        <v>0</v>
      </c>
      <c r="P82" s="47">
        <v>0</v>
      </c>
      <c r="Q82" s="47">
        <f>SUM(Q83)</f>
        <v>40</v>
      </c>
      <c r="R82" s="47">
        <f t="shared" ref="R82:AF82" si="114">SUM(R83)</f>
        <v>0</v>
      </c>
      <c r="S82" s="47">
        <f t="shared" si="114"/>
        <v>0</v>
      </c>
      <c r="T82" s="47">
        <f t="shared" si="114"/>
        <v>0</v>
      </c>
      <c r="U82" s="47">
        <f t="shared" si="114"/>
        <v>0</v>
      </c>
      <c r="V82" s="47">
        <f t="shared" si="114"/>
        <v>0</v>
      </c>
      <c r="W82" s="47">
        <f t="shared" si="114"/>
        <v>0</v>
      </c>
      <c r="X82" s="47">
        <v>0</v>
      </c>
      <c r="Y82" s="47">
        <f>SUM(Y83)</f>
        <v>40</v>
      </c>
      <c r="Z82" s="47">
        <f>SUM(Z83)</f>
        <v>40</v>
      </c>
      <c r="AA82" s="47">
        <f t="shared" ref="AA82:AD82" si="115">SUM(AA83)</f>
        <v>0</v>
      </c>
      <c r="AB82" s="47">
        <f t="shared" si="115"/>
        <v>0</v>
      </c>
      <c r="AC82" s="47">
        <f t="shared" si="115"/>
        <v>0</v>
      </c>
      <c r="AD82" s="47">
        <f t="shared" si="115"/>
        <v>40</v>
      </c>
      <c r="AE82" s="47">
        <f t="shared" si="114"/>
        <v>0</v>
      </c>
      <c r="AF82" s="47">
        <f t="shared" si="114"/>
        <v>0</v>
      </c>
      <c r="AG82" s="47">
        <v>0</v>
      </c>
      <c r="AH82" s="47">
        <v>0</v>
      </c>
      <c r="AI82" s="47">
        <v>0</v>
      </c>
      <c r="AJ82" s="47">
        <v>0</v>
      </c>
      <c r="AK82" s="47">
        <v>0</v>
      </c>
      <c r="AL82" s="47">
        <v>0</v>
      </c>
      <c r="AM82" s="47">
        <v>0</v>
      </c>
      <c r="AN82" s="47">
        <v>0</v>
      </c>
      <c r="AO82" s="403"/>
    </row>
    <row r="83" spans="1:41" s="100" customFormat="1" ht="15.75" hidden="1" customHeight="1">
      <c r="A83" s="813"/>
      <c r="B83" s="95" t="s">
        <v>258</v>
      </c>
      <c r="C83" s="816"/>
      <c r="D83" s="816"/>
      <c r="E83" s="816"/>
      <c r="F83" s="816"/>
      <c r="G83" s="267"/>
      <c r="H83" s="267"/>
      <c r="I83" s="822"/>
      <c r="J83" s="807"/>
      <c r="K83" s="110"/>
      <c r="L83" s="110"/>
      <c r="M83" s="99"/>
      <c r="N83" s="98"/>
      <c r="O83" s="98"/>
      <c r="P83" s="47"/>
      <c r="Q83" s="99">
        <f>S83+U83+W83+Y83</f>
        <v>40</v>
      </c>
      <c r="R83" s="99">
        <f>S83</f>
        <v>0</v>
      </c>
      <c r="S83" s="99">
        <v>0</v>
      </c>
      <c r="T83" s="99">
        <v>0</v>
      </c>
      <c r="U83" s="99">
        <v>0</v>
      </c>
      <c r="V83" s="99">
        <v>0</v>
      </c>
      <c r="W83" s="99">
        <v>0</v>
      </c>
      <c r="X83" s="99"/>
      <c r="Y83" s="99">
        <v>40</v>
      </c>
      <c r="Z83" s="99">
        <f>AA83+AD83</f>
        <v>40</v>
      </c>
      <c r="AA83" s="99">
        <v>0</v>
      </c>
      <c r="AB83" s="99">
        <v>0</v>
      </c>
      <c r="AC83" s="99">
        <v>0</v>
      </c>
      <c r="AD83" s="99">
        <v>40</v>
      </c>
      <c r="AE83" s="99">
        <f>SUM(AF83:AF83)</f>
        <v>0</v>
      </c>
      <c r="AF83" s="99"/>
      <c r="AG83" s="99"/>
      <c r="AH83" s="99"/>
      <c r="AI83" s="99"/>
      <c r="AJ83" s="99"/>
      <c r="AK83" s="99"/>
      <c r="AL83" s="99"/>
      <c r="AM83" s="99"/>
      <c r="AN83" s="99"/>
      <c r="AO83" s="412"/>
    </row>
    <row r="84" spans="1:41" ht="15.75" customHeight="1">
      <c r="A84" s="813"/>
      <c r="B84" s="2" t="s">
        <v>16</v>
      </c>
      <c r="C84" s="816"/>
      <c r="D84" s="816"/>
      <c r="E84" s="816"/>
      <c r="F84" s="816"/>
      <c r="G84" s="11">
        <v>2020</v>
      </c>
      <c r="H84" s="11">
        <v>2020</v>
      </c>
      <c r="I84" s="821"/>
      <c r="J84" s="808"/>
      <c r="K84" s="22">
        <v>0</v>
      </c>
      <c r="L84" s="22">
        <v>3957.86</v>
      </c>
      <c r="M84" s="47">
        <v>0</v>
      </c>
      <c r="N84" s="47">
        <v>0</v>
      </c>
      <c r="O84" s="47">
        <v>11206.2</v>
      </c>
      <c r="P84" s="47">
        <v>3765.8</v>
      </c>
      <c r="Q84" s="47">
        <v>0</v>
      </c>
      <c r="R84" s="47">
        <v>0</v>
      </c>
      <c r="S84" s="47">
        <v>0</v>
      </c>
      <c r="T84" s="47">
        <v>0</v>
      </c>
      <c r="U84" s="47">
        <v>0</v>
      </c>
      <c r="V84" s="47">
        <v>0</v>
      </c>
      <c r="W84" s="47">
        <v>0</v>
      </c>
      <c r="X84" s="47">
        <v>0</v>
      </c>
      <c r="Y84" s="47">
        <v>0</v>
      </c>
      <c r="Z84" s="47">
        <v>0</v>
      </c>
      <c r="AA84" s="47">
        <v>0</v>
      </c>
      <c r="AB84" s="47">
        <v>0</v>
      </c>
      <c r="AC84" s="47">
        <v>0</v>
      </c>
      <c r="AD84" s="47">
        <v>0</v>
      </c>
      <c r="AE84" s="47">
        <v>0</v>
      </c>
      <c r="AF84" s="47">
        <v>0</v>
      </c>
      <c r="AG84" s="47">
        <v>0</v>
      </c>
      <c r="AH84" s="47">
        <v>0</v>
      </c>
      <c r="AI84" s="47">
        <v>0</v>
      </c>
      <c r="AJ84" s="47">
        <v>0</v>
      </c>
      <c r="AK84" s="47">
        <v>0</v>
      </c>
      <c r="AL84" s="47">
        <v>0</v>
      </c>
      <c r="AM84" s="47">
        <v>0</v>
      </c>
      <c r="AN84" s="47">
        <v>0</v>
      </c>
      <c r="AO84" s="403"/>
    </row>
    <row r="85" spans="1:41" ht="80.25" customHeight="1">
      <c r="A85" s="812" t="s">
        <v>385</v>
      </c>
      <c r="B85" s="78" t="s">
        <v>386</v>
      </c>
      <c r="C85" s="815">
        <v>200</v>
      </c>
      <c r="D85" s="815">
        <v>180</v>
      </c>
      <c r="E85" s="815"/>
      <c r="F85" s="815"/>
      <c r="G85" s="746"/>
      <c r="H85" s="746"/>
      <c r="I85" s="820" t="s">
        <v>20</v>
      </c>
      <c r="J85" s="806">
        <v>18824.2</v>
      </c>
      <c r="K85" s="16">
        <v>0</v>
      </c>
      <c r="L85" s="82">
        <f t="shared" ref="L85:AI85" si="116">L86+L87</f>
        <v>1290.94</v>
      </c>
      <c r="M85" s="82">
        <f t="shared" si="116"/>
        <v>0</v>
      </c>
      <c r="N85" s="82">
        <f t="shared" si="116"/>
        <v>0</v>
      </c>
      <c r="O85" s="82">
        <f t="shared" si="116"/>
        <v>0</v>
      </c>
      <c r="P85" s="82">
        <f t="shared" si="116"/>
        <v>0</v>
      </c>
      <c r="Q85" s="82">
        <f t="shared" si="116"/>
        <v>0</v>
      </c>
      <c r="R85" s="82">
        <f t="shared" si="116"/>
        <v>0</v>
      </c>
      <c r="S85" s="82">
        <f t="shared" si="116"/>
        <v>0</v>
      </c>
      <c r="T85" s="82">
        <f t="shared" si="116"/>
        <v>0</v>
      </c>
      <c r="U85" s="82">
        <f t="shared" si="116"/>
        <v>0</v>
      </c>
      <c r="V85" s="82">
        <f t="shared" si="116"/>
        <v>0</v>
      </c>
      <c r="W85" s="82">
        <f t="shared" si="116"/>
        <v>0</v>
      </c>
      <c r="X85" s="82">
        <f t="shared" si="116"/>
        <v>0</v>
      </c>
      <c r="Y85" s="82">
        <f t="shared" si="116"/>
        <v>0</v>
      </c>
      <c r="Z85" s="82">
        <f t="shared" si="116"/>
        <v>0</v>
      </c>
      <c r="AA85" s="82">
        <f t="shared" si="116"/>
        <v>0</v>
      </c>
      <c r="AB85" s="82">
        <f t="shared" si="116"/>
        <v>0</v>
      </c>
      <c r="AC85" s="82">
        <f t="shared" si="116"/>
        <v>0</v>
      </c>
      <c r="AD85" s="82">
        <f t="shared" si="116"/>
        <v>0</v>
      </c>
      <c r="AE85" s="82">
        <f t="shared" si="116"/>
        <v>0</v>
      </c>
      <c r="AF85" s="82">
        <f t="shared" si="116"/>
        <v>0</v>
      </c>
      <c r="AG85" s="82">
        <f t="shared" si="116"/>
        <v>0</v>
      </c>
      <c r="AH85" s="82">
        <f t="shared" si="116"/>
        <v>0</v>
      </c>
      <c r="AI85" s="82">
        <f t="shared" si="116"/>
        <v>0</v>
      </c>
      <c r="AJ85" s="82">
        <f>P85-Q85</f>
        <v>0</v>
      </c>
      <c r="AK85" s="82">
        <f>AJ85</f>
        <v>0</v>
      </c>
      <c r="AL85" s="79" t="e">
        <f>ROUND((Q85*100%/P85*100),2)</f>
        <v>#DIV/0!</v>
      </c>
      <c r="AM85" s="82">
        <f>AM86+AM87</f>
        <v>0</v>
      </c>
      <c r="AN85" s="82">
        <f>AN86+AN87</f>
        <v>0</v>
      </c>
      <c r="AO85" s="411" t="s">
        <v>281</v>
      </c>
    </row>
    <row r="86" spans="1:41" ht="15.75" customHeight="1">
      <c r="A86" s="813"/>
      <c r="B86" s="748" t="s">
        <v>15</v>
      </c>
      <c r="C86" s="816"/>
      <c r="D86" s="816"/>
      <c r="E86" s="816"/>
      <c r="F86" s="816"/>
      <c r="G86" s="741">
        <v>2019</v>
      </c>
      <c r="H86" s="741">
        <v>2019</v>
      </c>
      <c r="I86" s="822"/>
      <c r="J86" s="807"/>
      <c r="K86" s="16"/>
      <c r="L86" s="22">
        <v>0</v>
      </c>
      <c r="M86" s="47"/>
      <c r="N86" s="47"/>
      <c r="O86" s="47"/>
      <c r="P86" s="47"/>
      <c r="Q86" s="47">
        <v>0</v>
      </c>
      <c r="R86" s="47">
        <v>0</v>
      </c>
      <c r="S86" s="47">
        <v>0</v>
      </c>
      <c r="T86" s="47">
        <v>0</v>
      </c>
      <c r="U86" s="47">
        <v>0</v>
      </c>
      <c r="V86" s="47">
        <v>0</v>
      </c>
      <c r="W86" s="47">
        <v>0</v>
      </c>
      <c r="X86" s="47">
        <v>0</v>
      </c>
      <c r="Y86" s="47">
        <v>0</v>
      </c>
      <c r="Z86" s="47">
        <v>0</v>
      </c>
      <c r="AA86" s="47">
        <v>0</v>
      </c>
      <c r="AB86" s="47">
        <v>0</v>
      </c>
      <c r="AC86" s="47">
        <v>0</v>
      </c>
      <c r="AD86" s="47">
        <v>0</v>
      </c>
      <c r="AE86" s="47">
        <v>0</v>
      </c>
      <c r="AF86" s="47">
        <v>0</v>
      </c>
      <c r="AG86" s="47">
        <v>0</v>
      </c>
      <c r="AH86" s="47">
        <v>0</v>
      </c>
      <c r="AI86" s="47">
        <v>0</v>
      </c>
      <c r="AJ86" s="47">
        <v>0</v>
      </c>
      <c r="AK86" s="47">
        <v>0</v>
      </c>
      <c r="AL86" s="47">
        <v>0</v>
      </c>
      <c r="AM86" s="47">
        <v>0</v>
      </c>
      <c r="AN86" s="47">
        <v>0</v>
      </c>
      <c r="AO86" s="403"/>
    </row>
    <row r="87" spans="1:41" ht="15.75" customHeight="1">
      <c r="A87" s="813"/>
      <c r="B87" s="748" t="s">
        <v>16</v>
      </c>
      <c r="C87" s="816"/>
      <c r="D87" s="816"/>
      <c r="E87" s="816"/>
      <c r="F87" s="816"/>
      <c r="G87" s="741">
        <v>2020</v>
      </c>
      <c r="H87" s="741">
        <v>2020</v>
      </c>
      <c r="I87" s="821"/>
      <c r="J87" s="808"/>
      <c r="K87" s="22">
        <v>0</v>
      </c>
      <c r="L87" s="22">
        <v>1290.94</v>
      </c>
      <c r="M87" s="47"/>
      <c r="N87" s="47"/>
      <c r="O87" s="47"/>
      <c r="P87" s="47"/>
      <c r="Q87" s="47">
        <v>0</v>
      </c>
      <c r="R87" s="47">
        <v>0</v>
      </c>
      <c r="S87" s="47">
        <v>0</v>
      </c>
      <c r="T87" s="47">
        <v>0</v>
      </c>
      <c r="U87" s="47">
        <v>0</v>
      </c>
      <c r="V87" s="47">
        <v>0</v>
      </c>
      <c r="W87" s="47">
        <v>0</v>
      </c>
      <c r="X87" s="47">
        <v>0</v>
      </c>
      <c r="Y87" s="47">
        <v>0</v>
      </c>
      <c r="Z87" s="47">
        <v>0</v>
      </c>
      <c r="AA87" s="47">
        <v>0</v>
      </c>
      <c r="AB87" s="47">
        <v>0</v>
      </c>
      <c r="AC87" s="47">
        <v>0</v>
      </c>
      <c r="AD87" s="47">
        <v>0</v>
      </c>
      <c r="AE87" s="47">
        <v>0</v>
      </c>
      <c r="AF87" s="47">
        <v>0</v>
      </c>
      <c r="AG87" s="47">
        <v>0</v>
      </c>
      <c r="AH87" s="47">
        <v>0</v>
      </c>
      <c r="AI87" s="47">
        <v>0</v>
      </c>
      <c r="AJ87" s="47">
        <v>0</v>
      </c>
      <c r="AK87" s="47">
        <v>0</v>
      </c>
      <c r="AL87" s="47">
        <v>0</v>
      </c>
      <c r="AM87" s="47">
        <v>0</v>
      </c>
      <c r="AN87" s="47">
        <v>0</v>
      </c>
      <c r="AO87" s="403"/>
    </row>
    <row r="88" spans="1:41" ht="80.25" customHeight="1">
      <c r="A88" s="812" t="s">
        <v>387</v>
      </c>
      <c r="B88" s="78" t="s">
        <v>388</v>
      </c>
      <c r="C88" s="815">
        <v>200</v>
      </c>
      <c r="D88" s="815">
        <v>180</v>
      </c>
      <c r="E88" s="815"/>
      <c r="F88" s="815"/>
      <c r="G88" s="746"/>
      <c r="H88" s="746"/>
      <c r="I88" s="820" t="s">
        <v>20</v>
      </c>
      <c r="J88" s="806">
        <v>18824.2</v>
      </c>
      <c r="K88" s="16">
        <v>0</v>
      </c>
      <c r="L88" s="82">
        <f t="shared" ref="L88:AI88" si="117">L89+L90</f>
        <v>3560.84</v>
      </c>
      <c r="M88" s="82">
        <f t="shared" si="117"/>
        <v>0</v>
      </c>
      <c r="N88" s="82">
        <f t="shared" si="117"/>
        <v>0</v>
      </c>
      <c r="O88" s="82">
        <f t="shared" si="117"/>
        <v>0</v>
      </c>
      <c r="P88" s="82">
        <f t="shared" si="117"/>
        <v>0</v>
      </c>
      <c r="Q88" s="82">
        <f t="shared" si="117"/>
        <v>0</v>
      </c>
      <c r="R88" s="82">
        <f t="shared" si="117"/>
        <v>0</v>
      </c>
      <c r="S88" s="82">
        <f t="shared" si="117"/>
        <v>0</v>
      </c>
      <c r="T88" s="82">
        <f t="shared" si="117"/>
        <v>0</v>
      </c>
      <c r="U88" s="82">
        <f t="shared" si="117"/>
        <v>0</v>
      </c>
      <c r="V88" s="82">
        <f t="shared" si="117"/>
        <v>0</v>
      </c>
      <c r="W88" s="82">
        <f t="shared" si="117"/>
        <v>0</v>
      </c>
      <c r="X88" s="82">
        <f t="shared" si="117"/>
        <v>0</v>
      </c>
      <c r="Y88" s="82">
        <f t="shared" si="117"/>
        <v>0</v>
      </c>
      <c r="Z88" s="82">
        <f t="shared" si="117"/>
        <v>0</v>
      </c>
      <c r="AA88" s="82">
        <f t="shared" si="117"/>
        <v>0</v>
      </c>
      <c r="AB88" s="82">
        <f t="shared" si="117"/>
        <v>0</v>
      </c>
      <c r="AC88" s="82">
        <f t="shared" si="117"/>
        <v>0</v>
      </c>
      <c r="AD88" s="82">
        <f t="shared" si="117"/>
        <v>0</v>
      </c>
      <c r="AE88" s="82">
        <f t="shared" si="117"/>
        <v>0</v>
      </c>
      <c r="AF88" s="82">
        <f t="shared" si="117"/>
        <v>0</v>
      </c>
      <c r="AG88" s="82">
        <f t="shared" si="117"/>
        <v>0</v>
      </c>
      <c r="AH88" s="82">
        <f t="shared" si="117"/>
        <v>0</v>
      </c>
      <c r="AI88" s="82">
        <f t="shared" si="117"/>
        <v>0</v>
      </c>
      <c r="AJ88" s="82">
        <f>P88-Q88</f>
        <v>0</v>
      </c>
      <c r="AK88" s="82">
        <f>AJ88</f>
        <v>0</v>
      </c>
      <c r="AL88" s="79" t="e">
        <f>ROUND((Q88*100%/P88*100),2)</f>
        <v>#DIV/0!</v>
      </c>
      <c r="AM88" s="82">
        <f>AM89+AM90</f>
        <v>0</v>
      </c>
      <c r="AN88" s="82">
        <f>AN89+AN90</f>
        <v>0</v>
      </c>
      <c r="AO88" s="411" t="s">
        <v>281</v>
      </c>
    </row>
    <row r="89" spans="1:41" ht="15.75" customHeight="1">
      <c r="A89" s="813"/>
      <c r="B89" s="748" t="s">
        <v>15</v>
      </c>
      <c r="C89" s="816"/>
      <c r="D89" s="816"/>
      <c r="E89" s="816"/>
      <c r="F89" s="816"/>
      <c r="G89" s="741">
        <v>2019</v>
      </c>
      <c r="H89" s="741">
        <v>2019</v>
      </c>
      <c r="I89" s="822"/>
      <c r="J89" s="807"/>
      <c r="K89" s="16"/>
      <c r="L89" s="22">
        <v>0</v>
      </c>
      <c r="M89" s="47"/>
      <c r="N89" s="47"/>
      <c r="O89" s="47"/>
      <c r="P89" s="47">
        <v>0</v>
      </c>
      <c r="Q89" s="47">
        <v>0</v>
      </c>
      <c r="R89" s="47">
        <v>0</v>
      </c>
      <c r="S89" s="47">
        <v>0</v>
      </c>
      <c r="T89" s="47">
        <v>0</v>
      </c>
      <c r="U89" s="47">
        <v>0</v>
      </c>
      <c r="V89" s="47">
        <v>0</v>
      </c>
      <c r="W89" s="47">
        <v>0</v>
      </c>
      <c r="X89" s="47">
        <v>0</v>
      </c>
      <c r="Y89" s="47">
        <v>0</v>
      </c>
      <c r="Z89" s="47">
        <v>0</v>
      </c>
      <c r="AA89" s="47">
        <v>0</v>
      </c>
      <c r="AB89" s="47">
        <v>0</v>
      </c>
      <c r="AC89" s="47">
        <v>0</v>
      </c>
      <c r="AD89" s="47">
        <v>0</v>
      </c>
      <c r="AE89" s="47">
        <v>0</v>
      </c>
      <c r="AF89" s="47">
        <v>0</v>
      </c>
      <c r="AG89" s="47">
        <v>0</v>
      </c>
      <c r="AH89" s="47">
        <v>0</v>
      </c>
      <c r="AI89" s="47">
        <v>0</v>
      </c>
      <c r="AJ89" s="47">
        <v>0</v>
      </c>
      <c r="AK89" s="47">
        <v>0</v>
      </c>
      <c r="AL89" s="47">
        <v>0</v>
      </c>
      <c r="AM89" s="47">
        <v>0</v>
      </c>
      <c r="AN89" s="47">
        <v>0</v>
      </c>
      <c r="AO89" s="403"/>
    </row>
    <row r="90" spans="1:41" ht="15.75" customHeight="1">
      <c r="A90" s="813"/>
      <c r="B90" s="748" t="s">
        <v>16</v>
      </c>
      <c r="C90" s="816"/>
      <c r="D90" s="816"/>
      <c r="E90" s="816"/>
      <c r="F90" s="816"/>
      <c r="G90" s="741">
        <v>2020</v>
      </c>
      <c r="H90" s="741">
        <v>2020</v>
      </c>
      <c r="I90" s="821"/>
      <c r="J90" s="808"/>
      <c r="K90" s="22">
        <v>0</v>
      </c>
      <c r="L90" s="22">
        <v>3560.84</v>
      </c>
      <c r="M90" s="47"/>
      <c r="N90" s="47"/>
      <c r="O90" s="47"/>
      <c r="P90" s="47">
        <v>0</v>
      </c>
      <c r="Q90" s="47">
        <v>0</v>
      </c>
      <c r="R90" s="47">
        <v>0</v>
      </c>
      <c r="S90" s="47">
        <v>0</v>
      </c>
      <c r="T90" s="47">
        <v>0</v>
      </c>
      <c r="U90" s="47">
        <v>0</v>
      </c>
      <c r="V90" s="47">
        <v>0</v>
      </c>
      <c r="W90" s="47">
        <v>0</v>
      </c>
      <c r="X90" s="47">
        <v>0</v>
      </c>
      <c r="Y90" s="47">
        <v>0</v>
      </c>
      <c r="Z90" s="47">
        <v>0</v>
      </c>
      <c r="AA90" s="47">
        <v>0</v>
      </c>
      <c r="AB90" s="47">
        <v>0</v>
      </c>
      <c r="AC90" s="47">
        <v>0</v>
      </c>
      <c r="AD90" s="47">
        <v>0</v>
      </c>
      <c r="AE90" s="47">
        <v>0</v>
      </c>
      <c r="AF90" s="47">
        <v>0</v>
      </c>
      <c r="AG90" s="47">
        <v>0</v>
      </c>
      <c r="AH90" s="47">
        <v>0</v>
      </c>
      <c r="AI90" s="47">
        <v>0</v>
      </c>
      <c r="AJ90" s="47">
        <v>0</v>
      </c>
      <c r="AK90" s="47">
        <v>0</v>
      </c>
      <c r="AL90" s="47">
        <v>0</v>
      </c>
      <c r="AM90" s="47">
        <v>0</v>
      </c>
      <c r="AN90" s="47">
        <v>0</v>
      </c>
      <c r="AO90" s="403"/>
    </row>
    <row r="91" spans="1:41" ht="52.5" customHeight="1">
      <c r="A91" s="833" t="s">
        <v>56</v>
      </c>
      <c r="B91" s="889" t="s">
        <v>41</v>
      </c>
      <c r="C91" s="890"/>
      <c r="D91" s="890"/>
      <c r="E91" s="890"/>
      <c r="F91" s="890"/>
      <c r="G91" s="890"/>
      <c r="H91" s="891"/>
      <c r="I91" s="15" t="s">
        <v>19</v>
      </c>
      <c r="J91" s="43">
        <v>0</v>
      </c>
      <c r="K91" s="43">
        <v>0</v>
      </c>
      <c r="L91" s="16">
        <f t="shared" si="24"/>
        <v>0</v>
      </c>
      <c r="M91" s="16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2">
        <v>0</v>
      </c>
      <c r="AI91" s="22">
        <v>0</v>
      </c>
      <c r="AJ91" s="22">
        <v>0</v>
      </c>
      <c r="AK91" s="22">
        <v>0</v>
      </c>
      <c r="AL91" s="22">
        <v>0</v>
      </c>
      <c r="AM91" s="22">
        <v>0</v>
      </c>
      <c r="AN91" s="22">
        <v>0</v>
      </c>
      <c r="AO91" s="404"/>
    </row>
    <row r="92" spans="1:41" ht="39.75" customHeight="1">
      <c r="A92" s="834"/>
      <c r="B92" s="892"/>
      <c r="C92" s="893"/>
      <c r="D92" s="893"/>
      <c r="E92" s="893"/>
      <c r="F92" s="893"/>
      <c r="G92" s="893"/>
      <c r="H92" s="894"/>
      <c r="I92" s="15" t="s">
        <v>20</v>
      </c>
      <c r="J92" s="43">
        <f>L92</f>
        <v>170139.5</v>
      </c>
      <c r="K92" s="43">
        <f>K95+K153+K154+K155</f>
        <v>0</v>
      </c>
      <c r="L92" s="16">
        <f>L95+L99+L106+L109+L112+L115+L121+L126+L129+L133+L139+L142+L147</f>
        <v>170139.5</v>
      </c>
      <c r="M92" s="16">
        <f t="shared" ref="M92:AD92" si="118">M95+M99+M105+M106+M109+M112+M115+M121+M126+M129+M133+M139+M142+M147</f>
        <v>23675.279999999999</v>
      </c>
      <c r="N92" s="16">
        <f t="shared" si="118"/>
        <v>44561.120000000003</v>
      </c>
      <c r="O92" s="16">
        <f t="shared" si="118"/>
        <v>26487.67</v>
      </c>
      <c r="P92" s="22">
        <f t="shared" si="118"/>
        <v>29570.270000000004</v>
      </c>
      <c r="Q92" s="22">
        <f>Q95+Q99+Q105+Q106+Q109+Q112+Q115+Q121+Q126+Q129+Q133+Q139+Q142+Q147</f>
        <v>37246.629000000001</v>
      </c>
      <c r="R92" s="22">
        <f t="shared" si="118"/>
        <v>14009.832</v>
      </c>
      <c r="S92" s="22">
        <f t="shared" si="118"/>
        <v>14009.832</v>
      </c>
      <c r="T92" s="22">
        <f t="shared" si="118"/>
        <v>20165.433000000001</v>
      </c>
      <c r="U92" s="22">
        <f t="shared" si="118"/>
        <v>20165.433000000001</v>
      </c>
      <c r="V92" s="22">
        <f t="shared" si="118"/>
        <v>1893.52</v>
      </c>
      <c r="W92" s="22">
        <f t="shared" si="118"/>
        <v>1893.52</v>
      </c>
      <c r="X92" s="22">
        <f t="shared" si="118"/>
        <v>0</v>
      </c>
      <c r="Y92" s="22">
        <f t="shared" si="118"/>
        <v>1177.846</v>
      </c>
      <c r="Z92" s="22">
        <f t="shared" si="118"/>
        <v>5474.759</v>
      </c>
      <c r="AA92" s="22">
        <f t="shared" si="118"/>
        <v>632.49599999999998</v>
      </c>
      <c r="AB92" s="22">
        <f t="shared" si="118"/>
        <v>1672.396</v>
      </c>
      <c r="AC92" s="22">
        <f t="shared" si="118"/>
        <v>3743.7089999999998</v>
      </c>
      <c r="AD92" s="22">
        <f t="shared" si="118"/>
        <v>1177.846</v>
      </c>
      <c r="AE92" s="22">
        <f>AE95+AE99+AE105+AE106+AE109+AE112+AE115+AE121+AF126+AE129+AE133+AE139</f>
        <v>0</v>
      </c>
      <c r="AF92" s="22">
        <f>AF95+AF99+AF105+AF106+AF109+AF112+AF115+AF121+AG126+AF129+AF133+AF139</f>
        <v>0</v>
      </c>
      <c r="AG92" s="22">
        <f t="shared" ref="AG92:AH92" si="119">AG95+AG99+AG105</f>
        <v>0</v>
      </c>
      <c r="AH92" s="22">
        <f t="shared" si="119"/>
        <v>0</v>
      </c>
      <c r="AI92" s="22">
        <f>AI95+AI99+AI105+AI139</f>
        <v>0</v>
      </c>
      <c r="AJ92" s="22">
        <f>AJ95+AJ99+AJ105</f>
        <v>-587.69000000000005</v>
      </c>
      <c r="AK92" s="22">
        <f>AK95+AK99+AK105</f>
        <v>-587.69000000000005</v>
      </c>
      <c r="AL92" s="22">
        <f>AL95+AL99+AL105</f>
        <v>166.13</v>
      </c>
      <c r="AM92" s="22">
        <f>AM95+AM99+AM105</f>
        <v>0</v>
      </c>
      <c r="AN92" s="22">
        <f>AN95+AN99+AN105</f>
        <v>0</v>
      </c>
      <c r="AO92" s="404"/>
    </row>
    <row r="93" spans="1:41" ht="27" customHeight="1">
      <c r="A93" s="834"/>
      <c r="B93" s="892"/>
      <c r="C93" s="893"/>
      <c r="D93" s="893"/>
      <c r="E93" s="893"/>
      <c r="F93" s="893"/>
      <c r="G93" s="893"/>
      <c r="H93" s="894"/>
      <c r="I93" s="15" t="s">
        <v>10</v>
      </c>
      <c r="J93" s="43">
        <f t="shared" ref="J93:J94" si="120">L93</f>
        <v>0</v>
      </c>
      <c r="K93" s="43">
        <v>0</v>
      </c>
      <c r="L93" s="16">
        <f t="shared" ref="L93:L105" si="121">M93+N93+O93</f>
        <v>0</v>
      </c>
      <c r="M93" s="16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22">
        <v>0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v>0</v>
      </c>
      <c r="AG93" s="22">
        <v>0</v>
      </c>
      <c r="AH93" s="22">
        <v>0</v>
      </c>
      <c r="AI93" s="22">
        <v>0</v>
      </c>
      <c r="AJ93" s="22">
        <v>0</v>
      </c>
      <c r="AK93" s="22">
        <v>0</v>
      </c>
      <c r="AL93" s="22">
        <v>0</v>
      </c>
      <c r="AM93" s="22">
        <v>0</v>
      </c>
      <c r="AN93" s="22">
        <v>0</v>
      </c>
      <c r="AO93" s="404"/>
    </row>
    <row r="94" spans="1:41" ht="27" customHeight="1">
      <c r="A94" s="835"/>
      <c r="B94" s="895"/>
      <c r="C94" s="896"/>
      <c r="D94" s="896"/>
      <c r="E94" s="896"/>
      <c r="F94" s="896"/>
      <c r="G94" s="896"/>
      <c r="H94" s="897"/>
      <c r="I94" s="15" t="s">
        <v>9</v>
      </c>
      <c r="J94" s="43">
        <f t="shared" si="120"/>
        <v>0</v>
      </c>
      <c r="K94" s="43">
        <v>0</v>
      </c>
      <c r="L94" s="16">
        <f t="shared" si="121"/>
        <v>0</v>
      </c>
      <c r="M94" s="16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  <c r="Z94" s="22">
        <v>0</v>
      </c>
      <c r="AA94" s="22">
        <v>0</v>
      </c>
      <c r="AB94" s="22">
        <v>0</v>
      </c>
      <c r="AC94" s="22">
        <v>0</v>
      </c>
      <c r="AD94" s="22">
        <v>0</v>
      </c>
      <c r="AE94" s="22">
        <v>0</v>
      </c>
      <c r="AF94" s="22">
        <v>0</v>
      </c>
      <c r="AG94" s="22">
        <v>0</v>
      </c>
      <c r="AH94" s="22">
        <v>0</v>
      </c>
      <c r="AI94" s="22">
        <v>0</v>
      </c>
      <c r="AJ94" s="22">
        <v>0</v>
      </c>
      <c r="AK94" s="22">
        <v>0</v>
      </c>
      <c r="AL94" s="22">
        <v>0</v>
      </c>
      <c r="AM94" s="22">
        <v>0</v>
      </c>
      <c r="AN94" s="22">
        <v>0</v>
      </c>
      <c r="AO94" s="404"/>
    </row>
    <row r="95" spans="1:41" ht="78.75" customHeight="1">
      <c r="A95" s="812" t="s">
        <v>57</v>
      </c>
      <c r="B95" s="80" t="s">
        <v>371</v>
      </c>
      <c r="C95" s="34"/>
      <c r="D95" s="34"/>
      <c r="E95" s="34"/>
      <c r="F95" s="34"/>
      <c r="G95" s="39">
        <v>2019</v>
      </c>
      <c r="H95" s="39">
        <v>2019</v>
      </c>
      <c r="I95" s="820" t="s">
        <v>20</v>
      </c>
      <c r="J95" s="16">
        <f>L95</f>
        <v>30833.33</v>
      </c>
      <c r="K95" s="22"/>
      <c r="L95" s="82">
        <f>L96</f>
        <v>30833.33</v>
      </c>
      <c r="M95" s="82">
        <f t="shared" ref="M95:P95" si="122">M96</f>
        <v>20000</v>
      </c>
      <c r="N95" s="82">
        <f t="shared" si="122"/>
        <v>9151.41</v>
      </c>
      <c r="O95" s="82">
        <f t="shared" si="122"/>
        <v>0</v>
      </c>
      <c r="P95" s="82">
        <f t="shared" si="122"/>
        <v>1681.92</v>
      </c>
      <c r="Q95" s="82">
        <f>Q96</f>
        <v>0</v>
      </c>
      <c r="R95" s="82">
        <f>R96</f>
        <v>0</v>
      </c>
      <c r="S95" s="82">
        <f>S96</f>
        <v>0</v>
      </c>
      <c r="T95" s="82">
        <f t="shared" ref="T95:AB95" si="123">T96</f>
        <v>0</v>
      </c>
      <c r="U95" s="82">
        <f t="shared" si="123"/>
        <v>0</v>
      </c>
      <c r="V95" s="82">
        <f t="shared" si="123"/>
        <v>0</v>
      </c>
      <c r="W95" s="82">
        <f t="shared" si="123"/>
        <v>0</v>
      </c>
      <c r="X95" s="82">
        <f t="shared" si="123"/>
        <v>0</v>
      </c>
      <c r="Y95" s="82">
        <f t="shared" si="123"/>
        <v>0</v>
      </c>
      <c r="Z95" s="82">
        <f t="shared" si="123"/>
        <v>0</v>
      </c>
      <c r="AA95" s="82">
        <f t="shared" si="123"/>
        <v>0</v>
      </c>
      <c r="AB95" s="82">
        <f t="shared" si="123"/>
        <v>0</v>
      </c>
      <c r="AC95" s="82">
        <f>AC96</f>
        <v>0</v>
      </c>
      <c r="AD95" s="82">
        <f t="shared" ref="AD95:AI95" si="124">AD96</f>
        <v>0</v>
      </c>
      <c r="AE95" s="82">
        <f t="shared" si="124"/>
        <v>0</v>
      </c>
      <c r="AF95" s="82">
        <f t="shared" si="124"/>
        <v>0</v>
      </c>
      <c r="AG95" s="82">
        <f t="shared" si="124"/>
        <v>0</v>
      </c>
      <c r="AH95" s="82">
        <f t="shared" si="124"/>
        <v>0</v>
      </c>
      <c r="AI95" s="82">
        <f t="shared" si="124"/>
        <v>0</v>
      </c>
      <c r="AJ95" s="82">
        <v>0</v>
      </c>
      <c r="AK95" s="82">
        <f>AJ95</f>
        <v>0</v>
      </c>
      <c r="AL95" s="79">
        <f>ROUND((Q95*100%/P95*100),2)</f>
        <v>0</v>
      </c>
      <c r="AM95" s="82">
        <v>0</v>
      </c>
      <c r="AN95" s="82">
        <v>0</v>
      </c>
      <c r="AO95" s="411" t="s">
        <v>282</v>
      </c>
    </row>
    <row r="96" spans="1:41" s="292" customFormat="1" ht="14.25" customHeight="1">
      <c r="A96" s="814"/>
      <c r="B96" s="1" t="s">
        <v>206</v>
      </c>
      <c r="C96" s="286"/>
      <c r="D96" s="286"/>
      <c r="E96" s="286"/>
      <c r="F96" s="286"/>
      <c r="G96" s="289"/>
      <c r="H96" s="289"/>
      <c r="I96" s="877"/>
      <c r="J96" s="47"/>
      <c r="K96" s="47"/>
      <c r="L96" s="47">
        <v>30833.33</v>
      </c>
      <c r="M96" s="47">
        <v>20000</v>
      </c>
      <c r="N96" s="47">
        <v>9151.41</v>
      </c>
      <c r="O96" s="47">
        <v>0</v>
      </c>
      <c r="P96" s="47">
        <v>1681.92</v>
      </c>
      <c r="Q96" s="47">
        <f>SUM(Q97:Q98)</f>
        <v>0</v>
      </c>
      <c r="R96" s="47">
        <f>SUM(R97:R98)</f>
        <v>0</v>
      </c>
      <c r="S96" s="47">
        <f>SUM(S97:S98)</f>
        <v>0</v>
      </c>
      <c r="T96" s="47">
        <f t="shared" ref="T96:AB96" si="125">SUM(T97:T98)</f>
        <v>0</v>
      </c>
      <c r="U96" s="47">
        <f t="shared" si="125"/>
        <v>0</v>
      </c>
      <c r="V96" s="47">
        <f t="shared" si="125"/>
        <v>0</v>
      </c>
      <c r="W96" s="47">
        <f t="shared" si="125"/>
        <v>0</v>
      </c>
      <c r="X96" s="47">
        <f t="shared" si="125"/>
        <v>0</v>
      </c>
      <c r="Y96" s="47">
        <f t="shared" si="125"/>
        <v>0</v>
      </c>
      <c r="Z96" s="47">
        <f t="shared" si="125"/>
        <v>0</v>
      </c>
      <c r="AA96" s="47">
        <f t="shared" si="125"/>
        <v>0</v>
      </c>
      <c r="AB96" s="47">
        <f t="shared" si="125"/>
        <v>0</v>
      </c>
      <c r="AC96" s="47">
        <f>SUM(AC97:AC98)</f>
        <v>0</v>
      </c>
      <c r="AD96" s="47">
        <f t="shared" ref="AD96:AH96" si="126">SUM(AD97:AD98)</f>
        <v>0</v>
      </c>
      <c r="AE96" s="47">
        <f t="shared" si="126"/>
        <v>0</v>
      </c>
      <c r="AF96" s="47">
        <f t="shared" si="126"/>
        <v>0</v>
      </c>
      <c r="AG96" s="47">
        <f t="shared" si="126"/>
        <v>0</v>
      </c>
      <c r="AH96" s="47">
        <f t="shared" si="126"/>
        <v>0</v>
      </c>
      <c r="AI96" s="47">
        <f t="shared" ref="AI96" si="127">SUM(AI97:AI98)</f>
        <v>0</v>
      </c>
      <c r="AJ96" s="47">
        <v>0</v>
      </c>
      <c r="AK96" s="47">
        <v>0</v>
      </c>
      <c r="AL96" s="4">
        <v>0</v>
      </c>
      <c r="AM96" s="47">
        <v>0</v>
      </c>
      <c r="AN96" s="47">
        <v>0</v>
      </c>
      <c r="AO96" s="403"/>
    </row>
    <row r="97" spans="1:41" s="273" customFormat="1" ht="15.75" hidden="1">
      <c r="A97" s="440"/>
      <c r="B97" s="105"/>
      <c r="C97" s="267"/>
      <c r="D97" s="267"/>
      <c r="E97" s="267"/>
      <c r="F97" s="267"/>
      <c r="G97" s="107"/>
      <c r="H97" s="107"/>
      <c r="I97" s="443"/>
      <c r="J97" s="99"/>
      <c r="K97" s="99"/>
      <c r="L97" s="99"/>
      <c r="M97" s="99"/>
      <c r="N97" s="99"/>
      <c r="O97" s="99"/>
      <c r="P97" s="47">
        <f>Q97</f>
        <v>0</v>
      </c>
      <c r="Q97" s="99">
        <f>S97+U97+W97+Y97</f>
        <v>0</v>
      </c>
      <c r="R97" s="99">
        <f>S97</f>
        <v>0</v>
      </c>
      <c r="S97" s="99">
        <v>0</v>
      </c>
      <c r="T97" s="99">
        <v>0</v>
      </c>
      <c r="U97" s="99">
        <v>0</v>
      </c>
      <c r="V97" s="99">
        <f>W97</f>
        <v>0</v>
      </c>
      <c r="W97" s="99">
        <v>0</v>
      </c>
      <c r="X97" s="99">
        <f>Y97</f>
        <v>0</v>
      </c>
      <c r="Y97" s="99">
        <v>0</v>
      </c>
      <c r="Z97" s="99">
        <f>AA97+AC97</f>
        <v>0</v>
      </c>
      <c r="AA97" s="99">
        <v>0</v>
      </c>
      <c r="AB97" s="99">
        <v>0</v>
      </c>
      <c r="AC97" s="99">
        <v>0</v>
      </c>
      <c r="AD97" s="99">
        <v>0</v>
      </c>
      <c r="AE97" s="99">
        <f>AF97+AG97+AH97</f>
        <v>0</v>
      </c>
      <c r="AF97" s="99"/>
      <c r="AG97" s="99"/>
      <c r="AH97" s="99">
        <v>0</v>
      </c>
      <c r="AI97" s="99"/>
      <c r="AJ97" s="99"/>
      <c r="AK97" s="99"/>
      <c r="AL97" s="275"/>
      <c r="AM97" s="99"/>
      <c r="AN97" s="99"/>
      <c r="AO97" s="412"/>
    </row>
    <row r="98" spans="1:41" s="292" customFormat="1" ht="14.25" hidden="1" customHeight="1">
      <c r="A98" s="440"/>
      <c r="B98" s="1"/>
      <c r="C98" s="441"/>
      <c r="D98" s="441"/>
      <c r="E98" s="441"/>
      <c r="F98" s="441"/>
      <c r="G98" s="442"/>
      <c r="H98" s="442"/>
      <c r="I98" s="443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"/>
      <c r="AM98" s="47"/>
      <c r="AN98" s="47"/>
      <c r="AO98" s="403"/>
    </row>
    <row r="99" spans="1:41" ht="69.75" customHeight="1">
      <c r="A99" s="44" t="s">
        <v>58</v>
      </c>
      <c r="B99" s="80" t="s">
        <v>87</v>
      </c>
      <c r="C99" s="815"/>
      <c r="D99" s="815"/>
      <c r="E99" s="815"/>
      <c r="F99" s="815"/>
      <c r="G99" s="39"/>
      <c r="H99" s="39"/>
      <c r="I99" s="820" t="s">
        <v>20</v>
      </c>
      <c r="J99" s="16">
        <f t="shared" ref="J99:J104" si="128">L99</f>
        <v>22483.279999999999</v>
      </c>
      <c r="K99" s="22"/>
      <c r="L99" s="82">
        <f>L100+L104</f>
        <v>22483.279999999999</v>
      </c>
      <c r="M99" s="82">
        <f t="shared" ref="M99:P99" si="129">M100+M104</f>
        <v>616.66</v>
      </c>
      <c r="N99" s="82">
        <f t="shared" si="129"/>
        <v>6665.55</v>
      </c>
      <c r="O99" s="82">
        <f t="shared" si="129"/>
        <v>4018.39</v>
      </c>
      <c r="P99" s="82">
        <f t="shared" si="129"/>
        <v>888.69</v>
      </c>
      <c r="Q99" s="82">
        <f>Q100+Q104</f>
        <v>1476.38</v>
      </c>
      <c r="R99" s="82">
        <f t="shared" ref="R99:AN99" si="130">R100+R104</f>
        <v>500</v>
      </c>
      <c r="S99" s="82">
        <f t="shared" si="130"/>
        <v>500</v>
      </c>
      <c r="T99" s="82">
        <f t="shared" si="130"/>
        <v>594.46</v>
      </c>
      <c r="U99" s="82">
        <f t="shared" si="130"/>
        <v>594.46</v>
      </c>
      <c r="V99" s="82">
        <f t="shared" si="130"/>
        <v>381.92</v>
      </c>
      <c r="W99" s="82">
        <f t="shared" si="130"/>
        <v>381.92</v>
      </c>
      <c r="X99" s="82">
        <f t="shared" si="130"/>
        <v>0</v>
      </c>
      <c r="Y99" s="82">
        <f t="shared" si="130"/>
        <v>0</v>
      </c>
      <c r="Z99" s="82">
        <f t="shared" si="130"/>
        <v>1458.5</v>
      </c>
      <c r="AA99" s="82">
        <f t="shared" si="130"/>
        <v>0</v>
      </c>
      <c r="AB99" s="82">
        <f t="shared" si="130"/>
        <v>1088.5</v>
      </c>
      <c r="AC99" s="82">
        <f t="shared" si="130"/>
        <v>370</v>
      </c>
      <c r="AD99" s="82">
        <f t="shared" si="130"/>
        <v>0</v>
      </c>
      <c r="AE99" s="82">
        <f t="shared" si="130"/>
        <v>0</v>
      </c>
      <c r="AF99" s="82">
        <f t="shared" ref="AF99:AG99" si="131">AF100+AF104</f>
        <v>0</v>
      </c>
      <c r="AG99" s="82">
        <f t="shared" si="131"/>
        <v>0</v>
      </c>
      <c r="AH99" s="82">
        <f t="shared" ref="AH99:AI99" si="132">AH100+AH104</f>
        <v>0</v>
      </c>
      <c r="AI99" s="82">
        <f t="shared" si="132"/>
        <v>0</v>
      </c>
      <c r="AJ99" s="82">
        <f>P99-Q99</f>
        <v>-587.69000000000005</v>
      </c>
      <c r="AK99" s="82">
        <f>AJ99</f>
        <v>-587.69000000000005</v>
      </c>
      <c r="AL99" s="79">
        <f>ROUND((Q99*100%/P99*100),2)</f>
        <v>166.13</v>
      </c>
      <c r="AM99" s="82">
        <f t="shared" si="130"/>
        <v>0</v>
      </c>
      <c r="AN99" s="82">
        <f t="shared" si="130"/>
        <v>0</v>
      </c>
      <c r="AO99" s="411" t="s">
        <v>248</v>
      </c>
    </row>
    <row r="100" spans="1:41" ht="19.5" customHeight="1">
      <c r="A100" s="44"/>
      <c r="B100" s="1" t="s">
        <v>15</v>
      </c>
      <c r="C100" s="816"/>
      <c r="D100" s="816"/>
      <c r="E100" s="816"/>
      <c r="F100" s="816"/>
      <c r="G100" s="39">
        <v>2020</v>
      </c>
      <c r="H100" s="39">
        <v>2020</v>
      </c>
      <c r="I100" s="822"/>
      <c r="J100" s="16">
        <f t="shared" si="128"/>
        <v>8961.92</v>
      </c>
      <c r="K100" s="22"/>
      <c r="L100" s="16">
        <v>8961.92</v>
      </c>
      <c r="M100" s="47">
        <v>616.66</v>
      </c>
      <c r="N100" s="47">
        <v>6665.55</v>
      </c>
      <c r="O100" s="47">
        <v>0</v>
      </c>
      <c r="P100" s="47">
        <v>888.69</v>
      </c>
      <c r="Q100" s="47">
        <f>Q101+Q102</f>
        <v>1476.38</v>
      </c>
      <c r="R100" s="47">
        <f t="shared" ref="R100:AB100" si="133">R101+R102</f>
        <v>500</v>
      </c>
      <c r="S100" s="47">
        <f t="shared" si="133"/>
        <v>500</v>
      </c>
      <c r="T100" s="47">
        <f t="shared" si="133"/>
        <v>594.46</v>
      </c>
      <c r="U100" s="47">
        <f t="shared" si="133"/>
        <v>594.46</v>
      </c>
      <c r="V100" s="47">
        <f t="shared" si="133"/>
        <v>381.92</v>
      </c>
      <c r="W100" s="47">
        <f t="shared" si="133"/>
        <v>381.92</v>
      </c>
      <c r="X100" s="47">
        <f t="shared" si="133"/>
        <v>0</v>
      </c>
      <c r="Y100" s="47">
        <f t="shared" si="133"/>
        <v>0</v>
      </c>
      <c r="Z100" s="47">
        <f>Z101+Z102+Z103</f>
        <v>1458.5</v>
      </c>
      <c r="AA100" s="47">
        <f t="shared" si="133"/>
        <v>0</v>
      </c>
      <c r="AB100" s="47">
        <f t="shared" si="133"/>
        <v>1088.5</v>
      </c>
      <c r="AC100" s="47">
        <f t="shared" ref="AC100:AG100" si="134">AC101</f>
        <v>370</v>
      </c>
      <c r="AD100" s="47">
        <f t="shared" si="134"/>
        <v>0</v>
      </c>
      <c r="AE100" s="47">
        <f t="shared" si="134"/>
        <v>0</v>
      </c>
      <c r="AF100" s="47">
        <f t="shared" si="134"/>
        <v>0</v>
      </c>
      <c r="AG100" s="47">
        <f t="shared" si="134"/>
        <v>0</v>
      </c>
      <c r="AH100" s="47">
        <f t="shared" ref="AH100:AI100" si="135">AH103</f>
        <v>0</v>
      </c>
      <c r="AI100" s="47">
        <f t="shared" si="135"/>
        <v>0</v>
      </c>
      <c r="AJ100" s="47">
        <v>0</v>
      </c>
      <c r="AK100" s="47">
        <v>0</v>
      </c>
      <c r="AL100" s="47">
        <v>0</v>
      </c>
      <c r="AM100" s="47">
        <v>0</v>
      </c>
      <c r="AN100" s="47">
        <v>0</v>
      </c>
      <c r="AO100" s="403"/>
    </row>
    <row r="101" spans="1:41" s="100" customFormat="1" ht="19.5" hidden="1" customHeight="1">
      <c r="A101" s="256"/>
      <c r="B101" s="105" t="s">
        <v>342</v>
      </c>
      <c r="C101" s="816"/>
      <c r="D101" s="816"/>
      <c r="E101" s="816"/>
      <c r="F101" s="816"/>
      <c r="G101" s="107"/>
      <c r="H101" s="107"/>
      <c r="I101" s="822"/>
      <c r="J101" s="110"/>
      <c r="K101" s="178"/>
      <c r="L101" s="110"/>
      <c r="M101" s="99"/>
      <c r="N101" s="99"/>
      <c r="O101" s="99"/>
      <c r="P101" s="99"/>
      <c r="Q101" s="99">
        <f>S101+U101+W101</f>
        <v>1458.5</v>
      </c>
      <c r="R101" s="99">
        <f>S101</f>
        <v>500</v>
      </c>
      <c r="S101" s="99">
        <v>500</v>
      </c>
      <c r="T101" s="99">
        <f>U101</f>
        <v>588.5</v>
      </c>
      <c r="U101" s="99">
        <v>588.5</v>
      </c>
      <c r="V101" s="99">
        <v>370</v>
      </c>
      <c r="W101" s="99">
        <v>370</v>
      </c>
      <c r="X101" s="99"/>
      <c r="Y101" s="99"/>
      <c r="Z101" s="99">
        <f>1088.5+AC101</f>
        <v>1458.5</v>
      </c>
      <c r="AA101" s="99">
        <v>0</v>
      </c>
      <c r="AB101" s="99">
        <v>1088.5</v>
      </c>
      <c r="AC101" s="99">
        <v>370</v>
      </c>
      <c r="AD101" s="99"/>
      <c r="AE101" s="99">
        <v>0</v>
      </c>
      <c r="AF101" s="99">
        <v>0</v>
      </c>
      <c r="AG101" s="99"/>
      <c r="AH101" s="99"/>
      <c r="AI101" s="99"/>
      <c r="AJ101" s="99">
        <v>0</v>
      </c>
      <c r="AK101" s="99"/>
      <c r="AL101" s="99"/>
      <c r="AM101" s="99"/>
      <c r="AN101" s="99"/>
      <c r="AO101" s="412"/>
    </row>
    <row r="102" spans="1:41" s="100" customFormat="1" ht="19.5" hidden="1" customHeight="1">
      <c r="A102" s="256"/>
      <c r="B102" s="105" t="s">
        <v>358</v>
      </c>
      <c r="C102" s="816"/>
      <c r="D102" s="816"/>
      <c r="E102" s="816"/>
      <c r="F102" s="816"/>
      <c r="G102" s="107"/>
      <c r="H102" s="107"/>
      <c r="I102" s="822"/>
      <c r="J102" s="110"/>
      <c r="K102" s="178"/>
      <c r="L102" s="110"/>
      <c r="M102" s="99"/>
      <c r="N102" s="99"/>
      <c r="O102" s="99"/>
      <c r="P102" s="99"/>
      <c r="Q102" s="99">
        <f>U102+W102</f>
        <v>17.88</v>
      </c>
      <c r="R102" s="99"/>
      <c r="S102" s="99"/>
      <c r="T102" s="99">
        <f>U102</f>
        <v>5.96</v>
      </c>
      <c r="U102" s="99">
        <v>5.96</v>
      </c>
      <c r="V102" s="99">
        <f>W102</f>
        <v>11.92</v>
      </c>
      <c r="W102" s="99">
        <v>11.92</v>
      </c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412"/>
    </row>
    <row r="103" spans="1:41" s="100" customFormat="1" ht="16.5" hidden="1" customHeight="1">
      <c r="A103" s="256"/>
      <c r="B103" s="105" t="s">
        <v>263</v>
      </c>
      <c r="C103" s="816"/>
      <c r="D103" s="816"/>
      <c r="E103" s="816"/>
      <c r="F103" s="816"/>
      <c r="G103" s="107"/>
      <c r="H103" s="107"/>
      <c r="I103" s="822"/>
      <c r="J103" s="110"/>
      <c r="K103" s="178"/>
      <c r="L103" s="110"/>
      <c r="M103" s="99"/>
      <c r="N103" s="98"/>
      <c r="O103" s="98"/>
      <c r="P103" s="47">
        <v>0</v>
      </c>
      <c r="Q103" s="99">
        <f>S103+U103+Y103</f>
        <v>0</v>
      </c>
      <c r="R103" s="99">
        <f>S103</f>
        <v>0</v>
      </c>
      <c r="S103" s="99"/>
      <c r="T103" s="99"/>
      <c r="U103" s="99"/>
      <c r="V103" s="99"/>
      <c r="W103" s="99"/>
      <c r="X103" s="99"/>
      <c r="Y103" s="99">
        <v>0</v>
      </c>
      <c r="Z103" s="99">
        <f>AA103</f>
        <v>0</v>
      </c>
      <c r="AA103" s="99"/>
      <c r="AB103" s="99">
        <v>0</v>
      </c>
      <c r="AC103" s="99"/>
      <c r="AD103" s="99"/>
      <c r="AE103" s="99">
        <f>SUM(AF103:AF103)</f>
        <v>0</v>
      </c>
      <c r="AF103" s="99"/>
      <c r="AG103" s="99"/>
      <c r="AH103" s="99"/>
      <c r="AI103" s="99"/>
      <c r="AJ103" s="99">
        <v>0</v>
      </c>
      <c r="AK103" s="99">
        <v>0</v>
      </c>
      <c r="AL103" s="99">
        <v>0</v>
      </c>
      <c r="AM103" s="99">
        <v>0</v>
      </c>
      <c r="AN103" s="99">
        <v>0</v>
      </c>
      <c r="AO103" s="412"/>
    </row>
    <row r="104" spans="1:41" ht="18.75" customHeight="1">
      <c r="A104" s="44"/>
      <c r="B104" s="1" t="s">
        <v>16</v>
      </c>
      <c r="C104" s="900"/>
      <c r="D104" s="900"/>
      <c r="E104" s="900"/>
      <c r="F104" s="900"/>
      <c r="G104" s="39">
        <v>2020</v>
      </c>
      <c r="H104" s="39">
        <v>2020</v>
      </c>
      <c r="I104" s="821"/>
      <c r="J104" s="16">
        <f t="shared" si="128"/>
        <v>13521.36</v>
      </c>
      <c r="K104" s="22"/>
      <c r="L104" s="16">
        <v>13521.36</v>
      </c>
      <c r="M104" s="47">
        <v>0</v>
      </c>
      <c r="N104" s="47">
        <v>0</v>
      </c>
      <c r="O104" s="3">
        <v>4018.39</v>
      </c>
      <c r="P104" s="47">
        <f>N104*1.2</f>
        <v>0</v>
      </c>
      <c r="Q104" s="47">
        <v>0</v>
      </c>
      <c r="R104" s="47">
        <v>0</v>
      </c>
      <c r="S104" s="47">
        <v>0</v>
      </c>
      <c r="T104" s="47">
        <v>0</v>
      </c>
      <c r="U104" s="47">
        <v>0</v>
      </c>
      <c r="V104" s="47">
        <v>0</v>
      </c>
      <c r="W104" s="47">
        <v>0</v>
      </c>
      <c r="X104" s="47">
        <v>0</v>
      </c>
      <c r="Y104" s="47">
        <v>0</v>
      </c>
      <c r="Z104" s="47">
        <v>0</v>
      </c>
      <c r="AA104" s="47">
        <v>0</v>
      </c>
      <c r="AB104" s="47">
        <v>0</v>
      </c>
      <c r="AC104" s="47">
        <v>0</v>
      </c>
      <c r="AD104" s="47">
        <v>0</v>
      </c>
      <c r="AE104" s="47">
        <v>0</v>
      </c>
      <c r="AF104" s="47">
        <v>0</v>
      </c>
      <c r="AG104" s="47">
        <v>0</v>
      </c>
      <c r="AH104" s="47">
        <v>0</v>
      </c>
      <c r="AI104" s="47">
        <v>0</v>
      </c>
      <c r="AJ104" s="47">
        <v>0</v>
      </c>
      <c r="AK104" s="47">
        <v>0</v>
      </c>
      <c r="AL104" s="47">
        <v>0</v>
      </c>
      <c r="AM104" s="47">
        <v>0</v>
      </c>
      <c r="AN104" s="47">
        <v>0</v>
      </c>
      <c r="AO104" s="403"/>
    </row>
    <row r="105" spans="1:41" ht="60.75" hidden="1" customHeight="1">
      <c r="A105" s="44" t="s">
        <v>59</v>
      </c>
      <c r="B105" s="353" t="s">
        <v>55</v>
      </c>
      <c r="C105" s="34"/>
      <c r="D105" s="34"/>
      <c r="E105" s="34"/>
      <c r="F105" s="34"/>
      <c r="G105" s="39">
        <v>2021</v>
      </c>
      <c r="H105" s="39"/>
      <c r="I105" s="41" t="s">
        <v>20</v>
      </c>
      <c r="J105" s="45">
        <v>313558.92</v>
      </c>
      <c r="K105" s="22"/>
      <c r="L105" s="357">
        <f t="shared" si="121"/>
        <v>0</v>
      </c>
      <c r="M105" s="357">
        <v>0</v>
      </c>
      <c r="N105" s="357">
        <v>0</v>
      </c>
      <c r="O105" s="357">
        <v>0</v>
      </c>
      <c r="P105" s="357">
        <v>0</v>
      </c>
      <c r="Q105" s="357">
        <v>0</v>
      </c>
      <c r="R105" s="357">
        <v>0</v>
      </c>
      <c r="S105" s="357">
        <v>0</v>
      </c>
      <c r="T105" s="357">
        <v>0</v>
      </c>
      <c r="U105" s="357">
        <v>0</v>
      </c>
      <c r="V105" s="357">
        <v>0</v>
      </c>
      <c r="W105" s="357">
        <v>0</v>
      </c>
      <c r="X105" s="357">
        <v>0</v>
      </c>
      <c r="Y105" s="357">
        <v>0</v>
      </c>
      <c r="Z105" s="357">
        <v>0</v>
      </c>
      <c r="AA105" s="357">
        <v>0</v>
      </c>
      <c r="AB105" s="357"/>
      <c r="AC105" s="357"/>
      <c r="AD105" s="357"/>
      <c r="AE105" s="357">
        <v>0</v>
      </c>
      <c r="AF105" s="357"/>
      <c r="AG105" s="357"/>
      <c r="AH105" s="357"/>
      <c r="AI105" s="357"/>
      <c r="AJ105" s="357">
        <f>P105-Q105</f>
        <v>0</v>
      </c>
      <c r="AK105" s="357">
        <f>AJ105</f>
        <v>0</v>
      </c>
      <c r="AL105" s="364">
        <v>0</v>
      </c>
      <c r="AM105" s="357">
        <v>0</v>
      </c>
      <c r="AN105" s="357">
        <v>0</v>
      </c>
      <c r="AO105" s="413" t="s">
        <v>163</v>
      </c>
    </row>
    <row r="106" spans="1:41" s="292" customFormat="1" ht="103.5" customHeight="1">
      <c r="A106" s="481" t="s">
        <v>287</v>
      </c>
      <c r="B106" s="83" t="s">
        <v>207</v>
      </c>
      <c r="C106" s="322"/>
      <c r="D106" s="322"/>
      <c r="E106" s="322"/>
      <c r="F106" s="322"/>
      <c r="G106" s="323"/>
      <c r="H106" s="324"/>
      <c r="I106" s="820" t="s">
        <v>20</v>
      </c>
      <c r="J106" s="291"/>
      <c r="K106" s="175"/>
      <c r="L106" s="82">
        <f>L107</f>
        <v>4115.83</v>
      </c>
      <c r="M106" s="82">
        <f t="shared" ref="M106:P106" si="136">M107</f>
        <v>0</v>
      </c>
      <c r="N106" s="82">
        <f t="shared" si="136"/>
        <v>3995.07</v>
      </c>
      <c r="O106" s="82">
        <f t="shared" si="136"/>
        <v>0</v>
      </c>
      <c r="P106" s="82">
        <f t="shared" si="136"/>
        <v>120.76</v>
      </c>
      <c r="Q106" s="82">
        <f t="shared" ref="Q106:AN107" si="137">Q107</f>
        <v>645.42499999999995</v>
      </c>
      <c r="R106" s="82">
        <f t="shared" si="137"/>
        <v>0</v>
      </c>
      <c r="S106" s="82">
        <f t="shared" si="137"/>
        <v>0</v>
      </c>
      <c r="T106" s="82">
        <f t="shared" si="137"/>
        <v>645.42499999999995</v>
      </c>
      <c r="U106" s="82">
        <f t="shared" si="137"/>
        <v>645.42499999999995</v>
      </c>
      <c r="V106" s="82">
        <f t="shared" si="137"/>
        <v>0</v>
      </c>
      <c r="W106" s="82">
        <f t="shared" si="137"/>
        <v>0</v>
      </c>
      <c r="X106" s="82">
        <f t="shared" si="137"/>
        <v>0</v>
      </c>
      <c r="Y106" s="82">
        <f t="shared" si="137"/>
        <v>0</v>
      </c>
      <c r="Z106" s="82">
        <f t="shared" si="137"/>
        <v>645.42499999999995</v>
      </c>
      <c r="AA106" s="82">
        <f t="shared" si="137"/>
        <v>0</v>
      </c>
      <c r="AB106" s="82">
        <f t="shared" si="137"/>
        <v>0</v>
      </c>
      <c r="AC106" s="82">
        <f t="shared" si="137"/>
        <v>645.42499999999995</v>
      </c>
      <c r="AD106" s="82">
        <f t="shared" si="137"/>
        <v>0</v>
      </c>
      <c r="AE106" s="82">
        <f t="shared" si="137"/>
        <v>0</v>
      </c>
      <c r="AF106" s="82">
        <f t="shared" si="137"/>
        <v>0</v>
      </c>
      <c r="AG106" s="82">
        <f t="shared" si="137"/>
        <v>0</v>
      </c>
      <c r="AH106" s="82">
        <f t="shared" si="137"/>
        <v>0</v>
      </c>
      <c r="AI106" s="82">
        <f t="shared" si="137"/>
        <v>0</v>
      </c>
      <c r="AJ106" s="82">
        <f t="shared" si="137"/>
        <v>0</v>
      </c>
      <c r="AK106" s="82">
        <f t="shared" si="137"/>
        <v>0</v>
      </c>
      <c r="AL106" s="82">
        <f t="shared" si="137"/>
        <v>0</v>
      </c>
      <c r="AM106" s="82">
        <f t="shared" si="137"/>
        <v>0</v>
      </c>
      <c r="AN106" s="82">
        <f t="shared" si="137"/>
        <v>0</v>
      </c>
      <c r="AO106" s="411" t="s">
        <v>249</v>
      </c>
    </row>
    <row r="107" spans="1:41" s="292" customFormat="1" ht="17.25" customHeight="1">
      <c r="A107" s="330"/>
      <c r="B107" s="42" t="s">
        <v>208</v>
      </c>
      <c r="C107" s="320"/>
      <c r="D107" s="320"/>
      <c r="E107" s="320"/>
      <c r="F107" s="320"/>
      <c r="G107" s="320"/>
      <c r="H107" s="321"/>
      <c r="I107" s="877"/>
      <c r="J107" s="75"/>
      <c r="K107" s="47"/>
      <c r="L107" s="47">
        <v>4115.83</v>
      </c>
      <c r="M107" s="47">
        <v>0</v>
      </c>
      <c r="N107" s="47">
        <v>3995.07</v>
      </c>
      <c r="O107" s="47">
        <v>0</v>
      </c>
      <c r="P107" s="47">
        <v>120.76</v>
      </c>
      <c r="Q107" s="47">
        <f t="shared" si="137"/>
        <v>645.42499999999995</v>
      </c>
      <c r="R107" s="47">
        <f t="shared" si="137"/>
        <v>0</v>
      </c>
      <c r="S107" s="47">
        <f t="shared" si="137"/>
        <v>0</v>
      </c>
      <c r="T107" s="47">
        <f>T108</f>
        <v>645.42499999999995</v>
      </c>
      <c r="U107" s="47">
        <f>U108</f>
        <v>645.42499999999995</v>
      </c>
      <c r="V107" s="47">
        <v>0</v>
      </c>
      <c r="W107" s="47">
        <v>0</v>
      </c>
      <c r="X107" s="47">
        <v>0</v>
      </c>
      <c r="Y107" s="47">
        <v>0</v>
      </c>
      <c r="Z107" s="47">
        <f t="shared" si="137"/>
        <v>645.42499999999995</v>
      </c>
      <c r="AA107" s="47">
        <f t="shared" si="137"/>
        <v>0</v>
      </c>
      <c r="AB107" s="47">
        <f t="shared" si="137"/>
        <v>0</v>
      </c>
      <c r="AC107" s="47">
        <f t="shared" si="137"/>
        <v>645.42499999999995</v>
      </c>
      <c r="AD107" s="47">
        <v>0</v>
      </c>
      <c r="AE107" s="47">
        <v>0</v>
      </c>
      <c r="AF107" s="47">
        <v>0</v>
      </c>
      <c r="AG107" s="47">
        <v>0</v>
      </c>
      <c r="AH107" s="47">
        <v>0</v>
      </c>
      <c r="AI107" s="47">
        <v>0</v>
      </c>
      <c r="AJ107" s="47">
        <v>0</v>
      </c>
      <c r="AK107" s="47">
        <v>0</v>
      </c>
      <c r="AL107" s="47">
        <v>0</v>
      </c>
      <c r="AM107" s="47">
        <v>0</v>
      </c>
      <c r="AN107" s="47">
        <v>0</v>
      </c>
      <c r="AO107" s="403"/>
    </row>
    <row r="108" spans="1:41" s="273" customFormat="1" ht="17.25" hidden="1" customHeight="1">
      <c r="A108" s="691"/>
      <c r="B108" s="257" t="s">
        <v>351</v>
      </c>
      <c r="C108" s="371"/>
      <c r="D108" s="371"/>
      <c r="E108" s="371"/>
      <c r="F108" s="371"/>
      <c r="G108" s="371"/>
      <c r="H108" s="372"/>
      <c r="I108" s="373"/>
      <c r="J108" s="263"/>
      <c r="K108" s="99"/>
      <c r="L108" s="99"/>
      <c r="M108" s="99"/>
      <c r="N108" s="99"/>
      <c r="O108" s="99"/>
      <c r="P108" s="99"/>
      <c r="Q108" s="99">
        <f>U108</f>
        <v>645.42499999999995</v>
      </c>
      <c r="R108" s="99"/>
      <c r="S108" s="99"/>
      <c r="T108" s="99">
        <f>U108</f>
        <v>645.42499999999995</v>
      </c>
      <c r="U108" s="99">
        <v>645.42499999999995</v>
      </c>
      <c r="V108" s="99"/>
      <c r="W108" s="99"/>
      <c r="X108" s="99"/>
      <c r="Y108" s="99"/>
      <c r="Z108" s="99">
        <f>AC108</f>
        <v>645.42499999999995</v>
      </c>
      <c r="AA108" s="99"/>
      <c r="AB108" s="99"/>
      <c r="AC108" s="99">
        <v>645.42499999999995</v>
      </c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412"/>
    </row>
    <row r="109" spans="1:41" s="292" customFormat="1" ht="90.75" customHeight="1">
      <c r="A109" s="812" t="s">
        <v>288</v>
      </c>
      <c r="B109" s="83" t="s">
        <v>209</v>
      </c>
      <c r="C109" s="322"/>
      <c r="D109" s="322"/>
      <c r="E109" s="322"/>
      <c r="F109" s="322"/>
      <c r="G109" s="323"/>
      <c r="H109" s="324"/>
      <c r="I109" s="820" t="s">
        <v>20</v>
      </c>
      <c r="J109" s="291"/>
      <c r="K109" s="175"/>
      <c r="L109" s="82">
        <f>L110</f>
        <v>3052.6</v>
      </c>
      <c r="M109" s="82">
        <f t="shared" ref="M109:P109" si="138">M110</f>
        <v>0</v>
      </c>
      <c r="N109" s="82">
        <f t="shared" si="138"/>
        <v>2956.68</v>
      </c>
      <c r="O109" s="82">
        <f t="shared" si="138"/>
        <v>0</v>
      </c>
      <c r="P109" s="82">
        <f t="shared" si="138"/>
        <v>95.92</v>
      </c>
      <c r="Q109" s="82">
        <f t="shared" ref="Q109:AN110" si="139">Q110</f>
        <v>490.976</v>
      </c>
      <c r="R109" s="82">
        <f t="shared" si="139"/>
        <v>0</v>
      </c>
      <c r="S109" s="82">
        <f t="shared" si="139"/>
        <v>0</v>
      </c>
      <c r="T109" s="82">
        <f t="shared" si="139"/>
        <v>490.976</v>
      </c>
      <c r="U109" s="82">
        <f t="shared" si="139"/>
        <v>490.976</v>
      </c>
      <c r="V109" s="82">
        <f t="shared" si="139"/>
        <v>0</v>
      </c>
      <c r="W109" s="82">
        <f t="shared" si="139"/>
        <v>0</v>
      </c>
      <c r="X109" s="82">
        <f t="shared" si="139"/>
        <v>0</v>
      </c>
      <c r="Y109" s="82">
        <f t="shared" si="139"/>
        <v>0</v>
      </c>
      <c r="Z109" s="82">
        <f t="shared" si="139"/>
        <v>490.976</v>
      </c>
      <c r="AA109" s="82">
        <f t="shared" si="139"/>
        <v>0</v>
      </c>
      <c r="AB109" s="82">
        <f t="shared" si="139"/>
        <v>0</v>
      </c>
      <c r="AC109" s="82">
        <f t="shared" si="139"/>
        <v>490.976</v>
      </c>
      <c r="AD109" s="82">
        <f t="shared" si="139"/>
        <v>0</v>
      </c>
      <c r="AE109" s="82">
        <f>AE110</f>
        <v>0</v>
      </c>
      <c r="AF109" s="82">
        <f t="shared" si="139"/>
        <v>0</v>
      </c>
      <c r="AG109" s="82">
        <f t="shared" si="139"/>
        <v>0</v>
      </c>
      <c r="AH109" s="82">
        <f t="shared" si="139"/>
        <v>0</v>
      </c>
      <c r="AI109" s="82">
        <f t="shared" si="139"/>
        <v>0</v>
      </c>
      <c r="AJ109" s="82">
        <f t="shared" si="139"/>
        <v>0</v>
      </c>
      <c r="AK109" s="82">
        <f t="shared" si="139"/>
        <v>0</v>
      </c>
      <c r="AL109" s="82">
        <f t="shared" si="139"/>
        <v>0</v>
      </c>
      <c r="AM109" s="82">
        <f t="shared" si="139"/>
        <v>0</v>
      </c>
      <c r="AN109" s="82">
        <f t="shared" si="139"/>
        <v>0</v>
      </c>
      <c r="AO109" s="411" t="s">
        <v>249</v>
      </c>
    </row>
    <row r="110" spans="1:41" s="292" customFormat="1" ht="17.25" customHeight="1">
      <c r="A110" s="814"/>
      <c r="B110" s="42" t="s">
        <v>208</v>
      </c>
      <c r="C110" s="320"/>
      <c r="D110" s="320"/>
      <c r="E110" s="320"/>
      <c r="F110" s="320"/>
      <c r="G110" s="320"/>
      <c r="H110" s="321"/>
      <c r="I110" s="877"/>
      <c r="J110" s="75"/>
      <c r="K110" s="47"/>
      <c r="L110" s="47">
        <v>3052.6</v>
      </c>
      <c r="M110" s="47">
        <v>0</v>
      </c>
      <c r="N110" s="47">
        <v>2956.68</v>
      </c>
      <c r="O110" s="47">
        <v>0</v>
      </c>
      <c r="P110" s="47">
        <v>95.92</v>
      </c>
      <c r="Q110" s="47">
        <f t="shared" si="139"/>
        <v>490.976</v>
      </c>
      <c r="R110" s="47">
        <f t="shared" si="139"/>
        <v>0</v>
      </c>
      <c r="S110" s="47">
        <f t="shared" si="139"/>
        <v>0</v>
      </c>
      <c r="T110" s="47">
        <f>T111</f>
        <v>490.976</v>
      </c>
      <c r="U110" s="47">
        <f>U111</f>
        <v>490.976</v>
      </c>
      <c r="V110" s="47">
        <v>0</v>
      </c>
      <c r="W110" s="47">
        <v>0</v>
      </c>
      <c r="X110" s="47">
        <v>0</v>
      </c>
      <c r="Y110" s="47">
        <v>0</v>
      </c>
      <c r="Z110" s="47">
        <f t="shared" si="139"/>
        <v>490.976</v>
      </c>
      <c r="AA110" s="47">
        <f t="shared" si="139"/>
        <v>0</v>
      </c>
      <c r="AB110" s="47">
        <f t="shared" si="139"/>
        <v>0</v>
      </c>
      <c r="AC110" s="47">
        <f t="shared" si="139"/>
        <v>490.976</v>
      </c>
      <c r="AD110" s="47">
        <f t="shared" si="139"/>
        <v>0</v>
      </c>
      <c r="AE110" s="47">
        <v>0</v>
      </c>
      <c r="AF110" s="47">
        <v>0</v>
      </c>
      <c r="AG110" s="47">
        <v>0</v>
      </c>
      <c r="AH110" s="47">
        <v>0</v>
      </c>
      <c r="AI110" s="47">
        <v>0</v>
      </c>
      <c r="AJ110" s="47">
        <v>0</v>
      </c>
      <c r="AK110" s="47">
        <v>0</v>
      </c>
      <c r="AL110" s="47">
        <v>0</v>
      </c>
      <c r="AM110" s="47">
        <v>0</v>
      </c>
      <c r="AN110" s="47">
        <v>0</v>
      </c>
      <c r="AO110" s="403"/>
    </row>
    <row r="111" spans="1:41" s="273" customFormat="1" ht="17.25" hidden="1" customHeight="1">
      <c r="A111" s="370"/>
      <c r="B111" s="257" t="s">
        <v>352</v>
      </c>
      <c r="C111" s="371"/>
      <c r="D111" s="371"/>
      <c r="E111" s="371"/>
      <c r="F111" s="371"/>
      <c r="G111" s="371"/>
      <c r="H111" s="372"/>
      <c r="I111" s="373"/>
      <c r="J111" s="263"/>
      <c r="K111" s="99"/>
      <c r="L111" s="99"/>
      <c r="M111" s="99"/>
      <c r="N111" s="99"/>
      <c r="O111" s="99"/>
      <c r="P111" s="99"/>
      <c r="Q111" s="99">
        <f>U111</f>
        <v>490.976</v>
      </c>
      <c r="R111" s="99"/>
      <c r="S111" s="99"/>
      <c r="T111" s="99">
        <f>U111</f>
        <v>490.976</v>
      </c>
      <c r="U111" s="99">
        <v>490.976</v>
      </c>
      <c r="V111" s="99"/>
      <c r="W111" s="99"/>
      <c r="X111" s="99"/>
      <c r="Y111" s="99"/>
      <c r="Z111" s="99">
        <f>AC111</f>
        <v>490.976</v>
      </c>
      <c r="AA111" s="99"/>
      <c r="AB111" s="99"/>
      <c r="AC111" s="99">
        <v>490.976</v>
      </c>
      <c r="AD111" s="99"/>
      <c r="AE111" s="99"/>
      <c r="AF111" s="99"/>
      <c r="AG111" s="99"/>
      <c r="AH111" s="99"/>
      <c r="AI111" s="99"/>
      <c r="AJ111" s="99"/>
      <c r="AK111" s="99"/>
      <c r="AL111" s="275"/>
      <c r="AM111" s="99"/>
      <c r="AN111" s="99"/>
      <c r="AO111" s="412"/>
    </row>
    <row r="112" spans="1:41" s="292" customFormat="1" ht="91.5" customHeight="1">
      <c r="A112" s="812" t="s">
        <v>164</v>
      </c>
      <c r="B112" s="83" t="s">
        <v>166</v>
      </c>
      <c r="C112" s="322"/>
      <c r="D112" s="322"/>
      <c r="E112" s="322"/>
      <c r="F112" s="322"/>
      <c r="G112" s="323"/>
      <c r="H112" s="324"/>
      <c r="I112" s="820" t="s">
        <v>20</v>
      </c>
      <c r="J112" s="291"/>
      <c r="K112" s="175"/>
      <c r="L112" s="82">
        <f>L113</f>
        <v>372.9</v>
      </c>
      <c r="M112" s="82">
        <f>M113</f>
        <v>0</v>
      </c>
      <c r="N112" s="82">
        <f t="shared" ref="N112:AN113" si="140">N113</f>
        <v>372.9</v>
      </c>
      <c r="O112" s="82">
        <f t="shared" si="140"/>
        <v>0</v>
      </c>
      <c r="P112" s="82">
        <f t="shared" si="140"/>
        <v>0</v>
      </c>
      <c r="Q112" s="82">
        <f t="shared" si="140"/>
        <v>0</v>
      </c>
      <c r="R112" s="82">
        <f t="shared" si="140"/>
        <v>0</v>
      </c>
      <c r="S112" s="82">
        <f t="shared" si="140"/>
        <v>0</v>
      </c>
      <c r="T112" s="82">
        <f t="shared" si="140"/>
        <v>0</v>
      </c>
      <c r="U112" s="82">
        <f t="shared" si="140"/>
        <v>0</v>
      </c>
      <c r="V112" s="82">
        <f t="shared" si="140"/>
        <v>0</v>
      </c>
      <c r="W112" s="82">
        <f t="shared" si="140"/>
        <v>0</v>
      </c>
      <c r="X112" s="82">
        <f t="shared" si="140"/>
        <v>0</v>
      </c>
      <c r="Y112" s="82">
        <f t="shared" si="140"/>
        <v>0</v>
      </c>
      <c r="Z112" s="82">
        <f t="shared" si="140"/>
        <v>0</v>
      </c>
      <c r="AA112" s="82">
        <f t="shared" si="140"/>
        <v>0</v>
      </c>
      <c r="AB112" s="82">
        <f t="shared" si="140"/>
        <v>0</v>
      </c>
      <c r="AC112" s="82">
        <f t="shared" si="140"/>
        <v>0</v>
      </c>
      <c r="AD112" s="82">
        <f t="shared" si="140"/>
        <v>0</v>
      </c>
      <c r="AE112" s="82">
        <f t="shared" si="140"/>
        <v>0</v>
      </c>
      <c r="AF112" s="82">
        <f t="shared" si="140"/>
        <v>0</v>
      </c>
      <c r="AG112" s="82">
        <f t="shared" si="140"/>
        <v>0</v>
      </c>
      <c r="AH112" s="82">
        <f t="shared" si="140"/>
        <v>0</v>
      </c>
      <c r="AI112" s="82">
        <f t="shared" si="140"/>
        <v>0</v>
      </c>
      <c r="AJ112" s="82">
        <f>P112-Q112</f>
        <v>0</v>
      </c>
      <c r="AK112" s="82">
        <f t="shared" si="140"/>
        <v>0</v>
      </c>
      <c r="AL112" s="79">
        <v>0</v>
      </c>
      <c r="AM112" s="82">
        <f t="shared" si="140"/>
        <v>0</v>
      </c>
      <c r="AN112" s="82">
        <f t="shared" si="140"/>
        <v>0</v>
      </c>
      <c r="AO112" s="411" t="s">
        <v>283</v>
      </c>
    </row>
    <row r="113" spans="1:41" s="292" customFormat="1" ht="17.25" customHeight="1">
      <c r="A113" s="814"/>
      <c r="B113" s="42" t="s">
        <v>208</v>
      </c>
      <c r="C113" s="320"/>
      <c r="D113" s="320"/>
      <c r="E113" s="320"/>
      <c r="F113" s="320"/>
      <c r="G113" s="320"/>
      <c r="H113" s="321"/>
      <c r="I113" s="877"/>
      <c r="J113" s="75"/>
      <c r="K113" s="47"/>
      <c r="L113" s="47">
        <v>372.9</v>
      </c>
      <c r="M113" s="47">
        <v>0</v>
      </c>
      <c r="N113" s="47">
        <v>372.9</v>
      </c>
      <c r="O113" s="47">
        <v>0</v>
      </c>
      <c r="P113" s="47">
        <v>0</v>
      </c>
      <c r="Q113" s="47">
        <f>Q114</f>
        <v>0</v>
      </c>
      <c r="R113" s="47">
        <f t="shared" si="140"/>
        <v>0</v>
      </c>
      <c r="S113" s="47">
        <f t="shared" si="140"/>
        <v>0</v>
      </c>
      <c r="T113" s="47">
        <f t="shared" si="140"/>
        <v>0</v>
      </c>
      <c r="U113" s="47">
        <f t="shared" si="140"/>
        <v>0</v>
      </c>
      <c r="V113" s="47">
        <f t="shared" si="140"/>
        <v>0</v>
      </c>
      <c r="W113" s="47">
        <f t="shared" si="140"/>
        <v>0</v>
      </c>
      <c r="X113" s="47">
        <f t="shared" si="140"/>
        <v>0</v>
      </c>
      <c r="Y113" s="47">
        <f t="shared" si="140"/>
        <v>0</v>
      </c>
      <c r="Z113" s="47">
        <f t="shared" si="140"/>
        <v>0</v>
      </c>
      <c r="AA113" s="47">
        <f t="shared" si="140"/>
        <v>0</v>
      </c>
      <c r="AB113" s="47">
        <f t="shared" si="140"/>
        <v>0</v>
      </c>
      <c r="AC113" s="47">
        <f t="shared" si="140"/>
        <v>0</v>
      </c>
      <c r="AD113" s="47">
        <f t="shared" si="140"/>
        <v>0</v>
      </c>
      <c r="AE113" s="47">
        <f>AE114</f>
        <v>0</v>
      </c>
      <c r="AF113" s="47">
        <f t="shared" si="140"/>
        <v>0</v>
      </c>
      <c r="AG113" s="47">
        <f t="shared" si="140"/>
        <v>0</v>
      </c>
      <c r="AH113" s="47">
        <f t="shared" si="140"/>
        <v>0</v>
      </c>
      <c r="AI113" s="47">
        <f t="shared" si="140"/>
        <v>0</v>
      </c>
      <c r="AJ113" s="47">
        <v>0</v>
      </c>
      <c r="AK113" s="47">
        <v>0</v>
      </c>
      <c r="AL113" s="47">
        <v>0</v>
      </c>
      <c r="AM113" s="47">
        <v>0</v>
      </c>
      <c r="AN113" s="47">
        <v>0</v>
      </c>
      <c r="AO113" s="403"/>
    </row>
    <row r="114" spans="1:41" s="273" customFormat="1" ht="17.25" hidden="1" customHeight="1">
      <c r="A114" s="370"/>
      <c r="B114" s="257" t="s">
        <v>229</v>
      </c>
      <c r="C114" s="371"/>
      <c r="D114" s="371"/>
      <c r="E114" s="371"/>
      <c r="F114" s="371"/>
      <c r="G114" s="371"/>
      <c r="H114" s="372"/>
      <c r="I114" s="373"/>
      <c r="J114" s="263"/>
      <c r="K114" s="99"/>
      <c r="L114" s="99"/>
      <c r="M114" s="99"/>
      <c r="N114" s="99"/>
      <c r="O114" s="99"/>
      <c r="P114" s="47"/>
      <c r="Q114" s="99">
        <f>Y114</f>
        <v>0</v>
      </c>
      <c r="R114" s="99"/>
      <c r="S114" s="99"/>
      <c r="T114" s="99"/>
      <c r="U114" s="99"/>
      <c r="V114" s="99"/>
      <c r="W114" s="99"/>
      <c r="X114" s="99">
        <v>0</v>
      </c>
      <c r="Y114" s="99">
        <v>0</v>
      </c>
      <c r="Z114" s="99">
        <v>0</v>
      </c>
      <c r="AA114" s="99">
        <v>0</v>
      </c>
      <c r="AB114" s="99"/>
      <c r="AC114" s="99"/>
      <c r="AD114" s="99"/>
      <c r="AE114" s="99">
        <f>SUM(AF114:AF114)</f>
        <v>0</v>
      </c>
      <c r="AF114" s="99"/>
      <c r="AG114" s="99"/>
      <c r="AH114" s="99"/>
      <c r="AI114" s="99"/>
      <c r="AJ114" s="99"/>
      <c r="AK114" s="99"/>
      <c r="AL114" s="99"/>
      <c r="AM114" s="99"/>
      <c r="AN114" s="99"/>
      <c r="AO114" s="412"/>
    </row>
    <row r="115" spans="1:41" s="292" customFormat="1" ht="95.25" customHeight="1">
      <c r="A115" s="812" t="s">
        <v>165</v>
      </c>
      <c r="B115" s="83" t="s">
        <v>168</v>
      </c>
      <c r="C115" s="322"/>
      <c r="D115" s="322"/>
      <c r="E115" s="322"/>
      <c r="F115" s="322"/>
      <c r="G115" s="323"/>
      <c r="H115" s="324"/>
      <c r="I115" s="820" t="s">
        <v>20</v>
      </c>
      <c r="J115" s="291"/>
      <c r="K115" s="175"/>
      <c r="L115" s="82">
        <f>L116+L120</f>
        <v>1937.02</v>
      </c>
      <c r="M115" s="82">
        <f t="shared" ref="M115:P115" si="141">M116+M120</f>
        <v>297.18</v>
      </c>
      <c r="N115" s="82">
        <f t="shared" si="141"/>
        <v>1639.84</v>
      </c>
      <c r="O115" s="82">
        <f t="shared" si="141"/>
        <v>0</v>
      </c>
      <c r="P115" s="82">
        <f t="shared" si="141"/>
        <v>0</v>
      </c>
      <c r="Q115" s="82">
        <f t="shared" ref="Q115:AN115" si="142">Q116+Q120</f>
        <v>0</v>
      </c>
      <c r="R115" s="82">
        <f t="shared" si="142"/>
        <v>0</v>
      </c>
      <c r="S115" s="82">
        <f t="shared" si="142"/>
        <v>0</v>
      </c>
      <c r="T115" s="82">
        <f t="shared" si="142"/>
        <v>0</v>
      </c>
      <c r="U115" s="82">
        <f t="shared" si="142"/>
        <v>0</v>
      </c>
      <c r="V115" s="82">
        <f t="shared" si="142"/>
        <v>0</v>
      </c>
      <c r="W115" s="82">
        <f t="shared" si="142"/>
        <v>0</v>
      </c>
      <c r="X115" s="82">
        <f t="shared" si="142"/>
        <v>0</v>
      </c>
      <c r="Y115" s="82">
        <f t="shared" si="142"/>
        <v>0</v>
      </c>
      <c r="Z115" s="82">
        <f t="shared" si="142"/>
        <v>0</v>
      </c>
      <c r="AA115" s="82">
        <f t="shared" si="142"/>
        <v>0</v>
      </c>
      <c r="AB115" s="82">
        <f t="shared" si="142"/>
        <v>0</v>
      </c>
      <c r="AC115" s="82">
        <f t="shared" si="142"/>
        <v>0</v>
      </c>
      <c r="AD115" s="82">
        <f t="shared" si="142"/>
        <v>0</v>
      </c>
      <c r="AE115" s="82">
        <f t="shared" si="142"/>
        <v>0</v>
      </c>
      <c r="AF115" s="82">
        <f t="shared" si="142"/>
        <v>0</v>
      </c>
      <c r="AG115" s="82">
        <f>AG116+AG120</f>
        <v>0</v>
      </c>
      <c r="AH115" s="82">
        <f t="shared" ref="AH115:AI115" si="143">AH116+AH120</f>
        <v>0</v>
      </c>
      <c r="AI115" s="82">
        <f t="shared" si="143"/>
        <v>0</v>
      </c>
      <c r="AJ115" s="82">
        <f>P115-Q115</f>
        <v>0</v>
      </c>
      <c r="AK115" s="82">
        <f t="shared" si="142"/>
        <v>0</v>
      </c>
      <c r="AL115" s="79">
        <v>0</v>
      </c>
      <c r="AM115" s="82">
        <f t="shared" si="142"/>
        <v>0</v>
      </c>
      <c r="AN115" s="82">
        <f t="shared" si="142"/>
        <v>0</v>
      </c>
      <c r="AO115" s="411" t="s">
        <v>264</v>
      </c>
    </row>
    <row r="116" spans="1:41" s="292" customFormat="1" ht="17.25" customHeight="1">
      <c r="A116" s="813"/>
      <c r="B116" s="42" t="s">
        <v>15</v>
      </c>
      <c r="C116" s="320"/>
      <c r="D116" s="320"/>
      <c r="E116" s="320"/>
      <c r="F116" s="320"/>
      <c r="G116" s="320"/>
      <c r="H116" s="321"/>
      <c r="I116" s="934"/>
      <c r="J116" s="75"/>
      <c r="K116" s="47"/>
      <c r="L116" s="47">
        <v>297.18</v>
      </c>
      <c r="M116" s="47">
        <v>297.18</v>
      </c>
      <c r="N116" s="47">
        <v>0</v>
      </c>
      <c r="O116" s="47">
        <v>0</v>
      </c>
      <c r="P116" s="47">
        <f>N116</f>
        <v>0</v>
      </c>
      <c r="Q116" s="47">
        <f>SUM(Q117:Q119)</f>
        <v>0</v>
      </c>
      <c r="R116" s="47">
        <f t="shared" ref="R116:AF116" si="144">SUM(R117:R119)</f>
        <v>0</v>
      </c>
      <c r="S116" s="47">
        <f>SUM(S117:S119)</f>
        <v>0</v>
      </c>
      <c r="T116" s="47">
        <f t="shared" si="144"/>
        <v>0</v>
      </c>
      <c r="U116" s="47">
        <f t="shared" si="144"/>
        <v>0</v>
      </c>
      <c r="V116" s="47">
        <f t="shared" si="144"/>
        <v>0</v>
      </c>
      <c r="W116" s="47">
        <f t="shared" si="144"/>
        <v>0</v>
      </c>
      <c r="X116" s="47">
        <v>0</v>
      </c>
      <c r="Y116" s="47">
        <f t="shared" si="144"/>
        <v>0</v>
      </c>
      <c r="Z116" s="47">
        <f t="shared" si="144"/>
        <v>0</v>
      </c>
      <c r="AA116" s="47">
        <f t="shared" si="144"/>
        <v>0</v>
      </c>
      <c r="AB116" s="47">
        <f t="shared" si="144"/>
        <v>0</v>
      </c>
      <c r="AC116" s="47">
        <f t="shared" si="144"/>
        <v>0</v>
      </c>
      <c r="AD116" s="47">
        <f t="shared" si="144"/>
        <v>0</v>
      </c>
      <c r="AE116" s="47">
        <f>SUM(AE117:AE119)</f>
        <v>0</v>
      </c>
      <c r="AF116" s="47">
        <f t="shared" si="144"/>
        <v>0</v>
      </c>
      <c r="AG116" s="47">
        <f t="shared" ref="AG116:AH116" si="145">SUM(AG117:AG119)</f>
        <v>0</v>
      </c>
      <c r="AH116" s="47">
        <f t="shared" si="145"/>
        <v>0</v>
      </c>
      <c r="AI116" s="47">
        <f t="shared" ref="AI116" si="146">SUM(AI117:AI119)</f>
        <v>0</v>
      </c>
      <c r="AJ116" s="47">
        <v>0</v>
      </c>
      <c r="AK116" s="47">
        <v>0</v>
      </c>
      <c r="AL116" s="47">
        <v>0</v>
      </c>
      <c r="AM116" s="47">
        <v>0</v>
      </c>
      <c r="AN116" s="47">
        <v>0</v>
      </c>
      <c r="AO116" s="403">
        <v>159.434</v>
      </c>
    </row>
    <row r="117" spans="1:41" s="273" customFormat="1" ht="17.25" hidden="1" customHeight="1">
      <c r="A117" s="813"/>
      <c r="B117" s="257" t="s">
        <v>230</v>
      </c>
      <c r="C117" s="371"/>
      <c r="D117" s="371"/>
      <c r="E117" s="371"/>
      <c r="F117" s="371"/>
      <c r="G117" s="371"/>
      <c r="H117" s="372"/>
      <c r="I117" s="934"/>
      <c r="J117" s="263"/>
      <c r="K117" s="99"/>
      <c r="L117" s="99"/>
      <c r="M117" s="99"/>
      <c r="N117" s="99"/>
      <c r="O117" s="99"/>
      <c r="P117" s="47"/>
      <c r="Q117" s="99">
        <f>Y117</f>
        <v>0</v>
      </c>
      <c r="R117" s="99"/>
      <c r="S117" s="99"/>
      <c r="T117" s="99"/>
      <c r="U117" s="99"/>
      <c r="V117" s="99"/>
      <c r="W117" s="99"/>
      <c r="X117" s="99">
        <v>0</v>
      </c>
      <c r="Y117" s="99">
        <v>0</v>
      </c>
      <c r="Z117" s="99">
        <v>0</v>
      </c>
      <c r="AA117" s="99">
        <v>0</v>
      </c>
      <c r="AB117" s="99"/>
      <c r="AC117" s="99"/>
      <c r="AD117" s="99"/>
      <c r="AE117" s="99">
        <f>SUM(AF117:AF117)</f>
        <v>0</v>
      </c>
      <c r="AF117" s="99"/>
      <c r="AG117" s="99"/>
      <c r="AH117" s="99"/>
      <c r="AI117" s="99"/>
      <c r="AJ117" s="99"/>
      <c r="AK117" s="99"/>
      <c r="AL117" s="99"/>
      <c r="AM117" s="99"/>
      <c r="AN117" s="99"/>
      <c r="AO117" s="412"/>
    </row>
    <row r="118" spans="1:41" s="273" customFormat="1" ht="17.25" hidden="1" customHeight="1">
      <c r="A118" s="813"/>
      <c r="B118" s="257" t="s">
        <v>231</v>
      </c>
      <c r="C118" s="371"/>
      <c r="D118" s="371"/>
      <c r="E118" s="371"/>
      <c r="F118" s="371"/>
      <c r="G118" s="371"/>
      <c r="H118" s="372"/>
      <c r="I118" s="934"/>
      <c r="J118" s="263"/>
      <c r="K118" s="99"/>
      <c r="L118" s="99"/>
      <c r="M118" s="99"/>
      <c r="N118" s="99"/>
      <c r="O118" s="99"/>
      <c r="P118" s="47"/>
      <c r="Q118" s="99">
        <f>S118</f>
        <v>0</v>
      </c>
      <c r="R118" s="99">
        <f>S118</f>
        <v>0</v>
      </c>
      <c r="S118" s="99">
        <v>0</v>
      </c>
      <c r="T118" s="99"/>
      <c r="U118" s="99"/>
      <c r="V118" s="99"/>
      <c r="W118" s="99"/>
      <c r="X118" s="99">
        <v>0</v>
      </c>
      <c r="Y118" s="99">
        <v>0</v>
      </c>
      <c r="Z118" s="99">
        <f>AA118</f>
        <v>0</v>
      </c>
      <c r="AA118" s="99">
        <v>0</v>
      </c>
      <c r="AB118" s="99"/>
      <c r="AC118" s="99"/>
      <c r="AD118" s="99"/>
      <c r="AE118" s="99">
        <f>SUM(AF118:AF118)</f>
        <v>0</v>
      </c>
      <c r="AF118" s="99"/>
      <c r="AG118" s="99"/>
      <c r="AH118" s="99"/>
      <c r="AI118" s="99"/>
      <c r="AJ118" s="99"/>
      <c r="AK118" s="99"/>
      <c r="AL118" s="99"/>
      <c r="AM118" s="99"/>
      <c r="AN118" s="99"/>
      <c r="AO118" s="412"/>
    </row>
    <row r="119" spans="1:41" s="273" customFormat="1" ht="17.25" hidden="1" customHeight="1">
      <c r="A119" s="813"/>
      <c r="B119" s="257" t="s">
        <v>232</v>
      </c>
      <c r="C119" s="371"/>
      <c r="D119" s="371"/>
      <c r="E119" s="371"/>
      <c r="F119" s="371"/>
      <c r="G119" s="371"/>
      <c r="H119" s="372"/>
      <c r="I119" s="934"/>
      <c r="J119" s="263"/>
      <c r="K119" s="99"/>
      <c r="L119" s="99"/>
      <c r="M119" s="99"/>
      <c r="N119" s="99"/>
      <c r="O119" s="99"/>
      <c r="P119" s="47"/>
      <c r="Q119" s="99">
        <f t="shared" ref="Q119" si="147">Y119</f>
        <v>0</v>
      </c>
      <c r="R119" s="99"/>
      <c r="S119" s="99"/>
      <c r="T119" s="99"/>
      <c r="U119" s="99"/>
      <c r="V119" s="99"/>
      <c r="W119" s="99"/>
      <c r="X119" s="99">
        <v>0</v>
      </c>
      <c r="Y119" s="99">
        <v>0</v>
      </c>
      <c r="Z119" s="99">
        <v>0</v>
      </c>
      <c r="AA119" s="99">
        <v>0</v>
      </c>
      <c r="AB119" s="99"/>
      <c r="AC119" s="99"/>
      <c r="AD119" s="99"/>
      <c r="AE119" s="99">
        <f>SUM(AF119:AF119)</f>
        <v>0</v>
      </c>
      <c r="AF119" s="99"/>
      <c r="AG119" s="99"/>
      <c r="AH119" s="99"/>
      <c r="AI119" s="99"/>
      <c r="AJ119" s="99"/>
      <c r="AK119" s="99"/>
      <c r="AL119" s="99"/>
      <c r="AM119" s="99"/>
      <c r="AN119" s="99"/>
      <c r="AO119" s="412"/>
    </row>
    <row r="120" spans="1:41" s="292" customFormat="1" ht="16.5" customHeight="1">
      <c r="A120" s="814"/>
      <c r="B120" s="42" t="s">
        <v>32</v>
      </c>
      <c r="C120" s="320"/>
      <c r="D120" s="320"/>
      <c r="E120" s="320"/>
      <c r="F120" s="320"/>
      <c r="G120" s="320"/>
      <c r="H120" s="321"/>
      <c r="I120" s="877"/>
      <c r="J120" s="75"/>
      <c r="K120" s="47"/>
      <c r="L120" s="47">
        <v>1639.84</v>
      </c>
      <c r="M120" s="47">
        <v>0</v>
      </c>
      <c r="N120" s="47">
        <v>1639.84</v>
      </c>
      <c r="O120" s="47">
        <v>0</v>
      </c>
      <c r="P120" s="47">
        <v>0</v>
      </c>
      <c r="Q120" s="47">
        <v>0</v>
      </c>
      <c r="R120" s="47">
        <v>0</v>
      </c>
      <c r="S120" s="47">
        <v>0</v>
      </c>
      <c r="T120" s="47">
        <v>0</v>
      </c>
      <c r="U120" s="47">
        <v>0</v>
      </c>
      <c r="V120" s="47">
        <v>0</v>
      </c>
      <c r="W120" s="47">
        <v>0</v>
      </c>
      <c r="X120" s="47">
        <v>0</v>
      </c>
      <c r="Y120" s="47">
        <v>0</v>
      </c>
      <c r="Z120" s="47">
        <v>0</v>
      </c>
      <c r="AA120" s="47">
        <v>0</v>
      </c>
      <c r="AB120" s="47">
        <v>0</v>
      </c>
      <c r="AC120" s="47">
        <v>0</v>
      </c>
      <c r="AD120" s="47">
        <v>0</v>
      </c>
      <c r="AE120" s="47">
        <v>0</v>
      </c>
      <c r="AF120" s="47">
        <v>0</v>
      </c>
      <c r="AG120" s="47">
        <v>0</v>
      </c>
      <c r="AH120" s="47">
        <v>0</v>
      </c>
      <c r="AI120" s="47">
        <v>0</v>
      </c>
      <c r="AJ120" s="47">
        <v>0</v>
      </c>
      <c r="AK120" s="47">
        <v>0</v>
      </c>
      <c r="AL120" s="47">
        <v>0</v>
      </c>
      <c r="AM120" s="47">
        <v>0</v>
      </c>
      <c r="AN120" s="47">
        <v>0</v>
      </c>
      <c r="AO120" s="403">
        <v>1639.8466699999999</v>
      </c>
    </row>
    <row r="121" spans="1:41" s="335" customFormat="1" ht="91.5" customHeight="1">
      <c r="A121" s="812" t="s">
        <v>167</v>
      </c>
      <c r="B121" s="83" t="s">
        <v>171</v>
      </c>
      <c r="C121" s="322"/>
      <c r="D121" s="322"/>
      <c r="E121" s="322"/>
      <c r="F121" s="322"/>
      <c r="G121" s="322"/>
      <c r="H121" s="334"/>
      <c r="I121" s="820" t="s">
        <v>20</v>
      </c>
      <c r="J121" s="291"/>
      <c r="K121" s="82"/>
      <c r="L121" s="82">
        <f>L122+L125</f>
        <v>47437.760000000002</v>
      </c>
      <c r="M121" s="82">
        <f t="shared" ref="M121:P121" si="148">M122+M125</f>
        <v>2761.44</v>
      </c>
      <c r="N121" s="82">
        <f t="shared" si="148"/>
        <v>9629.67</v>
      </c>
      <c r="O121" s="82">
        <f t="shared" si="148"/>
        <v>22469.279999999999</v>
      </c>
      <c r="P121" s="82">
        <f t="shared" si="148"/>
        <v>2605.9899999999998</v>
      </c>
      <c r="Q121" s="82">
        <f t="shared" ref="Q121:AN121" si="149">Q122+Q125</f>
        <v>1822.39</v>
      </c>
      <c r="R121" s="82">
        <f t="shared" si="149"/>
        <v>775.23199999999997</v>
      </c>
      <c r="S121" s="82">
        <f t="shared" si="149"/>
        <v>775.23199999999997</v>
      </c>
      <c r="T121" s="82">
        <f t="shared" si="149"/>
        <v>1047.1600000000001</v>
      </c>
      <c r="U121" s="82">
        <f t="shared" si="149"/>
        <v>1047.1600000000001</v>
      </c>
      <c r="V121" s="82">
        <f t="shared" si="149"/>
        <v>0</v>
      </c>
      <c r="W121" s="82">
        <f t="shared" si="149"/>
        <v>0</v>
      </c>
      <c r="X121" s="82">
        <f t="shared" si="149"/>
        <v>0</v>
      </c>
      <c r="Y121" s="82">
        <f t="shared" si="149"/>
        <v>0</v>
      </c>
      <c r="Z121" s="82">
        <f t="shared" si="149"/>
        <v>0</v>
      </c>
      <c r="AA121" s="82">
        <f t="shared" si="149"/>
        <v>0</v>
      </c>
      <c r="AB121" s="82">
        <f t="shared" si="149"/>
        <v>0</v>
      </c>
      <c r="AC121" s="82">
        <f t="shared" ref="AC121:AD121" si="150">AC122+AC125</f>
        <v>0</v>
      </c>
      <c r="AD121" s="82">
        <f t="shared" si="150"/>
        <v>0</v>
      </c>
      <c r="AE121" s="82">
        <f t="shared" si="149"/>
        <v>0</v>
      </c>
      <c r="AF121" s="82">
        <f t="shared" si="149"/>
        <v>0</v>
      </c>
      <c r="AG121" s="82">
        <f t="shared" si="149"/>
        <v>0</v>
      </c>
      <c r="AH121" s="82">
        <f t="shared" ref="AH121:AI121" si="151">AH122+AH125</f>
        <v>0</v>
      </c>
      <c r="AI121" s="82">
        <f t="shared" si="151"/>
        <v>0</v>
      </c>
      <c r="AJ121" s="82">
        <f>P121-Q121</f>
        <v>783.59999999999968</v>
      </c>
      <c r="AK121" s="82">
        <f t="shared" si="149"/>
        <v>0</v>
      </c>
      <c r="AL121" s="79">
        <f>ROUND((Q121*100%/P121*100),2)</f>
        <v>69.930000000000007</v>
      </c>
      <c r="AM121" s="82">
        <f t="shared" si="149"/>
        <v>0</v>
      </c>
      <c r="AN121" s="82">
        <f t="shared" si="149"/>
        <v>0</v>
      </c>
      <c r="AO121" s="411" t="s">
        <v>264</v>
      </c>
    </row>
    <row r="122" spans="1:41" s="292" customFormat="1" ht="16.5" customHeight="1">
      <c r="A122" s="813"/>
      <c r="B122" s="42" t="s">
        <v>15</v>
      </c>
      <c r="C122" s="320"/>
      <c r="D122" s="320"/>
      <c r="E122" s="320"/>
      <c r="F122" s="320"/>
      <c r="G122" s="320"/>
      <c r="H122" s="321"/>
      <c r="I122" s="934"/>
      <c r="J122" s="75"/>
      <c r="K122" s="47"/>
      <c r="L122" s="47">
        <v>2867.43</v>
      </c>
      <c r="M122" s="47">
        <v>2761.44</v>
      </c>
      <c r="N122" s="47">
        <v>105.99</v>
      </c>
      <c r="O122" s="47">
        <v>0</v>
      </c>
      <c r="P122" s="47">
        <v>0</v>
      </c>
      <c r="Q122" s="47">
        <f>Q123</f>
        <v>1822.39</v>
      </c>
      <c r="R122" s="47">
        <f>S122</f>
        <v>775.23199999999997</v>
      </c>
      <c r="S122" s="47">
        <v>775.23199999999997</v>
      </c>
      <c r="T122" s="47">
        <f t="shared" ref="T122:AF122" si="152">SUM(T123:T124)</f>
        <v>1047.1600000000001</v>
      </c>
      <c r="U122" s="47">
        <f t="shared" si="152"/>
        <v>1047.1600000000001</v>
      </c>
      <c r="V122" s="47">
        <f t="shared" si="152"/>
        <v>0</v>
      </c>
      <c r="W122" s="47">
        <f t="shared" si="152"/>
        <v>0</v>
      </c>
      <c r="X122" s="47">
        <v>0</v>
      </c>
      <c r="Y122" s="47">
        <f t="shared" si="152"/>
        <v>0</v>
      </c>
      <c r="Z122" s="47">
        <f t="shared" si="152"/>
        <v>0</v>
      </c>
      <c r="AA122" s="47">
        <f t="shared" si="152"/>
        <v>0</v>
      </c>
      <c r="AB122" s="47">
        <f t="shared" si="152"/>
        <v>0</v>
      </c>
      <c r="AC122" s="47">
        <f t="shared" ref="AC122:AD122" si="153">SUM(AC123:AC124)</f>
        <v>0</v>
      </c>
      <c r="AD122" s="47">
        <f t="shared" si="153"/>
        <v>0</v>
      </c>
      <c r="AE122" s="47">
        <f t="shared" si="152"/>
        <v>0</v>
      </c>
      <c r="AF122" s="47">
        <f t="shared" si="152"/>
        <v>0</v>
      </c>
      <c r="AG122" s="47">
        <f t="shared" ref="AG122:AH122" si="154">SUM(AG123:AG124)</f>
        <v>0</v>
      </c>
      <c r="AH122" s="47">
        <f t="shared" si="154"/>
        <v>0</v>
      </c>
      <c r="AI122" s="47">
        <f t="shared" ref="AI122" si="155">SUM(AI123:AI124)</f>
        <v>0</v>
      </c>
      <c r="AJ122" s="47">
        <v>0</v>
      </c>
      <c r="AK122" s="47">
        <v>0</v>
      </c>
      <c r="AL122" s="47">
        <v>0</v>
      </c>
      <c r="AM122" s="47">
        <v>0</v>
      </c>
      <c r="AN122" s="47">
        <v>0</v>
      </c>
      <c r="AO122" s="403"/>
    </row>
    <row r="123" spans="1:41" s="273" customFormat="1" ht="16.5" hidden="1" customHeight="1">
      <c r="A123" s="813"/>
      <c r="B123" s="257" t="s">
        <v>276</v>
      </c>
      <c r="C123" s="371"/>
      <c r="D123" s="371"/>
      <c r="E123" s="371"/>
      <c r="F123" s="371"/>
      <c r="G123" s="371"/>
      <c r="H123" s="372"/>
      <c r="I123" s="934"/>
      <c r="J123" s="263"/>
      <c r="K123" s="99"/>
      <c r="L123" s="47">
        <f t="shared" ref="L123:L124" si="156">SUM(M123:O123)</f>
        <v>0</v>
      </c>
      <c r="M123" s="99"/>
      <c r="N123" s="99"/>
      <c r="O123" s="99"/>
      <c r="P123" s="47"/>
      <c r="Q123" s="99">
        <f>S123+U123</f>
        <v>1822.39</v>
      </c>
      <c r="R123" s="99">
        <f>S123</f>
        <v>775.23</v>
      </c>
      <c r="S123" s="99">
        <v>775.23</v>
      </c>
      <c r="T123" s="99">
        <f>U123</f>
        <v>1047.1600000000001</v>
      </c>
      <c r="U123" s="99">
        <v>1047.1600000000001</v>
      </c>
      <c r="V123" s="99"/>
      <c r="W123" s="99"/>
      <c r="X123" s="99">
        <v>0</v>
      </c>
      <c r="Y123" s="99">
        <v>0</v>
      </c>
      <c r="Z123" s="99">
        <v>0</v>
      </c>
      <c r="AA123" s="99">
        <v>0</v>
      </c>
      <c r="AB123" s="99"/>
      <c r="AC123" s="99"/>
      <c r="AD123" s="99">
        <v>0</v>
      </c>
      <c r="AE123" s="99">
        <f>SUM(AF123:AF123)</f>
        <v>0</v>
      </c>
      <c r="AF123" s="99"/>
      <c r="AG123" s="99"/>
      <c r="AH123" s="99"/>
      <c r="AI123" s="99"/>
      <c r="AJ123" s="99">
        <v>0</v>
      </c>
      <c r="AK123" s="99">
        <v>0</v>
      </c>
      <c r="AL123" s="99">
        <v>0</v>
      </c>
      <c r="AM123" s="99">
        <v>0</v>
      </c>
      <c r="AN123" s="99">
        <v>0</v>
      </c>
      <c r="AO123" s="412"/>
    </row>
    <row r="124" spans="1:41" s="273" customFormat="1" ht="16.5" hidden="1" customHeight="1">
      <c r="A124" s="813"/>
      <c r="B124" s="257" t="s">
        <v>275</v>
      </c>
      <c r="C124" s="371"/>
      <c r="D124" s="371"/>
      <c r="E124" s="371"/>
      <c r="F124" s="371"/>
      <c r="G124" s="371"/>
      <c r="H124" s="372"/>
      <c r="I124" s="934"/>
      <c r="J124" s="263"/>
      <c r="K124" s="99"/>
      <c r="L124" s="99">
        <f t="shared" si="156"/>
        <v>0</v>
      </c>
      <c r="M124" s="99"/>
      <c r="N124" s="99"/>
      <c r="O124" s="99"/>
      <c r="P124" s="99">
        <f>R124+T124</f>
        <v>0</v>
      </c>
      <c r="Q124" s="99">
        <v>0</v>
      </c>
      <c r="R124" s="99"/>
      <c r="S124" s="99"/>
      <c r="T124" s="99">
        <f>U124</f>
        <v>0</v>
      </c>
      <c r="U124" s="99">
        <v>0</v>
      </c>
      <c r="V124" s="99"/>
      <c r="W124" s="99"/>
      <c r="X124" s="99"/>
      <c r="Y124" s="99"/>
      <c r="Z124" s="99">
        <f>SUM(AA124:AC124)</f>
        <v>0</v>
      </c>
      <c r="AA124" s="99"/>
      <c r="AB124" s="99">
        <v>0</v>
      </c>
      <c r="AC124" s="99">
        <v>0</v>
      </c>
      <c r="AD124" s="99"/>
      <c r="AE124" s="99">
        <f>SUM(AF124:AF124)</f>
        <v>0</v>
      </c>
      <c r="AF124" s="99"/>
      <c r="AG124" s="99"/>
      <c r="AH124" s="99"/>
      <c r="AI124" s="99"/>
      <c r="AJ124" s="99"/>
      <c r="AK124" s="99"/>
      <c r="AL124" s="99"/>
      <c r="AM124" s="99"/>
      <c r="AN124" s="99"/>
      <c r="AO124" s="412"/>
    </row>
    <row r="125" spans="1:41" s="292" customFormat="1" ht="16.5" customHeight="1">
      <c r="A125" s="814"/>
      <c r="B125" s="42" t="s">
        <v>32</v>
      </c>
      <c r="C125" s="320"/>
      <c r="D125" s="320"/>
      <c r="E125" s="320"/>
      <c r="F125" s="320"/>
      <c r="G125" s="320"/>
      <c r="H125" s="321"/>
      <c r="I125" s="877"/>
      <c r="J125" s="75"/>
      <c r="K125" s="47"/>
      <c r="L125" s="47">
        <v>44570.33</v>
      </c>
      <c r="M125" s="47">
        <v>0</v>
      </c>
      <c r="N125" s="47">
        <v>9523.68</v>
      </c>
      <c r="O125" s="47">
        <v>22469.279999999999</v>
      </c>
      <c r="P125" s="47">
        <v>2605.9899999999998</v>
      </c>
      <c r="Q125" s="47">
        <v>0</v>
      </c>
      <c r="R125" s="47">
        <v>0</v>
      </c>
      <c r="S125" s="47">
        <v>0</v>
      </c>
      <c r="T125" s="47">
        <v>0</v>
      </c>
      <c r="U125" s="47">
        <v>0</v>
      </c>
      <c r="V125" s="47">
        <v>0</v>
      </c>
      <c r="W125" s="47">
        <v>0</v>
      </c>
      <c r="X125" s="47">
        <v>0</v>
      </c>
      <c r="Y125" s="47">
        <v>0</v>
      </c>
      <c r="Z125" s="47">
        <v>0</v>
      </c>
      <c r="AA125" s="47">
        <v>0</v>
      </c>
      <c r="AB125" s="47">
        <v>0</v>
      </c>
      <c r="AC125" s="47">
        <v>0</v>
      </c>
      <c r="AD125" s="47">
        <v>0</v>
      </c>
      <c r="AE125" s="47">
        <v>0</v>
      </c>
      <c r="AF125" s="47">
        <v>0</v>
      </c>
      <c r="AG125" s="47">
        <v>0</v>
      </c>
      <c r="AH125" s="47">
        <v>0</v>
      </c>
      <c r="AI125" s="47">
        <v>0</v>
      </c>
      <c r="AJ125" s="47">
        <v>0</v>
      </c>
      <c r="AK125" s="47">
        <v>0</v>
      </c>
      <c r="AL125" s="47">
        <v>0</v>
      </c>
      <c r="AM125" s="47">
        <v>0</v>
      </c>
      <c r="AN125" s="47">
        <v>0</v>
      </c>
      <c r="AO125" s="403"/>
    </row>
    <row r="126" spans="1:41" s="292" customFormat="1" ht="114.75" customHeight="1">
      <c r="A126" s="812" t="s">
        <v>170</v>
      </c>
      <c r="B126" s="80" t="s">
        <v>289</v>
      </c>
      <c r="C126" s="322"/>
      <c r="D126" s="322"/>
      <c r="E126" s="322"/>
      <c r="F126" s="322"/>
      <c r="G126" s="323"/>
      <c r="H126" s="324"/>
      <c r="I126" s="820" t="s">
        <v>20</v>
      </c>
      <c r="J126" s="291"/>
      <c r="K126" s="175"/>
      <c r="L126" s="82">
        <f>L127</f>
        <v>9909.1</v>
      </c>
      <c r="M126" s="82">
        <f>M127</f>
        <v>0</v>
      </c>
      <c r="N126" s="82">
        <f t="shared" ref="N126:AN126" si="157">N127</f>
        <v>0</v>
      </c>
      <c r="O126" s="82">
        <f t="shared" si="157"/>
        <v>0</v>
      </c>
      <c r="P126" s="82">
        <f t="shared" si="157"/>
        <v>2591.96</v>
      </c>
      <c r="Q126" s="82">
        <f>Q127</f>
        <v>48.6</v>
      </c>
      <c r="R126" s="82">
        <f t="shared" ref="R126:R127" si="158">R127</f>
        <v>48.6</v>
      </c>
      <c r="S126" s="82">
        <f t="shared" ref="S126:S127" si="159">S127</f>
        <v>48.6</v>
      </c>
      <c r="T126" s="82">
        <f t="shared" ref="T126:T127" si="160">T127</f>
        <v>0</v>
      </c>
      <c r="U126" s="82">
        <f t="shared" ref="U126:U127" si="161">U127</f>
        <v>0</v>
      </c>
      <c r="V126" s="82">
        <f t="shared" ref="V126:V127" si="162">V127</f>
        <v>0</v>
      </c>
      <c r="W126" s="82">
        <f t="shared" ref="W126:W127" si="163">W127</f>
        <v>0</v>
      </c>
      <c r="X126" s="82">
        <f t="shared" ref="X126:X127" si="164">X127</f>
        <v>0</v>
      </c>
      <c r="Y126" s="82">
        <f t="shared" ref="Y126:Y127" si="165">Y127</f>
        <v>0</v>
      </c>
      <c r="Z126" s="82">
        <f t="shared" ref="Z126:Z127" si="166">Z127</f>
        <v>48.6</v>
      </c>
      <c r="AA126" s="82">
        <f t="shared" ref="AA126:AA127" si="167">AA127</f>
        <v>48.6</v>
      </c>
      <c r="AB126" s="82">
        <f t="shared" si="157"/>
        <v>0</v>
      </c>
      <c r="AC126" s="82">
        <f t="shared" si="157"/>
        <v>0</v>
      </c>
      <c r="AD126" s="82">
        <f t="shared" si="157"/>
        <v>0</v>
      </c>
      <c r="AE126" s="82">
        <f t="shared" si="157"/>
        <v>0</v>
      </c>
      <c r="AF126" s="82">
        <f t="shared" si="157"/>
        <v>0</v>
      </c>
      <c r="AG126" s="82">
        <f t="shared" si="157"/>
        <v>0</v>
      </c>
      <c r="AH126" s="82">
        <f t="shared" si="157"/>
        <v>0</v>
      </c>
      <c r="AI126" s="82">
        <f t="shared" si="157"/>
        <v>0</v>
      </c>
      <c r="AJ126" s="82">
        <f>P126-Q126</f>
        <v>2543.36</v>
      </c>
      <c r="AK126" s="82">
        <f t="shared" si="157"/>
        <v>0</v>
      </c>
      <c r="AL126" s="82">
        <f t="shared" si="157"/>
        <v>0</v>
      </c>
      <c r="AM126" s="82">
        <f t="shared" si="157"/>
        <v>0</v>
      </c>
      <c r="AN126" s="82">
        <f t="shared" si="157"/>
        <v>0</v>
      </c>
      <c r="AO126" s="411"/>
    </row>
    <row r="127" spans="1:41" s="292" customFormat="1" ht="25.5" customHeight="1">
      <c r="A127" s="877"/>
      <c r="B127" s="42" t="s">
        <v>208</v>
      </c>
      <c r="C127" s="320"/>
      <c r="D127" s="320"/>
      <c r="E127" s="320"/>
      <c r="F127" s="320"/>
      <c r="G127" s="320"/>
      <c r="H127" s="321"/>
      <c r="I127" s="877"/>
      <c r="J127" s="75"/>
      <c r="K127" s="47"/>
      <c r="L127" s="47">
        <v>9909.1</v>
      </c>
      <c r="M127" s="47">
        <v>0</v>
      </c>
      <c r="N127" s="47">
        <v>0</v>
      </c>
      <c r="O127" s="47">
        <v>0</v>
      </c>
      <c r="P127" s="47">
        <v>2591.96</v>
      </c>
      <c r="Q127" s="47">
        <f>Q128</f>
        <v>48.6</v>
      </c>
      <c r="R127" s="47">
        <f t="shared" si="158"/>
        <v>48.6</v>
      </c>
      <c r="S127" s="47">
        <f t="shared" si="159"/>
        <v>48.6</v>
      </c>
      <c r="T127" s="47">
        <f t="shared" si="160"/>
        <v>0</v>
      </c>
      <c r="U127" s="47">
        <f t="shared" si="161"/>
        <v>0</v>
      </c>
      <c r="V127" s="47">
        <f t="shared" si="162"/>
        <v>0</v>
      </c>
      <c r="W127" s="47">
        <f t="shared" si="163"/>
        <v>0</v>
      </c>
      <c r="X127" s="47">
        <f t="shared" si="164"/>
        <v>0</v>
      </c>
      <c r="Y127" s="47">
        <f t="shared" si="165"/>
        <v>0</v>
      </c>
      <c r="Z127" s="47">
        <f t="shared" si="166"/>
        <v>48.6</v>
      </c>
      <c r="AA127" s="47">
        <f t="shared" si="167"/>
        <v>48.6</v>
      </c>
      <c r="AB127" s="47">
        <v>0</v>
      </c>
      <c r="AC127" s="47">
        <v>0</v>
      </c>
      <c r="AD127" s="47">
        <v>0</v>
      </c>
      <c r="AE127" s="47">
        <f>SUM(AF127:AH127)</f>
        <v>0</v>
      </c>
      <c r="AF127" s="47">
        <v>0</v>
      </c>
      <c r="AG127" s="47">
        <v>0</v>
      </c>
      <c r="AH127" s="47">
        <v>0</v>
      </c>
      <c r="AI127" s="47">
        <v>0</v>
      </c>
      <c r="AJ127" s="47">
        <v>0</v>
      </c>
      <c r="AK127" s="47">
        <v>0</v>
      </c>
      <c r="AL127" s="47">
        <v>0</v>
      </c>
      <c r="AM127" s="47">
        <v>0</v>
      </c>
      <c r="AN127" s="47">
        <v>0</v>
      </c>
      <c r="AO127" s="403"/>
    </row>
    <row r="128" spans="1:41" s="273" customFormat="1" ht="25.5" hidden="1" customHeight="1">
      <c r="A128" s="373"/>
      <c r="B128" s="257" t="s">
        <v>335</v>
      </c>
      <c r="C128" s="371"/>
      <c r="D128" s="371"/>
      <c r="E128" s="371"/>
      <c r="F128" s="371"/>
      <c r="G128" s="371"/>
      <c r="H128" s="372"/>
      <c r="I128" s="373"/>
      <c r="J128" s="263"/>
      <c r="K128" s="99"/>
      <c r="L128" s="99"/>
      <c r="M128" s="99"/>
      <c r="N128" s="99"/>
      <c r="O128" s="99"/>
      <c r="P128" s="99"/>
      <c r="Q128" s="99">
        <f>S128</f>
        <v>48.6</v>
      </c>
      <c r="R128" s="99">
        <f>S128</f>
        <v>48.6</v>
      </c>
      <c r="S128" s="99">
        <v>48.6</v>
      </c>
      <c r="T128" s="99"/>
      <c r="U128" s="99"/>
      <c r="V128" s="99"/>
      <c r="W128" s="99"/>
      <c r="X128" s="99"/>
      <c r="Y128" s="99"/>
      <c r="Z128" s="99">
        <f>AA128</f>
        <v>48.6</v>
      </c>
      <c r="AA128" s="99">
        <v>48.6</v>
      </c>
      <c r="AB128" s="99"/>
      <c r="AC128" s="99"/>
      <c r="AD128" s="99"/>
      <c r="AE128" s="99"/>
      <c r="AF128" s="99"/>
      <c r="AG128" s="99"/>
      <c r="AH128" s="99"/>
      <c r="AI128" s="99"/>
      <c r="AJ128" s="99"/>
      <c r="AK128" s="99"/>
      <c r="AL128" s="275"/>
      <c r="AM128" s="99"/>
      <c r="AN128" s="99"/>
      <c r="AO128" s="412"/>
    </row>
    <row r="129" spans="1:41" s="292" customFormat="1" ht="44.25" customHeight="1">
      <c r="A129" s="812" t="s">
        <v>290</v>
      </c>
      <c r="B129" s="83" t="s">
        <v>293</v>
      </c>
      <c r="C129" s="322"/>
      <c r="D129" s="322"/>
      <c r="E129" s="322"/>
      <c r="F129" s="322"/>
      <c r="G129" s="323"/>
      <c r="H129" s="324"/>
      <c r="I129" s="820" t="s">
        <v>20</v>
      </c>
      <c r="J129" s="291"/>
      <c r="K129" s="175"/>
      <c r="L129" s="82">
        <f>SUM(L130:L132)</f>
        <v>12912.57</v>
      </c>
      <c r="M129" s="82">
        <f t="shared" ref="M129:P129" si="168">SUM(M130:M132)</f>
        <v>0</v>
      </c>
      <c r="N129" s="82">
        <f t="shared" si="168"/>
        <v>0</v>
      </c>
      <c r="O129" s="82">
        <f t="shared" si="168"/>
        <v>0</v>
      </c>
      <c r="P129" s="82">
        <f t="shared" si="168"/>
        <v>980</v>
      </c>
      <c r="Q129" s="82">
        <f>Q130</f>
        <v>980</v>
      </c>
      <c r="R129" s="82">
        <f t="shared" ref="R129:AA129" si="169">R130</f>
        <v>686</v>
      </c>
      <c r="S129" s="82">
        <f t="shared" si="169"/>
        <v>686</v>
      </c>
      <c r="T129" s="82">
        <f t="shared" si="169"/>
        <v>294</v>
      </c>
      <c r="U129" s="82">
        <f t="shared" si="169"/>
        <v>294</v>
      </c>
      <c r="V129" s="82">
        <f t="shared" si="169"/>
        <v>0</v>
      </c>
      <c r="W129" s="82">
        <f t="shared" si="169"/>
        <v>0</v>
      </c>
      <c r="X129" s="82">
        <f t="shared" si="169"/>
        <v>0</v>
      </c>
      <c r="Y129" s="82">
        <f t="shared" si="169"/>
        <v>0</v>
      </c>
      <c r="Z129" s="82">
        <f t="shared" si="169"/>
        <v>0</v>
      </c>
      <c r="AA129" s="82">
        <f t="shared" si="169"/>
        <v>0</v>
      </c>
      <c r="AB129" s="82">
        <f t="shared" ref="AB129:AH129" si="170">AB132</f>
        <v>0</v>
      </c>
      <c r="AC129" s="82">
        <f t="shared" si="170"/>
        <v>0</v>
      </c>
      <c r="AD129" s="82">
        <f t="shared" si="170"/>
        <v>0</v>
      </c>
      <c r="AE129" s="82">
        <f t="shared" si="170"/>
        <v>0</v>
      </c>
      <c r="AF129" s="82">
        <f t="shared" si="170"/>
        <v>0</v>
      </c>
      <c r="AG129" s="82">
        <f t="shared" si="170"/>
        <v>0</v>
      </c>
      <c r="AH129" s="82">
        <f t="shared" si="170"/>
        <v>0</v>
      </c>
      <c r="AI129" s="82">
        <f t="shared" ref="AI129" si="171">AI132</f>
        <v>0</v>
      </c>
      <c r="AJ129" s="82">
        <f>P129-Q129</f>
        <v>0</v>
      </c>
      <c r="AK129" s="82">
        <f>AK132</f>
        <v>0</v>
      </c>
      <c r="AL129" s="79">
        <v>0</v>
      </c>
      <c r="AM129" s="82">
        <f>AM132</f>
        <v>0</v>
      </c>
      <c r="AN129" s="82">
        <f>AN132</f>
        <v>0</v>
      </c>
      <c r="AO129" s="411" t="s">
        <v>264</v>
      </c>
    </row>
    <row r="130" spans="1:41" s="292" customFormat="1" ht="20.25" customHeight="1">
      <c r="A130" s="813"/>
      <c r="B130" s="42" t="s">
        <v>294</v>
      </c>
      <c r="C130" s="320"/>
      <c r="D130" s="320"/>
      <c r="E130" s="320"/>
      <c r="F130" s="320"/>
      <c r="G130" s="320"/>
      <c r="H130" s="321"/>
      <c r="I130" s="822"/>
      <c r="J130" s="75"/>
      <c r="K130" s="47"/>
      <c r="L130" s="47">
        <v>980</v>
      </c>
      <c r="M130" s="47"/>
      <c r="N130" s="47">
        <v>0</v>
      </c>
      <c r="O130" s="47"/>
      <c r="P130" s="47">
        <v>980</v>
      </c>
      <c r="Q130" s="47">
        <f>Q131</f>
        <v>980</v>
      </c>
      <c r="R130" s="47">
        <f t="shared" ref="R130:AA130" si="172">R131</f>
        <v>686</v>
      </c>
      <c r="S130" s="47">
        <f t="shared" si="172"/>
        <v>686</v>
      </c>
      <c r="T130" s="47">
        <f t="shared" si="172"/>
        <v>294</v>
      </c>
      <c r="U130" s="47">
        <f t="shared" si="172"/>
        <v>294</v>
      </c>
      <c r="V130" s="47">
        <f t="shared" si="172"/>
        <v>0</v>
      </c>
      <c r="W130" s="47">
        <f t="shared" si="172"/>
        <v>0</v>
      </c>
      <c r="X130" s="47">
        <f t="shared" si="172"/>
        <v>0</v>
      </c>
      <c r="Y130" s="47">
        <f t="shared" si="172"/>
        <v>0</v>
      </c>
      <c r="Z130" s="47">
        <f t="shared" si="172"/>
        <v>0</v>
      </c>
      <c r="AA130" s="47">
        <f t="shared" si="172"/>
        <v>0</v>
      </c>
      <c r="AB130" s="47">
        <f>AB131</f>
        <v>0</v>
      </c>
      <c r="AC130" s="47">
        <f t="shared" ref="AC130" si="173">AC131</f>
        <v>0</v>
      </c>
      <c r="AD130" s="47">
        <f t="shared" ref="AD130" si="174">AD131</f>
        <v>0</v>
      </c>
      <c r="AE130" s="47">
        <f t="shared" ref="AE130" si="175">AE131</f>
        <v>0</v>
      </c>
      <c r="AF130" s="47">
        <f t="shared" ref="AF130" si="176">AF131</f>
        <v>0</v>
      </c>
      <c r="AG130" s="47"/>
      <c r="AH130" s="47"/>
      <c r="AI130" s="47"/>
      <c r="AJ130" s="47">
        <v>0</v>
      </c>
      <c r="AK130" s="47">
        <v>0</v>
      </c>
      <c r="AL130" s="47">
        <v>0</v>
      </c>
      <c r="AM130" s="47">
        <v>0</v>
      </c>
      <c r="AN130" s="47">
        <v>0</v>
      </c>
      <c r="AO130" s="403"/>
    </row>
    <row r="131" spans="1:41" s="273" customFormat="1" ht="41.25" hidden="1" customHeight="1">
      <c r="A131" s="813"/>
      <c r="B131" s="257" t="s">
        <v>334</v>
      </c>
      <c r="C131" s="371"/>
      <c r="D131" s="371"/>
      <c r="E131" s="371"/>
      <c r="F131" s="371"/>
      <c r="G131" s="371"/>
      <c r="H131" s="372"/>
      <c r="I131" s="822"/>
      <c r="J131" s="263"/>
      <c r="K131" s="99"/>
      <c r="L131" s="99"/>
      <c r="M131" s="99"/>
      <c r="N131" s="99"/>
      <c r="O131" s="99"/>
      <c r="P131" s="99"/>
      <c r="Q131" s="99">
        <f>S131+U131</f>
        <v>980</v>
      </c>
      <c r="R131" s="99">
        <f>S131</f>
        <v>686</v>
      </c>
      <c r="S131" s="99">
        <v>686</v>
      </c>
      <c r="T131" s="99">
        <v>294</v>
      </c>
      <c r="U131" s="99">
        <v>294</v>
      </c>
      <c r="V131" s="99"/>
      <c r="W131" s="99"/>
      <c r="X131" s="99"/>
      <c r="Y131" s="99"/>
      <c r="Z131" s="99"/>
      <c r="AA131" s="99"/>
      <c r="AB131" s="99"/>
      <c r="AC131" s="99"/>
      <c r="AD131" s="99"/>
      <c r="AE131" s="99"/>
      <c r="AF131" s="99"/>
      <c r="AG131" s="99"/>
      <c r="AH131" s="99"/>
      <c r="AI131" s="99"/>
      <c r="AJ131" s="99"/>
      <c r="AK131" s="99"/>
      <c r="AL131" s="99"/>
      <c r="AM131" s="99"/>
      <c r="AN131" s="99"/>
      <c r="AO131" s="412"/>
    </row>
    <row r="132" spans="1:41" s="292" customFormat="1" ht="17.25" customHeight="1">
      <c r="A132" s="877"/>
      <c r="B132" s="42" t="s">
        <v>296</v>
      </c>
      <c r="C132" s="320"/>
      <c r="D132" s="320"/>
      <c r="E132" s="320"/>
      <c r="F132" s="320"/>
      <c r="G132" s="320"/>
      <c r="H132" s="321"/>
      <c r="I132" s="877"/>
      <c r="J132" s="75"/>
      <c r="K132" s="47"/>
      <c r="L132" s="47">
        <v>11932.57</v>
      </c>
      <c r="M132" s="47">
        <v>0</v>
      </c>
      <c r="N132" s="47">
        <v>0</v>
      </c>
      <c r="O132" s="47">
        <v>0</v>
      </c>
      <c r="P132" s="47">
        <f>N132</f>
        <v>0</v>
      </c>
      <c r="Q132" s="47">
        <v>0</v>
      </c>
      <c r="R132" s="47">
        <v>0</v>
      </c>
      <c r="S132" s="47">
        <v>0</v>
      </c>
      <c r="T132" s="47"/>
      <c r="U132" s="47"/>
      <c r="V132" s="47">
        <f t="shared" ref="V132:Y132" si="177">V153</f>
        <v>0</v>
      </c>
      <c r="W132" s="47">
        <f t="shared" si="177"/>
        <v>0</v>
      </c>
      <c r="X132" s="47">
        <f t="shared" si="177"/>
        <v>0</v>
      </c>
      <c r="Y132" s="47">
        <f t="shared" si="177"/>
        <v>0</v>
      </c>
      <c r="Z132" s="47">
        <v>0</v>
      </c>
      <c r="AA132" s="47">
        <v>0</v>
      </c>
      <c r="AB132" s="47">
        <f t="shared" ref="AB132:AH132" si="178">AB153</f>
        <v>0</v>
      </c>
      <c r="AC132" s="47">
        <f t="shared" si="178"/>
        <v>0</v>
      </c>
      <c r="AD132" s="47">
        <f t="shared" si="178"/>
        <v>0</v>
      </c>
      <c r="AE132" s="47">
        <f t="shared" si="178"/>
        <v>0</v>
      </c>
      <c r="AF132" s="47">
        <f t="shared" si="178"/>
        <v>0</v>
      </c>
      <c r="AG132" s="47">
        <f t="shared" si="178"/>
        <v>0</v>
      </c>
      <c r="AH132" s="47">
        <f t="shared" si="178"/>
        <v>0</v>
      </c>
      <c r="AI132" s="47">
        <f t="shared" ref="AI132" si="179">AI153</f>
        <v>0</v>
      </c>
      <c r="AJ132" s="47">
        <v>0</v>
      </c>
      <c r="AK132" s="47">
        <v>0</v>
      </c>
      <c r="AL132" s="47">
        <v>0</v>
      </c>
      <c r="AM132" s="47">
        <v>0</v>
      </c>
      <c r="AN132" s="47">
        <v>0</v>
      </c>
      <c r="AO132" s="403"/>
    </row>
    <row r="133" spans="1:41" s="292" customFormat="1" ht="39.75" customHeight="1">
      <c r="A133" s="812" t="s">
        <v>291</v>
      </c>
      <c r="B133" s="83" t="s">
        <v>295</v>
      </c>
      <c r="C133" s="322"/>
      <c r="D133" s="322"/>
      <c r="E133" s="322"/>
      <c r="F133" s="322"/>
      <c r="G133" s="323"/>
      <c r="H133" s="324"/>
      <c r="I133" s="820" t="s">
        <v>20</v>
      </c>
      <c r="J133" s="291"/>
      <c r="K133" s="175"/>
      <c r="L133" s="82">
        <f>SUM(L134:L137)</f>
        <v>1686.18</v>
      </c>
      <c r="M133" s="82">
        <f t="shared" ref="M133:P133" si="180">SUM(M134:M137)</f>
        <v>0</v>
      </c>
      <c r="N133" s="82">
        <f t="shared" si="180"/>
        <v>0</v>
      </c>
      <c r="O133" s="82">
        <f t="shared" si="180"/>
        <v>0</v>
      </c>
      <c r="P133" s="82">
        <f t="shared" si="180"/>
        <v>1600</v>
      </c>
      <c r="Q133" s="82">
        <f>Q137+Q134</f>
        <v>1615.0119999999999</v>
      </c>
      <c r="R133" s="82">
        <f t="shared" ref="R133:AI133" si="181">R137+R134</f>
        <v>0</v>
      </c>
      <c r="S133" s="82">
        <f t="shared" si="181"/>
        <v>0</v>
      </c>
      <c r="T133" s="82">
        <f t="shared" si="181"/>
        <v>103.41200000000001</v>
      </c>
      <c r="U133" s="82">
        <f t="shared" si="181"/>
        <v>103.41200000000001</v>
      </c>
      <c r="V133" s="82">
        <f>V137+V134</f>
        <v>1511.6</v>
      </c>
      <c r="W133" s="82">
        <f t="shared" si="181"/>
        <v>1511.6</v>
      </c>
      <c r="X133" s="82">
        <f t="shared" si="181"/>
        <v>0</v>
      </c>
      <c r="Y133" s="82">
        <f t="shared" si="181"/>
        <v>0</v>
      </c>
      <c r="Z133" s="82">
        <f t="shared" si="181"/>
        <v>1653.412</v>
      </c>
      <c r="AA133" s="82">
        <f t="shared" si="181"/>
        <v>0</v>
      </c>
      <c r="AB133" s="82">
        <f t="shared" si="181"/>
        <v>0</v>
      </c>
      <c r="AC133" s="82">
        <f t="shared" si="181"/>
        <v>1653.412</v>
      </c>
      <c r="AD133" s="82">
        <f t="shared" si="181"/>
        <v>0</v>
      </c>
      <c r="AE133" s="82">
        <f t="shared" si="181"/>
        <v>0</v>
      </c>
      <c r="AF133" s="82">
        <f t="shared" si="181"/>
        <v>0</v>
      </c>
      <c r="AG133" s="82">
        <f t="shared" si="181"/>
        <v>0</v>
      </c>
      <c r="AH133" s="82">
        <f t="shared" si="181"/>
        <v>0</v>
      </c>
      <c r="AI133" s="82">
        <f t="shared" si="181"/>
        <v>0</v>
      </c>
      <c r="AJ133" s="82">
        <f>P133-Q133</f>
        <v>-15.011999999999944</v>
      </c>
      <c r="AK133" s="82">
        <f>AK137</f>
        <v>0</v>
      </c>
      <c r="AL133" s="82">
        <f>AL137</f>
        <v>0</v>
      </c>
      <c r="AM133" s="82">
        <f>AM137</f>
        <v>0</v>
      </c>
      <c r="AN133" s="82">
        <f>AN137</f>
        <v>0</v>
      </c>
      <c r="AO133" s="411" t="s">
        <v>249</v>
      </c>
    </row>
    <row r="134" spans="1:41" s="292" customFormat="1" ht="20.25" customHeight="1">
      <c r="A134" s="813"/>
      <c r="B134" s="42" t="s">
        <v>294</v>
      </c>
      <c r="C134" s="320"/>
      <c r="D134" s="320"/>
      <c r="E134" s="320"/>
      <c r="F134" s="320"/>
      <c r="G134" s="320"/>
      <c r="H134" s="321"/>
      <c r="I134" s="822"/>
      <c r="J134" s="75"/>
      <c r="K134" s="47"/>
      <c r="L134" s="47">
        <v>1686.18</v>
      </c>
      <c r="M134" s="47"/>
      <c r="N134" s="47">
        <v>0</v>
      </c>
      <c r="O134" s="47"/>
      <c r="P134" s="47">
        <v>1600</v>
      </c>
      <c r="Q134" s="47">
        <f>SUM(Q135:Q136)</f>
        <v>1615.0119999999999</v>
      </c>
      <c r="R134" s="47">
        <f t="shared" ref="R134:AH134" si="182">SUM(R135:R136)</f>
        <v>0</v>
      </c>
      <c r="S134" s="47">
        <f t="shared" si="182"/>
        <v>0</v>
      </c>
      <c r="T134" s="47">
        <f t="shared" si="182"/>
        <v>103.41200000000001</v>
      </c>
      <c r="U134" s="47">
        <f t="shared" si="182"/>
        <v>103.41200000000001</v>
      </c>
      <c r="V134" s="47">
        <f t="shared" si="182"/>
        <v>1511.6</v>
      </c>
      <c r="W134" s="47">
        <f t="shared" si="182"/>
        <v>1511.6</v>
      </c>
      <c r="X134" s="47">
        <f t="shared" si="182"/>
        <v>0</v>
      </c>
      <c r="Y134" s="47">
        <f t="shared" si="182"/>
        <v>0</v>
      </c>
      <c r="Z134" s="47">
        <f t="shared" si="182"/>
        <v>1653.412</v>
      </c>
      <c r="AA134" s="47">
        <f t="shared" si="182"/>
        <v>0</v>
      </c>
      <c r="AB134" s="47">
        <f t="shared" si="182"/>
        <v>0</v>
      </c>
      <c r="AC134" s="47">
        <f t="shared" si="182"/>
        <v>1653.412</v>
      </c>
      <c r="AD134" s="47">
        <f t="shared" si="182"/>
        <v>0</v>
      </c>
      <c r="AE134" s="47">
        <f t="shared" si="182"/>
        <v>0</v>
      </c>
      <c r="AF134" s="47">
        <f t="shared" si="182"/>
        <v>0</v>
      </c>
      <c r="AG134" s="47">
        <f t="shared" si="182"/>
        <v>0</v>
      </c>
      <c r="AH134" s="47">
        <f t="shared" si="182"/>
        <v>0</v>
      </c>
      <c r="AI134" s="47"/>
      <c r="AJ134" s="47">
        <v>0</v>
      </c>
      <c r="AK134" s="47">
        <v>0</v>
      </c>
      <c r="AL134" s="47">
        <v>0</v>
      </c>
      <c r="AM134" s="47">
        <v>0</v>
      </c>
      <c r="AN134" s="47">
        <v>0</v>
      </c>
      <c r="AO134" s="403"/>
    </row>
    <row r="135" spans="1:41" s="273" customFormat="1" ht="42.75" hidden="1" customHeight="1">
      <c r="A135" s="813"/>
      <c r="B135" s="257" t="s">
        <v>334</v>
      </c>
      <c r="C135" s="371"/>
      <c r="D135" s="371"/>
      <c r="E135" s="371"/>
      <c r="F135" s="371"/>
      <c r="G135" s="371"/>
      <c r="H135" s="372"/>
      <c r="I135" s="822"/>
      <c r="J135" s="263"/>
      <c r="K135" s="99"/>
      <c r="L135" s="99"/>
      <c r="M135" s="99"/>
      <c r="N135" s="99"/>
      <c r="O135" s="99"/>
      <c r="P135" s="99"/>
      <c r="Q135" s="99">
        <f>W135</f>
        <v>1511.6</v>
      </c>
      <c r="R135" s="99"/>
      <c r="S135" s="99"/>
      <c r="T135" s="99"/>
      <c r="U135" s="99"/>
      <c r="V135" s="99">
        <f>W135</f>
        <v>1511.6</v>
      </c>
      <c r="W135" s="99">
        <v>1511.6</v>
      </c>
      <c r="X135" s="99"/>
      <c r="Y135" s="99"/>
      <c r="Z135" s="99">
        <f>AC135</f>
        <v>1550</v>
      </c>
      <c r="AA135" s="99"/>
      <c r="AB135" s="99"/>
      <c r="AC135" s="99">
        <v>1550</v>
      </c>
      <c r="AD135" s="99"/>
      <c r="AE135" s="99"/>
      <c r="AF135" s="99"/>
      <c r="AG135" s="99"/>
      <c r="AH135" s="99"/>
      <c r="AI135" s="99"/>
      <c r="AJ135" s="99"/>
      <c r="AK135" s="99"/>
      <c r="AL135" s="275"/>
      <c r="AM135" s="99"/>
      <c r="AN135" s="99"/>
      <c r="AO135" s="412"/>
    </row>
    <row r="136" spans="1:41" s="273" customFormat="1" ht="17.25" hidden="1" customHeight="1">
      <c r="A136" s="813"/>
      <c r="B136" s="257" t="s">
        <v>352</v>
      </c>
      <c r="C136" s="371"/>
      <c r="D136" s="371"/>
      <c r="E136" s="371"/>
      <c r="F136" s="371"/>
      <c r="G136" s="371"/>
      <c r="H136" s="372"/>
      <c r="I136" s="822"/>
      <c r="J136" s="263"/>
      <c r="K136" s="99"/>
      <c r="L136" s="99"/>
      <c r="M136" s="99"/>
      <c r="N136" s="99"/>
      <c r="O136" s="99"/>
      <c r="P136" s="99"/>
      <c r="Q136" s="99">
        <f>U136</f>
        <v>103.41200000000001</v>
      </c>
      <c r="R136" s="99"/>
      <c r="S136" s="99"/>
      <c r="T136" s="99">
        <f>U136</f>
        <v>103.41200000000001</v>
      </c>
      <c r="U136" s="99">
        <v>103.41200000000001</v>
      </c>
      <c r="V136" s="99"/>
      <c r="W136" s="99"/>
      <c r="X136" s="99"/>
      <c r="Y136" s="99"/>
      <c r="Z136" s="99">
        <f>AC136</f>
        <v>103.41200000000001</v>
      </c>
      <c r="AA136" s="99"/>
      <c r="AB136" s="99"/>
      <c r="AC136" s="99">
        <v>103.41200000000001</v>
      </c>
      <c r="AD136" s="99"/>
      <c r="AE136" s="99"/>
      <c r="AF136" s="99"/>
      <c r="AG136" s="99"/>
      <c r="AH136" s="99"/>
      <c r="AI136" s="99"/>
      <c r="AJ136" s="99"/>
      <c r="AK136" s="99"/>
      <c r="AL136" s="275"/>
      <c r="AM136" s="99"/>
      <c r="AN136" s="99"/>
      <c r="AO136" s="412"/>
    </row>
    <row r="137" spans="1:41" s="292" customFormat="1" ht="17.25" customHeight="1">
      <c r="A137" s="877"/>
      <c r="B137" s="42" t="s">
        <v>296</v>
      </c>
      <c r="C137" s="320"/>
      <c r="D137" s="320"/>
      <c r="E137" s="320"/>
      <c r="F137" s="320"/>
      <c r="G137" s="320"/>
      <c r="H137" s="321"/>
      <c r="I137" s="877"/>
      <c r="J137" s="75"/>
      <c r="K137" s="47"/>
      <c r="L137" s="47">
        <v>0</v>
      </c>
      <c r="M137" s="47">
        <v>0</v>
      </c>
      <c r="N137" s="47">
        <v>0</v>
      </c>
      <c r="O137" s="47">
        <v>0</v>
      </c>
      <c r="P137" s="47">
        <f>N137</f>
        <v>0</v>
      </c>
      <c r="Q137" s="47">
        <f>Q138</f>
        <v>0</v>
      </c>
      <c r="R137" s="47">
        <f t="shared" ref="R137:U137" si="183">R138</f>
        <v>0</v>
      </c>
      <c r="S137" s="47">
        <f t="shared" si="183"/>
        <v>0</v>
      </c>
      <c r="T137" s="47">
        <f t="shared" si="183"/>
        <v>0</v>
      </c>
      <c r="U137" s="47">
        <f t="shared" si="183"/>
        <v>0</v>
      </c>
      <c r="V137" s="47">
        <f t="shared" ref="V137:Y137" si="184">V156</f>
        <v>0</v>
      </c>
      <c r="W137" s="47">
        <f t="shared" si="184"/>
        <v>0</v>
      </c>
      <c r="X137" s="47">
        <f t="shared" si="184"/>
        <v>0</v>
      </c>
      <c r="Y137" s="47">
        <f t="shared" si="184"/>
        <v>0</v>
      </c>
      <c r="Z137" s="47">
        <v>0</v>
      </c>
      <c r="AA137" s="47">
        <v>0</v>
      </c>
      <c r="AB137" s="47">
        <f t="shared" ref="AB137:AH137" si="185">AB156</f>
        <v>0</v>
      </c>
      <c r="AC137" s="47">
        <f t="shared" si="185"/>
        <v>0</v>
      </c>
      <c r="AD137" s="47">
        <f t="shared" si="185"/>
        <v>0</v>
      </c>
      <c r="AE137" s="47">
        <f t="shared" si="185"/>
        <v>0</v>
      </c>
      <c r="AF137" s="47">
        <f t="shared" si="185"/>
        <v>0</v>
      </c>
      <c r="AG137" s="47">
        <f t="shared" si="185"/>
        <v>0</v>
      </c>
      <c r="AH137" s="47">
        <f t="shared" si="185"/>
        <v>0</v>
      </c>
      <c r="AI137" s="47">
        <f t="shared" ref="AI137" si="186">AI156</f>
        <v>0</v>
      </c>
      <c r="AJ137" s="47">
        <v>0</v>
      </c>
      <c r="AK137" s="47">
        <v>0</v>
      </c>
      <c r="AL137" s="47">
        <v>0</v>
      </c>
      <c r="AM137" s="47">
        <v>0</v>
      </c>
      <c r="AN137" s="47">
        <v>0</v>
      </c>
      <c r="AO137" s="403"/>
    </row>
    <row r="138" spans="1:41" s="273" customFormat="1" ht="17.25" customHeight="1">
      <c r="A138" s="373"/>
      <c r="B138" s="257"/>
      <c r="C138" s="371"/>
      <c r="D138" s="371"/>
      <c r="E138" s="371"/>
      <c r="F138" s="371"/>
      <c r="G138" s="371"/>
      <c r="H138" s="372"/>
      <c r="I138" s="373"/>
      <c r="J138" s="263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99"/>
      <c r="AC138" s="99"/>
      <c r="AD138" s="99"/>
      <c r="AE138" s="99"/>
      <c r="AF138" s="99"/>
      <c r="AG138" s="99"/>
      <c r="AH138" s="99"/>
      <c r="AI138" s="99"/>
      <c r="AJ138" s="99"/>
      <c r="AK138" s="99"/>
      <c r="AL138" s="275"/>
      <c r="AM138" s="99"/>
      <c r="AN138" s="99"/>
      <c r="AO138" s="412"/>
    </row>
    <row r="139" spans="1:41" s="292" customFormat="1" ht="66.75" customHeight="1">
      <c r="A139" s="812" t="s">
        <v>292</v>
      </c>
      <c r="B139" s="83" t="s">
        <v>297</v>
      </c>
      <c r="C139" s="322"/>
      <c r="D139" s="322"/>
      <c r="E139" s="322"/>
      <c r="F139" s="322"/>
      <c r="G139" s="323"/>
      <c r="H139" s="324"/>
      <c r="I139" s="820" t="s">
        <v>20</v>
      </c>
      <c r="J139" s="291"/>
      <c r="K139" s="175"/>
      <c r="L139" s="82">
        <f t="shared" ref="L139:AI140" si="187">L140</f>
        <v>28990</v>
      </c>
      <c r="M139" s="82">
        <f t="shared" si="187"/>
        <v>0</v>
      </c>
      <c r="N139" s="82">
        <f t="shared" si="187"/>
        <v>10150</v>
      </c>
      <c r="O139" s="82">
        <f t="shared" si="187"/>
        <v>0</v>
      </c>
      <c r="P139" s="82">
        <f t="shared" si="187"/>
        <v>18840</v>
      </c>
      <c r="Q139" s="82">
        <f t="shared" si="187"/>
        <v>28990</v>
      </c>
      <c r="R139" s="82">
        <f t="shared" si="187"/>
        <v>12000</v>
      </c>
      <c r="S139" s="82">
        <f t="shared" si="187"/>
        <v>12000</v>
      </c>
      <c r="T139" s="82">
        <f t="shared" si="187"/>
        <v>16990</v>
      </c>
      <c r="U139" s="82">
        <f t="shared" si="187"/>
        <v>16990</v>
      </c>
      <c r="V139" s="82">
        <f t="shared" si="187"/>
        <v>0</v>
      </c>
      <c r="W139" s="82">
        <f t="shared" si="187"/>
        <v>0</v>
      </c>
      <c r="X139" s="82">
        <f t="shared" si="187"/>
        <v>0</v>
      </c>
      <c r="Y139" s="82">
        <f t="shared" si="187"/>
        <v>0</v>
      </c>
      <c r="Z139" s="82">
        <f t="shared" si="187"/>
        <v>0</v>
      </c>
      <c r="AA139" s="82">
        <f t="shared" si="187"/>
        <v>0</v>
      </c>
      <c r="AB139" s="82">
        <f t="shared" si="187"/>
        <v>0</v>
      </c>
      <c r="AC139" s="82">
        <f t="shared" si="187"/>
        <v>0</v>
      </c>
      <c r="AD139" s="82">
        <f t="shared" si="187"/>
        <v>0</v>
      </c>
      <c r="AE139" s="82">
        <f t="shared" si="187"/>
        <v>0</v>
      </c>
      <c r="AF139" s="82">
        <f t="shared" si="187"/>
        <v>0</v>
      </c>
      <c r="AG139" s="82">
        <f t="shared" si="187"/>
        <v>0</v>
      </c>
      <c r="AH139" s="82">
        <f t="shared" si="187"/>
        <v>0</v>
      </c>
      <c r="AI139" s="82">
        <f t="shared" si="187"/>
        <v>0</v>
      </c>
      <c r="AJ139" s="82">
        <f>P139-Q139</f>
        <v>-10150</v>
      </c>
      <c r="AK139" s="82">
        <f>AK140</f>
        <v>0</v>
      </c>
      <c r="AL139" s="79">
        <f>ROUND((Q139*100%/P139*100),2)</f>
        <v>153.87</v>
      </c>
      <c r="AM139" s="82">
        <f>AM140</f>
        <v>0</v>
      </c>
      <c r="AN139" s="82">
        <f>AN140</f>
        <v>0</v>
      </c>
      <c r="AO139" s="411" t="s">
        <v>306</v>
      </c>
    </row>
    <row r="140" spans="1:41" s="292" customFormat="1" ht="17.25" customHeight="1">
      <c r="A140" s="877"/>
      <c r="B140" s="42" t="s">
        <v>206</v>
      </c>
      <c r="C140" s="320"/>
      <c r="D140" s="320"/>
      <c r="E140" s="320"/>
      <c r="F140" s="320"/>
      <c r="G140" s="320"/>
      <c r="H140" s="321"/>
      <c r="I140" s="877"/>
      <c r="J140" s="75"/>
      <c r="K140" s="47"/>
      <c r="L140" s="47">
        <v>28990</v>
      </c>
      <c r="M140" s="47">
        <v>0</v>
      </c>
      <c r="N140" s="47">
        <v>10150</v>
      </c>
      <c r="O140" s="47">
        <v>0</v>
      </c>
      <c r="P140" s="47">
        <v>18840</v>
      </c>
      <c r="Q140" s="47">
        <f>Q141</f>
        <v>28990</v>
      </c>
      <c r="R140" s="47">
        <f t="shared" si="187"/>
        <v>12000</v>
      </c>
      <c r="S140" s="47">
        <f t="shared" si="187"/>
        <v>12000</v>
      </c>
      <c r="T140" s="47">
        <f t="shared" si="187"/>
        <v>16990</v>
      </c>
      <c r="U140" s="47">
        <f t="shared" si="187"/>
        <v>16990</v>
      </c>
      <c r="V140" s="47">
        <f t="shared" si="187"/>
        <v>0</v>
      </c>
      <c r="W140" s="47">
        <f t="shared" si="187"/>
        <v>0</v>
      </c>
      <c r="X140" s="47">
        <f t="shared" si="187"/>
        <v>0</v>
      </c>
      <c r="Y140" s="47">
        <f t="shared" si="187"/>
        <v>0</v>
      </c>
      <c r="Z140" s="47">
        <f t="shared" si="187"/>
        <v>0</v>
      </c>
      <c r="AA140" s="47">
        <f t="shared" si="187"/>
        <v>0</v>
      </c>
      <c r="AB140" s="47">
        <f t="shared" si="187"/>
        <v>0</v>
      </c>
      <c r="AC140" s="47">
        <f t="shared" si="187"/>
        <v>0</v>
      </c>
      <c r="AD140" s="47">
        <f t="shared" si="187"/>
        <v>0</v>
      </c>
      <c r="AE140" s="47">
        <f t="shared" si="187"/>
        <v>0</v>
      </c>
      <c r="AF140" s="47">
        <f t="shared" si="187"/>
        <v>0</v>
      </c>
      <c r="AG140" s="47">
        <f t="shared" si="187"/>
        <v>0</v>
      </c>
      <c r="AH140" s="47">
        <f t="shared" si="187"/>
        <v>0</v>
      </c>
      <c r="AI140" s="47">
        <f t="shared" si="187"/>
        <v>0</v>
      </c>
      <c r="AJ140" s="47">
        <v>0</v>
      </c>
      <c r="AK140" s="47">
        <v>0</v>
      </c>
      <c r="AL140" s="47">
        <v>0</v>
      </c>
      <c r="AM140" s="47">
        <v>0</v>
      </c>
      <c r="AN140" s="47">
        <v>0</v>
      </c>
      <c r="AO140" s="403"/>
    </row>
    <row r="141" spans="1:41" s="273" customFormat="1" ht="17.25" hidden="1" customHeight="1">
      <c r="A141" s="373"/>
      <c r="B141" s="257" t="s">
        <v>300</v>
      </c>
      <c r="C141" s="371"/>
      <c r="D141" s="371"/>
      <c r="E141" s="371"/>
      <c r="F141" s="371"/>
      <c r="G141" s="371"/>
      <c r="H141" s="372"/>
      <c r="I141" s="505"/>
      <c r="J141" s="263"/>
      <c r="K141" s="99"/>
      <c r="L141" s="99"/>
      <c r="M141" s="99"/>
      <c r="N141" s="99"/>
      <c r="O141" s="99"/>
      <c r="P141" s="99"/>
      <c r="Q141" s="99">
        <f>S141+U141</f>
        <v>28990</v>
      </c>
      <c r="R141" s="99">
        <f>S141</f>
        <v>12000</v>
      </c>
      <c r="S141" s="99">
        <v>12000</v>
      </c>
      <c r="T141" s="99">
        <f>U141</f>
        <v>16990</v>
      </c>
      <c r="U141" s="99">
        <v>16990</v>
      </c>
      <c r="V141" s="99"/>
      <c r="W141" s="99"/>
      <c r="X141" s="99"/>
      <c r="Y141" s="99"/>
      <c r="Z141" s="99">
        <f>SUM(AA141:AD141)</f>
        <v>0</v>
      </c>
      <c r="AA141" s="99"/>
      <c r="AB141" s="99"/>
      <c r="AC141" s="99"/>
      <c r="AD141" s="99">
        <v>0</v>
      </c>
      <c r="AE141" s="99"/>
      <c r="AF141" s="99"/>
      <c r="AG141" s="99"/>
      <c r="AH141" s="99"/>
      <c r="AI141" s="99"/>
      <c r="AJ141" s="99"/>
      <c r="AK141" s="99"/>
      <c r="AL141" s="99"/>
      <c r="AM141" s="99"/>
      <c r="AN141" s="99"/>
      <c r="AO141" s="412"/>
    </row>
    <row r="142" spans="1:41" s="292" customFormat="1" ht="66.75" customHeight="1">
      <c r="A142" s="812" t="s">
        <v>389</v>
      </c>
      <c r="B142" s="83" t="s">
        <v>390</v>
      </c>
      <c r="C142" s="322"/>
      <c r="D142" s="322"/>
      <c r="E142" s="322"/>
      <c r="F142" s="322"/>
      <c r="G142" s="323"/>
      <c r="H142" s="324"/>
      <c r="I142" s="820" t="s">
        <v>20</v>
      </c>
      <c r="J142" s="291"/>
      <c r="K142" s="175"/>
      <c r="L142" s="82">
        <f>L146+L143</f>
        <v>2906.38</v>
      </c>
      <c r="M142" s="82">
        <f t="shared" ref="M142:AJ142" si="188">M146+M143</f>
        <v>0</v>
      </c>
      <c r="N142" s="82">
        <f t="shared" si="188"/>
        <v>0</v>
      </c>
      <c r="O142" s="82">
        <f t="shared" si="188"/>
        <v>0</v>
      </c>
      <c r="P142" s="82">
        <f t="shared" si="188"/>
        <v>85.95</v>
      </c>
      <c r="Q142" s="82">
        <f t="shared" si="188"/>
        <v>583.89599999999996</v>
      </c>
      <c r="R142" s="82">
        <f t="shared" si="188"/>
        <v>0</v>
      </c>
      <c r="S142" s="82">
        <f t="shared" si="188"/>
        <v>0</v>
      </c>
      <c r="T142" s="82">
        <f t="shared" si="188"/>
        <v>0</v>
      </c>
      <c r="U142" s="82">
        <f t="shared" si="188"/>
        <v>0</v>
      </c>
      <c r="V142" s="82">
        <f t="shared" si="188"/>
        <v>0</v>
      </c>
      <c r="W142" s="82">
        <f t="shared" si="188"/>
        <v>0</v>
      </c>
      <c r="X142" s="82">
        <f t="shared" si="188"/>
        <v>0</v>
      </c>
      <c r="Y142" s="82">
        <f t="shared" si="188"/>
        <v>583.89599999999996</v>
      </c>
      <c r="Z142" s="82">
        <f t="shared" si="188"/>
        <v>583.89599999999996</v>
      </c>
      <c r="AA142" s="82">
        <f t="shared" si="188"/>
        <v>583.89599999999996</v>
      </c>
      <c r="AB142" s="82">
        <f t="shared" si="188"/>
        <v>583.89599999999996</v>
      </c>
      <c r="AC142" s="82">
        <f t="shared" si="188"/>
        <v>583.89599999999996</v>
      </c>
      <c r="AD142" s="82">
        <f t="shared" si="188"/>
        <v>583.89599999999996</v>
      </c>
      <c r="AE142" s="82">
        <f t="shared" si="188"/>
        <v>0</v>
      </c>
      <c r="AF142" s="82">
        <f t="shared" si="188"/>
        <v>0</v>
      </c>
      <c r="AG142" s="82">
        <f t="shared" si="188"/>
        <v>0</v>
      </c>
      <c r="AH142" s="82">
        <f t="shared" si="188"/>
        <v>0</v>
      </c>
      <c r="AI142" s="82">
        <f t="shared" si="188"/>
        <v>0</v>
      </c>
      <c r="AJ142" s="82">
        <f t="shared" si="188"/>
        <v>0</v>
      </c>
      <c r="AK142" s="82">
        <f>AK146</f>
        <v>0</v>
      </c>
      <c r="AL142" s="79">
        <f>ROUND((Q142*100%/P142*100),2)</f>
        <v>679.34</v>
      </c>
      <c r="AM142" s="82">
        <f>AM146</f>
        <v>0</v>
      </c>
      <c r="AN142" s="82">
        <f>AN146</f>
        <v>0</v>
      </c>
      <c r="AO142" s="411" t="s">
        <v>306</v>
      </c>
    </row>
    <row r="143" spans="1:41" s="292" customFormat="1" ht="17.25" customHeight="1">
      <c r="A143" s="813"/>
      <c r="B143" s="42" t="s">
        <v>294</v>
      </c>
      <c r="C143" s="320"/>
      <c r="D143" s="320"/>
      <c r="E143" s="320"/>
      <c r="F143" s="320"/>
      <c r="G143" s="320"/>
      <c r="H143" s="321"/>
      <c r="I143" s="822"/>
      <c r="J143" s="75"/>
      <c r="K143" s="47"/>
      <c r="L143" s="47">
        <v>593.95000000000005</v>
      </c>
      <c r="M143" s="47">
        <v>0</v>
      </c>
      <c r="N143" s="47">
        <v>0</v>
      </c>
      <c r="O143" s="47">
        <v>0</v>
      </c>
      <c r="P143" s="47">
        <v>85.95</v>
      </c>
      <c r="Q143" s="47">
        <f t="shared" ref="Q143:X143" si="189">SUM(Q144:Q145)</f>
        <v>583.89599999999996</v>
      </c>
      <c r="R143" s="47">
        <f t="shared" si="189"/>
        <v>0</v>
      </c>
      <c r="S143" s="47">
        <f t="shared" si="189"/>
        <v>0</v>
      </c>
      <c r="T143" s="47">
        <f t="shared" si="189"/>
        <v>0</v>
      </c>
      <c r="U143" s="47">
        <f t="shared" si="189"/>
        <v>0</v>
      </c>
      <c r="V143" s="47">
        <f t="shared" si="189"/>
        <v>0</v>
      </c>
      <c r="W143" s="47">
        <f t="shared" si="189"/>
        <v>0</v>
      </c>
      <c r="X143" s="47">
        <f t="shared" si="189"/>
        <v>0</v>
      </c>
      <c r="Y143" s="47">
        <f>SUM(Y144:Y145)</f>
        <v>583.89599999999996</v>
      </c>
      <c r="Z143" s="47">
        <f t="shared" ref="Z143:AC143" si="190">SUM(Z144:Z145)</f>
        <v>583.89599999999996</v>
      </c>
      <c r="AA143" s="47">
        <f t="shared" si="190"/>
        <v>583.89599999999996</v>
      </c>
      <c r="AB143" s="47">
        <f t="shared" si="190"/>
        <v>583.89599999999996</v>
      </c>
      <c r="AC143" s="47">
        <f t="shared" si="190"/>
        <v>583.89599999999996</v>
      </c>
      <c r="AD143" s="47">
        <f>SUM(AD144:AD145)</f>
        <v>583.89599999999996</v>
      </c>
      <c r="AE143" s="47">
        <f>AE146</f>
        <v>0</v>
      </c>
      <c r="AF143" s="47">
        <f>AF146</f>
        <v>0</v>
      </c>
      <c r="AG143" s="47">
        <f>AG146</f>
        <v>0</v>
      </c>
      <c r="AH143" s="47">
        <f>AH146</f>
        <v>0</v>
      </c>
      <c r="AI143" s="47">
        <f>AI146</f>
        <v>0</v>
      </c>
      <c r="AJ143" s="47">
        <v>0</v>
      </c>
      <c r="AK143" s="47">
        <v>0</v>
      </c>
      <c r="AL143" s="47">
        <v>0</v>
      </c>
      <c r="AM143" s="47">
        <v>0</v>
      </c>
      <c r="AN143" s="47">
        <v>0</v>
      </c>
      <c r="AO143" s="403"/>
    </row>
    <row r="144" spans="1:41" s="273" customFormat="1" ht="17.25" hidden="1" customHeight="1">
      <c r="A144" s="813"/>
      <c r="B144" s="257" t="s">
        <v>431</v>
      </c>
      <c r="C144" s="371"/>
      <c r="D144" s="371"/>
      <c r="E144" s="371"/>
      <c r="F144" s="371"/>
      <c r="G144" s="371"/>
      <c r="H144" s="372"/>
      <c r="I144" s="822"/>
      <c r="J144" s="263"/>
      <c r="K144" s="99"/>
      <c r="L144" s="99"/>
      <c r="M144" s="99"/>
      <c r="N144" s="99"/>
      <c r="O144" s="99"/>
      <c r="P144" s="99"/>
      <c r="Q144" s="99">
        <v>489</v>
      </c>
      <c r="R144" s="99"/>
      <c r="S144" s="99"/>
      <c r="T144" s="99"/>
      <c r="U144" s="99"/>
      <c r="V144" s="99"/>
      <c r="W144" s="99"/>
      <c r="X144" s="99"/>
      <c r="Y144" s="99">
        <v>489</v>
      </c>
      <c r="Z144" s="99">
        <v>489</v>
      </c>
      <c r="AA144" s="99">
        <v>489</v>
      </c>
      <c r="AB144" s="99">
        <v>489</v>
      </c>
      <c r="AC144" s="99">
        <v>489</v>
      </c>
      <c r="AD144" s="99">
        <v>489</v>
      </c>
      <c r="AE144" s="99"/>
      <c r="AF144" s="99"/>
      <c r="AG144" s="99"/>
      <c r="AH144" s="99"/>
      <c r="AI144" s="99"/>
      <c r="AJ144" s="99"/>
      <c r="AK144" s="99"/>
      <c r="AL144" s="99"/>
      <c r="AM144" s="99"/>
      <c r="AN144" s="99"/>
      <c r="AO144" s="412"/>
    </row>
    <row r="145" spans="1:41" s="273" customFormat="1" ht="17.25" hidden="1" customHeight="1">
      <c r="A145" s="813"/>
      <c r="B145" s="257" t="s">
        <v>432</v>
      </c>
      <c r="C145" s="371"/>
      <c r="D145" s="371"/>
      <c r="E145" s="371"/>
      <c r="F145" s="371"/>
      <c r="G145" s="371"/>
      <c r="H145" s="372"/>
      <c r="I145" s="822"/>
      <c r="J145" s="263"/>
      <c r="K145" s="99"/>
      <c r="L145" s="99"/>
      <c r="M145" s="99"/>
      <c r="N145" s="99"/>
      <c r="O145" s="99"/>
      <c r="P145" s="99"/>
      <c r="Q145" s="99">
        <v>94.896000000000001</v>
      </c>
      <c r="R145" s="99"/>
      <c r="S145" s="99"/>
      <c r="T145" s="99"/>
      <c r="U145" s="99"/>
      <c r="V145" s="99"/>
      <c r="W145" s="99"/>
      <c r="X145" s="99"/>
      <c r="Y145" s="99">
        <v>94.896000000000001</v>
      </c>
      <c r="Z145" s="99">
        <v>94.896000000000001</v>
      </c>
      <c r="AA145" s="99">
        <v>94.896000000000001</v>
      </c>
      <c r="AB145" s="99">
        <v>94.896000000000001</v>
      </c>
      <c r="AC145" s="99">
        <v>94.896000000000001</v>
      </c>
      <c r="AD145" s="99">
        <v>94.896000000000001</v>
      </c>
      <c r="AE145" s="99"/>
      <c r="AF145" s="99"/>
      <c r="AG145" s="99"/>
      <c r="AH145" s="99"/>
      <c r="AI145" s="99"/>
      <c r="AJ145" s="99"/>
      <c r="AK145" s="99"/>
      <c r="AL145" s="99"/>
      <c r="AM145" s="99"/>
      <c r="AN145" s="99"/>
      <c r="AO145" s="412"/>
    </row>
    <row r="146" spans="1:41" s="292" customFormat="1" ht="17.25" customHeight="1">
      <c r="A146" s="877"/>
      <c r="B146" s="42" t="s">
        <v>296</v>
      </c>
      <c r="C146" s="320"/>
      <c r="D146" s="320"/>
      <c r="E146" s="320"/>
      <c r="F146" s="320"/>
      <c r="G146" s="320"/>
      <c r="H146" s="321"/>
      <c r="I146" s="877"/>
      <c r="J146" s="75"/>
      <c r="K146" s="47"/>
      <c r="L146" s="47">
        <v>2312.4299999999998</v>
      </c>
      <c r="M146" s="47">
        <v>0</v>
      </c>
      <c r="N146" s="47">
        <v>0</v>
      </c>
      <c r="O146" s="47">
        <v>0</v>
      </c>
      <c r="P146" s="47">
        <v>0</v>
      </c>
      <c r="Q146" s="47">
        <f t="shared" ref="Q146:AI146" si="191">Q152</f>
        <v>0</v>
      </c>
      <c r="R146" s="47">
        <f t="shared" si="191"/>
        <v>0</v>
      </c>
      <c r="S146" s="47">
        <f t="shared" si="191"/>
        <v>0</v>
      </c>
      <c r="T146" s="47">
        <f t="shared" si="191"/>
        <v>0</v>
      </c>
      <c r="U146" s="47">
        <f t="shared" si="191"/>
        <v>0</v>
      </c>
      <c r="V146" s="47">
        <f t="shared" si="191"/>
        <v>0</v>
      </c>
      <c r="W146" s="47">
        <f t="shared" si="191"/>
        <v>0</v>
      </c>
      <c r="X146" s="47">
        <f t="shared" si="191"/>
        <v>0</v>
      </c>
      <c r="Y146" s="47">
        <f t="shared" si="191"/>
        <v>0</v>
      </c>
      <c r="Z146" s="47">
        <f t="shared" si="191"/>
        <v>0</v>
      </c>
      <c r="AA146" s="47">
        <f t="shared" si="191"/>
        <v>0</v>
      </c>
      <c r="AB146" s="47">
        <f t="shared" si="191"/>
        <v>0</v>
      </c>
      <c r="AC146" s="47">
        <f t="shared" si="191"/>
        <v>0</v>
      </c>
      <c r="AD146" s="47">
        <f t="shared" si="191"/>
        <v>0</v>
      </c>
      <c r="AE146" s="47">
        <f t="shared" si="191"/>
        <v>0</v>
      </c>
      <c r="AF146" s="47">
        <f t="shared" si="191"/>
        <v>0</v>
      </c>
      <c r="AG146" s="47">
        <f t="shared" si="191"/>
        <v>0</v>
      </c>
      <c r="AH146" s="47">
        <f t="shared" si="191"/>
        <v>0</v>
      </c>
      <c r="AI146" s="47">
        <f t="shared" si="191"/>
        <v>0</v>
      </c>
      <c r="AJ146" s="47">
        <v>0</v>
      </c>
      <c r="AK146" s="47">
        <v>0</v>
      </c>
      <c r="AL146" s="47">
        <v>0</v>
      </c>
      <c r="AM146" s="47">
        <v>0</v>
      </c>
      <c r="AN146" s="47">
        <v>0</v>
      </c>
      <c r="AO146" s="403"/>
    </row>
    <row r="147" spans="1:41" s="292" customFormat="1" ht="66.75" customHeight="1">
      <c r="A147" s="812" t="s">
        <v>391</v>
      </c>
      <c r="B147" s="83" t="s">
        <v>392</v>
      </c>
      <c r="C147" s="322"/>
      <c r="D147" s="322"/>
      <c r="E147" s="322"/>
      <c r="F147" s="322"/>
      <c r="G147" s="323"/>
      <c r="H147" s="324"/>
      <c r="I147" s="820" t="s">
        <v>20</v>
      </c>
      <c r="J147" s="291"/>
      <c r="K147" s="175"/>
      <c r="L147" s="82">
        <f>L151+L148</f>
        <v>3502.5499999999997</v>
      </c>
      <c r="M147" s="82">
        <f t="shared" ref="M147" si="192">M151+M148</f>
        <v>0</v>
      </c>
      <c r="N147" s="82">
        <f t="shared" ref="N147" si="193">N151+N148</f>
        <v>0</v>
      </c>
      <c r="O147" s="82">
        <f t="shared" ref="O147" si="194">O151+O148</f>
        <v>0</v>
      </c>
      <c r="P147" s="82">
        <f t="shared" ref="P147" si="195">P151+P148</f>
        <v>79.08</v>
      </c>
      <c r="Q147" s="82">
        <f t="shared" ref="Q147" si="196">Q151+Q148</f>
        <v>593.95000000000005</v>
      </c>
      <c r="R147" s="82">
        <f t="shared" ref="R147" si="197">R151+R148</f>
        <v>0</v>
      </c>
      <c r="S147" s="82">
        <f t="shared" ref="S147" si="198">S151+S148</f>
        <v>0</v>
      </c>
      <c r="T147" s="82">
        <f t="shared" ref="T147" si="199">T151+T148</f>
        <v>0</v>
      </c>
      <c r="U147" s="82">
        <f t="shared" ref="U147" si="200">U151+U148</f>
        <v>0</v>
      </c>
      <c r="V147" s="82">
        <f t="shared" ref="V147" si="201">V151+V148</f>
        <v>0</v>
      </c>
      <c r="W147" s="82">
        <f t="shared" ref="W147" si="202">W151+W148</f>
        <v>0</v>
      </c>
      <c r="X147" s="82">
        <f t="shared" ref="X147" si="203">X151+X148</f>
        <v>0</v>
      </c>
      <c r="Y147" s="82">
        <f t="shared" ref="Y147" si="204">Y151+Y148</f>
        <v>593.95000000000005</v>
      </c>
      <c r="Z147" s="82">
        <f t="shared" ref="Z147" si="205">Z151+Z148</f>
        <v>593.95000000000005</v>
      </c>
      <c r="AA147" s="82">
        <f t="shared" ref="AA147" si="206">AA151+AA148</f>
        <v>0</v>
      </c>
      <c r="AB147" s="82">
        <f t="shared" ref="AB147" si="207">AB151+AB148</f>
        <v>0</v>
      </c>
      <c r="AC147" s="82">
        <f t="shared" ref="AC147" si="208">AC151+AC148</f>
        <v>0</v>
      </c>
      <c r="AD147" s="82">
        <f t="shared" ref="AD147" si="209">AD151+AD148</f>
        <v>593.95000000000005</v>
      </c>
      <c r="AE147" s="82">
        <f t="shared" ref="AE147" si="210">AE151+AE148</f>
        <v>0</v>
      </c>
      <c r="AF147" s="82">
        <f t="shared" ref="AF147" si="211">AF151+AF148</f>
        <v>0</v>
      </c>
      <c r="AG147" s="82">
        <f t="shared" ref="AG147" si="212">AG151+AG148</f>
        <v>0</v>
      </c>
      <c r="AH147" s="82">
        <f t="shared" ref="AH147" si="213">AH151+AH148</f>
        <v>0</v>
      </c>
      <c r="AI147" s="82">
        <f t="shared" ref="AI147" si="214">AI151+AI148</f>
        <v>0</v>
      </c>
      <c r="AJ147" s="82">
        <f t="shared" ref="AJ147" si="215">AJ151+AJ148</f>
        <v>0</v>
      </c>
      <c r="AK147" s="82">
        <f>AK151</f>
        <v>0</v>
      </c>
      <c r="AL147" s="79">
        <f>ROUND((Q147*100%/P147*100),2)</f>
        <v>751.07</v>
      </c>
      <c r="AM147" s="82">
        <f>AM151</f>
        <v>0</v>
      </c>
      <c r="AN147" s="82">
        <f>AN151</f>
        <v>0</v>
      </c>
      <c r="AO147" s="411" t="s">
        <v>306</v>
      </c>
    </row>
    <row r="148" spans="1:41" s="292" customFormat="1" ht="17.25" customHeight="1">
      <c r="A148" s="813"/>
      <c r="B148" s="42" t="s">
        <v>294</v>
      </c>
      <c r="C148" s="320"/>
      <c r="D148" s="320"/>
      <c r="E148" s="320"/>
      <c r="F148" s="320"/>
      <c r="G148" s="320"/>
      <c r="H148" s="321"/>
      <c r="I148" s="822"/>
      <c r="J148" s="75"/>
      <c r="K148" s="47"/>
      <c r="L148" s="47">
        <v>568.08000000000004</v>
      </c>
      <c r="M148" s="47">
        <v>0</v>
      </c>
      <c r="N148" s="47">
        <v>0</v>
      </c>
      <c r="O148" s="47">
        <v>0</v>
      </c>
      <c r="P148" s="47">
        <v>79.08</v>
      </c>
      <c r="Q148" s="47">
        <f t="shared" ref="Q148:X148" si="216">SUM(Q149:Q150)</f>
        <v>593.95000000000005</v>
      </c>
      <c r="R148" s="47">
        <f t="shared" si="216"/>
        <v>0</v>
      </c>
      <c r="S148" s="47">
        <f t="shared" si="216"/>
        <v>0</v>
      </c>
      <c r="T148" s="47">
        <f t="shared" si="216"/>
        <v>0</v>
      </c>
      <c r="U148" s="47">
        <f t="shared" si="216"/>
        <v>0</v>
      </c>
      <c r="V148" s="47">
        <f t="shared" si="216"/>
        <v>0</v>
      </c>
      <c r="W148" s="47">
        <f t="shared" si="216"/>
        <v>0</v>
      </c>
      <c r="X148" s="47">
        <f t="shared" si="216"/>
        <v>0</v>
      </c>
      <c r="Y148" s="47">
        <f>SUM(Y149:Y150)</f>
        <v>593.95000000000005</v>
      </c>
      <c r="Z148" s="47">
        <f t="shared" ref="Z148:AC148" si="217">SUM(Z149:Z150)</f>
        <v>593.95000000000005</v>
      </c>
      <c r="AA148" s="47">
        <f t="shared" si="217"/>
        <v>0</v>
      </c>
      <c r="AB148" s="47">
        <f t="shared" si="217"/>
        <v>0</v>
      </c>
      <c r="AC148" s="47">
        <f t="shared" si="217"/>
        <v>0</v>
      </c>
      <c r="AD148" s="47">
        <f>SUM(AD149:AD150)</f>
        <v>593.95000000000005</v>
      </c>
      <c r="AE148" s="47">
        <f>AE151</f>
        <v>0</v>
      </c>
      <c r="AF148" s="47">
        <f>AF151</f>
        <v>0</v>
      </c>
      <c r="AG148" s="47">
        <f>AG151</f>
        <v>0</v>
      </c>
      <c r="AH148" s="47">
        <f>AH151</f>
        <v>0</v>
      </c>
      <c r="AI148" s="47">
        <f>AI151</f>
        <v>0</v>
      </c>
      <c r="AJ148" s="47">
        <v>0</v>
      </c>
      <c r="AK148" s="47">
        <v>0</v>
      </c>
      <c r="AL148" s="47">
        <v>0</v>
      </c>
      <c r="AM148" s="47">
        <v>0</v>
      </c>
      <c r="AN148" s="47">
        <v>0</v>
      </c>
      <c r="AO148" s="403"/>
    </row>
    <row r="149" spans="1:41" s="273" customFormat="1" ht="17.25" hidden="1" customHeight="1">
      <c r="A149" s="813"/>
      <c r="B149" s="257" t="s">
        <v>431</v>
      </c>
      <c r="C149" s="371"/>
      <c r="D149" s="371"/>
      <c r="E149" s="371"/>
      <c r="F149" s="371"/>
      <c r="G149" s="371"/>
      <c r="H149" s="372"/>
      <c r="I149" s="822"/>
      <c r="J149" s="263"/>
      <c r="K149" s="99"/>
      <c r="L149" s="99"/>
      <c r="M149" s="99"/>
      <c r="N149" s="99"/>
      <c r="O149" s="99"/>
      <c r="P149" s="99"/>
      <c r="Q149" s="99">
        <f>Y149</f>
        <v>508</v>
      </c>
      <c r="R149" s="99"/>
      <c r="S149" s="99"/>
      <c r="T149" s="99"/>
      <c r="U149" s="99"/>
      <c r="V149" s="99"/>
      <c r="W149" s="99"/>
      <c r="X149" s="99"/>
      <c r="Y149" s="99">
        <v>508</v>
      </c>
      <c r="Z149" s="99">
        <f>AD149</f>
        <v>508</v>
      </c>
      <c r="AA149" s="99"/>
      <c r="AB149" s="99"/>
      <c r="AC149" s="99"/>
      <c r="AD149" s="99">
        <v>508</v>
      </c>
      <c r="AE149" s="99"/>
      <c r="AF149" s="99"/>
      <c r="AG149" s="99"/>
      <c r="AH149" s="99"/>
      <c r="AI149" s="99"/>
      <c r="AJ149" s="99"/>
      <c r="AK149" s="99"/>
      <c r="AL149" s="99"/>
      <c r="AM149" s="99"/>
      <c r="AN149" s="99"/>
      <c r="AO149" s="412"/>
    </row>
    <row r="150" spans="1:41" s="273" customFormat="1" ht="17.25" hidden="1" customHeight="1">
      <c r="A150" s="813"/>
      <c r="B150" s="257" t="s">
        <v>432</v>
      </c>
      <c r="C150" s="371"/>
      <c r="D150" s="371"/>
      <c r="E150" s="371"/>
      <c r="F150" s="371"/>
      <c r="G150" s="371"/>
      <c r="H150" s="372"/>
      <c r="I150" s="822"/>
      <c r="J150" s="263"/>
      <c r="K150" s="99"/>
      <c r="L150" s="99"/>
      <c r="M150" s="99"/>
      <c r="N150" s="99"/>
      <c r="O150" s="99"/>
      <c r="P150" s="99"/>
      <c r="Q150" s="99">
        <f>Y150</f>
        <v>85.95</v>
      </c>
      <c r="R150" s="99"/>
      <c r="S150" s="99"/>
      <c r="T150" s="99"/>
      <c r="U150" s="99"/>
      <c r="V150" s="99"/>
      <c r="W150" s="99"/>
      <c r="X150" s="99"/>
      <c r="Y150" s="99">
        <v>85.95</v>
      </c>
      <c r="Z150" s="99">
        <f>AD150</f>
        <v>85.95</v>
      </c>
      <c r="AA150" s="99"/>
      <c r="AB150" s="99"/>
      <c r="AC150" s="99"/>
      <c r="AD150" s="99">
        <v>85.95</v>
      </c>
      <c r="AE150" s="99"/>
      <c r="AF150" s="99"/>
      <c r="AG150" s="99"/>
      <c r="AH150" s="99"/>
      <c r="AI150" s="99"/>
      <c r="AJ150" s="99"/>
      <c r="AK150" s="99"/>
      <c r="AL150" s="99"/>
      <c r="AM150" s="99"/>
      <c r="AN150" s="99"/>
      <c r="AO150" s="412"/>
    </row>
    <row r="151" spans="1:41" s="292" customFormat="1" ht="17.25" customHeight="1">
      <c r="A151" s="877"/>
      <c r="B151" s="42" t="s">
        <v>296</v>
      </c>
      <c r="C151" s="320"/>
      <c r="D151" s="320"/>
      <c r="E151" s="320"/>
      <c r="F151" s="320"/>
      <c r="G151" s="320"/>
      <c r="H151" s="321"/>
      <c r="I151" s="877"/>
      <c r="J151" s="75"/>
      <c r="K151" s="47"/>
      <c r="L151" s="47">
        <v>2934.47</v>
      </c>
      <c r="M151" s="47">
        <v>0</v>
      </c>
      <c r="N151" s="47">
        <v>0</v>
      </c>
      <c r="O151" s="47">
        <v>0</v>
      </c>
      <c r="P151" s="47">
        <v>0</v>
      </c>
      <c r="Q151" s="47">
        <f t="shared" ref="Q151:AI151" si="218">Q155</f>
        <v>0</v>
      </c>
      <c r="R151" s="47">
        <f t="shared" si="218"/>
        <v>0</v>
      </c>
      <c r="S151" s="47">
        <f t="shared" si="218"/>
        <v>0</v>
      </c>
      <c r="T151" s="47">
        <f t="shared" si="218"/>
        <v>0</v>
      </c>
      <c r="U151" s="47">
        <f t="shared" si="218"/>
        <v>0</v>
      </c>
      <c r="V151" s="47">
        <f t="shared" si="218"/>
        <v>0</v>
      </c>
      <c r="W151" s="47">
        <f t="shared" si="218"/>
        <v>0</v>
      </c>
      <c r="X151" s="47">
        <f t="shared" si="218"/>
        <v>0</v>
      </c>
      <c r="Y151" s="47">
        <f t="shared" si="218"/>
        <v>0</v>
      </c>
      <c r="Z151" s="47">
        <f t="shared" si="218"/>
        <v>0</v>
      </c>
      <c r="AA151" s="47">
        <f t="shared" si="218"/>
        <v>0</v>
      </c>
      <c r="AB151" s="47">
        <f t="shared" si="218"/>
        <v>0</v>
      </c>
      <c r="AC151" s="47">
        <f t="shared" si="218"/>
        <v>0</v>
      </c>
      <c r="AD151" s="47">
        <f t="shared" si="218"/>
        <v>0</v>
      </c>
      <c r="AE151" s="47">
        <f t="shared" si="218"/>
        <v>0</v>
      </c>
      <c r="AF151" s="47">
        <f t="shared" si="218"/>
        <v>0</v>
      </c>
      <c r="AG151" s="47">
        <f t="shared" si="218"/>
        <v>0</v>
      </c>
      <c r="AH151" s="47">
        <f t="shared" si="218"/>
        <v>0</v>
      </c>
      <c r="AI151" s="47">
        <f t="shared" si="218"/>
        <v>0</v>
      </c>
      <c r="AJ151" s="47">
        <v>0</v>
      </c>
      <c r="AK151" s="47">
        <v>0</v>
      </c>
      <c r="AL151" s="47">
        <v>0</v>
      </c>
      <c r="AM151" s="47">
        <v>0</v>
      </c>
      <c r="AN151" s="47">
        <v>0</v>
      </c>
      <c r="AO151" s="403"/>
    </row>
    <row r="152" spans="1:41" ht="54" customHeight="1">
      <c r="A152" s="833" t="s">
        <v>60</v>
      </c>
      <c r="B152" s="889" t="s">
        <v>45</v>
      </c>
      <c r="C152" s="890"/>
      <c r="D152" s="890"/>
      <c r="E152" s="890"/>
      <c r="F152" s="890"/>
      <c r="G152" s="890"/>
      <c r="H152" s="891"/>
      <c r="I152" s="15" t="s">
        <v>19</v>
      </c>
      <c r="J152" s="16">
        <v>0</v>
      </c>
      <c r="K152" s="16">
        <f t="shared" ref="K152" si="219">K155</f>
        <v>0</v>
      </c>
      <c r="L152" s="16">
        <f t="shared" ref="L152:L155" si="220">M152+N152+O152</f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0</v>
      </c>
      <c r="W152" s="22">
        <v>0</v>
      </c>
      <c r="X152" s="22">
        <v>0</v>
      </c>
      <c r="Y152" s="22">
        <v>0</v>
      </c>
      <c r="Z152" s="22">
        <v>0</v>
      </c>
      <c r="AA152" s="22">
        <v>0</v>
      </c>
      <c r="AB152" s="22">
        <v>0</v>
      </c>
      <c r="AC152" s="22">
        <v>0</v>
      </c>
      <c r="AD152" s="22">
        <v>0</v>
      </c>
      <c r="AE152" s="22">
        <v>0</v>
      </c>
      <c r="AF152" s="22">
        <v>0</v>
      </c>
      <c r="AG152" s="22">
        <v>0</v>
      </c>
      <c r="AH152" s="22">
        <v>0</v>
      </c>
      <c r="AI152" s="22">
        <v>0</v>
      </c>
      <c r="AJ152" s="22">
        <v>0</v>
      </c>
      <c r="AK152" s="22">
        <v>0</v>
      </c>
      <c r="AL152" s="22">
        <v>0</v>
      </c>
      <c r="AM152" s="22">
        <v>0</v>
      </c>
      <c r="AN152" s="22">
        <v>0</v>
      </c>
      <c r="AO152" s="404"/>
    </row>
    <row r="153" spans="1:41" ht="42.75" customHeight="1">
      <c r="A153" s="834"/>
      <c r="B153" s="892"/>
      <c r="C153" s="893"/>
      <c r="D153" s="893"/>
      <c r="E153" s="893"/>
      <c r="F153" s="893"/>
      <c r="G153" s="893"/>
      <c r="H153" s="894"/>
      <c r="I153" s="15" t="s">
        <v>20</v>
      </c>
      <c r="J153" s="16">
        <f t="shared" ref="J153" si="221">J156</f>
        <v>4106.3500000000004</v>
      </c>
      <c r="K153" s="16">
        <v>0</v>
      </c>
      <c r="L153" s="16">
        <f>L156</f>
        <v>6022.96</v>
      </c>
      <c r="M153" s="16">
        <f>M156</f>
        <v>0</v>
      </c>
      <c r="N153" s="22">
        <f t="shared" ref="N153:O153" si="222">N156</f>
        <v>980</v>
      </c>
      <c r="O153" s="16">
        <f t="shared" si="222"/>
        <v>0</v>
      </c>
      <c r="P153" s="22">
        <f t="shared" ref="P153:AN153" si="223">P156</f>
        <v>4622.4799999999996</v>
      </c>
      <c r="Q153" s="22">
        <f t="shared" si="223"/>
        <v>980</v>
      </c>
      <c r="R153" s="22">
        <f t="shared" si="223"/>
        <v>0</v>
      </c>
      <c r="S153" s="22">
        <f t="shared" si="223"/>
        <v>0</v>
      </c>
      <c r="T153" s="22">
        <f t="shared" si="223"/>
        <v>980</v>
      </c>
      <c r="U153" s="22">
        <f t="shared" si="223"/>
        <v>980</v>
      </c>
      <c r="V153" s="22">
        <f t="shared" si="223"/>
        <v>0</v>
      </c>
      <c r="W153" s="22">
        <f t="shared" si="223"/>
        <v>0</v>
      </c>
      <c r="X153" s="22">
        <f t="shared" si="223"/>
        <v>0</v>
      </c>
      <c r="Y153" s="22">
        <f t="shared" si="223"/>
        <v>0</v>
      </c>
      <c r="Z153" s="22">
        <f t="shared" si="223"/>
        <v>0</v>
      </c>
      <c r="AA153" s="22">
        <f t="shared" si="223"/>
        <v>0</v>
      </c>
      <c r="AB153" s="22">
        <f t="shared" ref="AB153:AD153" si="224">AB156</f>
        <v>0</v>
      </c>
      <c r="AC153" s="22">
        <f t="shared" si="224"/>
        <v>0</v>
      </c>
      <c r="AD153" s="22">
        <f t="shared" si="224"/>
        <v>0</v>
      </c>
      <c r="AE153" s="22">
        <f t="shared" si="223"/>
        <v>0</v>
      </c>
      <c r="AF153" s="22">
        <f t="shared" ref="AF153" si="225">AF156</f>
        <v>0</v>
      </c>
      <c r="AG153" s="22">
        <f t="shared" ref="AG153:AH153" si="226">AG156</f>
        <v>0</v>
      </c>
      <c r="AH153" s="22">
        <f t="shared" si="226"/>
        <v>0</v>
      </c>
      <c r="AI153" s="22">
        <f t="shared" ref="AI153" si="227">AI156</f>
        <v>0</v>
      </c>
      <c r="AJ153" s="22">
        <f t="shared" si="223"/>
        <v>3642.4799999999996</v>
      </c>
      <c r="AK153" s="22">
        <f t="shared" si="223"/>
        <v>3642.4799999999996</v>
      </c>
      <c r="AL153" s="22">
        <f t="shared" si="223"/>
        <v>21.2</v>
      </c>
      <c r="AM153" s="22">
        <f t="shared" si="223"/>
        <v>0</v>
      </c>
      <c r="AN153" s="22">
        <f t="shared" si="223"/>
        <v>0</v>
      </c>
      <c r="AO153" s="404"/>
    </row>
    <row r="154" spans="1:41" ht="25.5">
      <c r="A154" s="834"/>
      <c r="B154" s="892"/>
      <c r="C154" s="893"/>
      <c r="D154" s="893"/>
      <c r="E154" s="893"/>
      <c r="F154" s="893"/>
      <c r="G154" s="893"/>
      <c r="H154" s="894"/>
      <c r="I154" s="15" t="s">
        <v>10</v>
      </c>
      <c r="J154" s="16">
        <v>0</v>
      </c>
      <c r="K154" s="16">
        <v>0</v>
      </c>
      <c r="L154" s="16">
        <f t="shared" si="220"/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  <c r="Z154" s="22">
        <v>0</v>
      </c>
      <c r="AA154" s="22">
        <v>0</v>
      </c>
      <c r="AB154" s="22">
        <v>0</v>
      </c>
      <c r="AC154" s="22">
        <v>0</v>
      </c>
      <c r="AD154" s="22">
        <v>0</v>
      </c>
      <c r="AE154" s="22">
        <v>0</v>
      </c>
      <c r="AF154" s="22">
        <v>0</v>
      </c>
      <c r="AG154" s="22">
        <v>0</v>
      </c>
      <c r="AH154" s="22">
        <v>0</v>
      </c>
      <c r="AI154" s="22">
        <v>0</v>
      </c>
      <c r="AJ154" s="22">
        <v>0</v>
      </c>
      <c r="AK154" s="22">
        <v>0</v>
      </c>
      <c r="AL154" s="22">
        <v>0</v>
      </c>
      <c r="AM154" s="22">
        <v>0</v>
      </c>
      <c r="AN154" s="22">
        <v>0</v>
      </c>
      <c r="AO154" s="404"/>
    </row>
    <row r="155" spans="1:41" ht="176.25" customHeight="1">
      <c r="A155" s="835"/>
      <c r="B155" s="895"/>
      <c r="C155" s="896"/>
      <c r="D155" s="896"/>
      <c r="E155" s="896"/>
      <c r="F155" s="896"/>
      <c r="G155" s="896"/>
      <c r="H155" s="897"/>
      <c r="I155" s="15" t="s">
        <v>9</v>
      </c>
      <c r="J155" s="16">
        <v>0</v>
      </c>
      <c r="K155" s="16"/>
      <c r="L155" s="16">
        <f t="shared" si="220"/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  <c r="V155" s="22">
        <v>0</v>
      </c>
      <c r="W155" s="22">
        <v>0</v>
      </c>
      <c r="X155" s="22">
        <v>0</v>
      </c>
      <c r="Y155" s="22">
        <v>0</v>
      </c>
      <c r="Z155" s="22">
        <v>0</v>
      </c>
      <c r="AA155" s="22">
        <v>0</v>
      </c>
      <c r="AB155" s="22">
        <v>0</v>
      </c>
      <c r="AC155" s="22">
        <v>0</v>
      </c>
      <c r="AD155" s="22">
        <v>0</v>
      </c>
      <c r="AE155" s="22">
        <v>0</v>
      </c>
      <c r="AF155" s="22">
        <v>0</v>
      </c>
      <c r="AG155" s="22">
        <v>0</v>
      </c>
      <c r="AH155" s="22">
        <v>0</v>
      </c>
      <c r="AI155" s="22">
        <v>0</v>
      </c>
      <c r="AJ155" s="22">
        <v>0</v>
      </c>
      <c r="AK155" s="22">
        <v>0</v>
      </c>
      <c r="AL155" s="22">
        <v>0</v>
      </c>
      <c r="AM155" s="22">
        <v>0</v>
      </c>
      <c r="AN155" s="22">
        <v>0</v>
      </c>
      <c r="AO155" s="404"/>
    </row>
    <row r="156" spans="1:41" ht="54" customHeight="1">
      <c r="A156" s="812" t="s">
        <v>61</v>
      </c>
      <c r="B156" s="78" t="s">
        <v>88</v>
      </c>
      <c r="C156" s="46"/>
      <c r="D156" s="46"/>
      <c r="E156" s="46"/>
      <c r="F156" s="46"/>
      <c r="G156" s="46"/>
      <c r="H156" s="46"/>
      <c r="I156" s="884" t="s">
        <v>20</v>
      </c>
      <c r="J156" s="809">
        <v>4106.3500000000004</v>
      </c>
      <c r="K156" s="16">
        <v>0</v>
      </c>
      <c r="L156" s="82">
        <f>L157+L160</f>
        <v>6022.96</v>
      </c>
      <c r="M156" s="82">
        <f>M157+M160</f>
        <v>0</v>
      </c>
      <c r="N156" s="82">
        <f t="shared" ref="N156:O156" si="228">N157+N160</f>
        <v>980</v>
      </c>
      <c r="O156" s="82">
        <f t="shared" si="228"/>
        <v>0</v>
      </c>
      <c r="P156" s="82">
        <f>P157+P160</f>
        <v>4622.4799999999996</v>
      </c>
      <c r="Q156" s="82">
        <f t="shared" ref="Q156:AN156" si="229">Q157+Q160</f>
        <v>980</v>
      </c>
      <c r="R156" s="82">
        <f t="shared" si="229"/>
        <v>0</v>
      </c>
      <c r="S156" s="82">
        <f t="shared" si="229"/>
        <v>0</v>
      </c>
      <c r="T156" s="82">
        <f t="shared" si="229"/>
        <v>980</v>
      </c>
      <c r="U156" s="82">
        <f t="shared" si="229"/>
        <v>980</v>
      </c>
      <c r="V156" s="82">
        <f t="shared" si="229"/>
        <v>0</v>
      </c>
      <c r="W156" s="82">
        <f t="shared" si="229"/>
        <v>0</v>
      </c>
      <c r="X156" s="82">
        <f t="shared" si="229"/>
        <v>0</v>
      </c>
      <c r="Y156" s="82">
        <f t="shared" si="229"/>
        <v>0</v>
      </c>
      <c r="Z156" s="82">
        <f t="shared" si="229"/>
        <v>0</v>
      </c>
      <c r="AA156" s="82">
        <f>AA157+AA160</f>
        <v>0</v>
      </c>
      <c r="AB156" s="82">
        <f>AB157+AB160</f>
        <v>0</v>
      </c>
      <c r="AC156" s="82">
        <f t="shared" ref="AC156:AD156" si="230">AC157+AC160</f>
        <v>0</v>
      </c>
      <c r="AD156" s="82">
        <f t="shared" si="230"/>
        <v>0</v>
      </c>
      <c r="AE156" s="82">
        <f t="shared" si="229"/>
        <v>0</v>
      </c>
      <c r="AF156" s="82">
        <f t="shared" si="229"/>
        <v>0</v>
      </c>
      <c r="AG156" s="82">
        <f t="shared" si="229"/>
        <v>0</v>
      </c>
      <c r="AH156" s="82">
        <f t="shared" ref="AH156:AI156" si="231">AH157+AH160</f>
        <v>0</v>
      </c>
      <c r="AI156" s="82">
        <f t="shared" si="231"/>
        <v>0</v>
      </c>
      <c r="AJ156" s="82">
        <f>P156-Q156</f>
        <v>3642.4799999999996</v>
      </c>
      <c r="AK156" s="82">
        <f>AJ156</f>
        <v>3642.4799999999996</v>
      </c>
      <c r="AL156" s="79">
        <f>ROUND((Q156*100%/P156*100),2)</f>
        <v>21.2</v>
      </c>
      <c r="AM156" s="82">
        <f t="shared" si="229"/>
        <v>0</v>
      </c>
      <c r="AN156" s="82">
        <f t="shared" si="229"/>
        <v>0</v>
      </c>
      <c r="AO156" s="411" t="s">
        <v>264</v>
      </c>
    </row>
    <row r="157" spans="1:41">
      <c r="A157" s="813"/>
      <c r="B157" s="23" t="s">
        <v>15</v>
      </c>
      <c r="C157" s="46"/>
      <c r="D157" s="46"/>
      <c r="E157" s="46"/>
      <c r="F157" s="46"/>
      <c r="G157" s="279">
        <v>2019</v>
      </c>
      <c r="H157" s="279">
        <v>2019</v>
      </c>
      <c r="I157" s="888"/>
      <c r="J157" s="810"/>
      <c r="K157" s="22"/>
      <c r="L157" s="22">
        <v>1000</v>
      </c>
      <c r="M157" s="47">
        <v>0</v>
      </c>
      <c r="N157" s="47">
        <v>980</v>
      </c>
      <c r="O157" s="47">
        <v>0</v>
      </c>
      <c r="P157" s="47">
        <v>20</v>
      </c>
      <c r="Q157" s="47">
        <f t="shared" ref="Q157:Z157" si="232">Q158+Q159</f>
        <v>980</v>
      </c>
      <c r="R157" s="47">
        <f t="shared" si="232"/>
        <v>0</v>
      </c>
      <c r="S157" s="47">
        <f t="shared" si="232"/>
        <v>0</v>
      </c>
      <c r="T157" s="47">
        <f t="shared" si="232"/>
        <v>980</v>
      </c>
      <c r="U157" s="47">
        <f t="shared" si="232"/>
        <v>980</v>
      </c>
      <c r="V157" s="47">
        <f t="shared" si="232"/>
        <v>0</v>
      </c>
      <c r="W157" s="47">
        <f t="shared" si="232"/>
        <v>0</v>
      </c>
      <c r="X157" s="47">
        <f t="shared" si="232"/>
        <v>0</v>
      </c>
      <c r="Y157" s="47">
        <f t="shared" si="232"/>
        <v>0</v>
      </c>
      <c r="Z157" s="47">
        <f t="shared" si="232"/>
        <v>0</v>
      </c>
      <c r="AA157" s="47">
        <f>AA158+AA159</f>
        <v>0</v>
      </c>
      <c r="AB157" s="47">
        <f>AB158+AB159</f>
        <v>0</v>
      </c>
      <c r="AC157" s="47">
        <f t="shared" ref="AC157:AD157" si="233">AC158+AC159</f>
        <v>0</v>
      </c>
      <c r="AD157" s="47">
        <f t="shared" si="233"/>
        <v>0</v>
      </c>
      <c r="AE157" s="47">
        <v>0</v>
      </c>
      <c r="AF157" s="47">
        <v>0</v>
      </c>
      <c r="AG157" s="47">
        <v>0</v>
      </c>
      <c r="AH157" s="47">
        <v>0</v>
      </c>
      <c r="AI157" s="47">
        <v>0</v>
      </c>
      <c r="AJ157" s="47">
        <v>0</v>
      </c>
      <c r="AK157" s="47">
        <v>0</v>
      </c>
      <c r="AL157" s="47">
        <v>0</v>
      </c>
      <c r="AM157" s="47">
        <v>0</v>
      </c>
      <c r="AN157" s="47">
        <v>0</v>
      </c>
      <c r="AO157" s="403"/>
    </row>
    <row r="158" spans="1:41" s="100" customFormat="1" hidden="1">
      <c r="A158" s="813"/>
      <c r="B158" s="456" t="s">
        <v>259</v>
      </c>
      <c r="C158" s="457"/>
      <c r="D158" s="457"/>
      <c r="E158" s="457"/>
      <c r="F158" s="457"/>
      <c r="G158" s="267"/>
      <c r="H158" s="267"/>
      <c r="I158" s="888"/>
      <c r="J158" s="810"/>
      <c r="K158" s="178"/>
      <c r="L158" s="178"/>
      <c r="M158" s="99"/>
      <c r="N158" s="99"/>
      <c r="O158" s="99"/>
      <c r="P158" s="99">
        <v>0</v>
      </c>
      <c r="Q158" s="99">
        <f>U158</f>
        <v>980</v>
      </c>
      <c r="R158" s="99">
        <v>0</v>
      </c>
      <c r="S158" s="99">
        <v>0</v>
      </c>
      <c r="T158" s="99">
        <f>U158</f>
        <v>980</v>
      </c>
      <c r="U158" s="99">
        <v>980</v>
      </c>
      <c r="V158" s="99"/>
      <c r="W158" s="99"/>
      <c r="X158" s="99"/>
      <c r="Y158" s="99"/>
      <c r="Z158" s="99">
        <f>AA158</f>
        <v>0</v>
      </c>
      <c r="AA158" s="99">
        <v>0</v>
      </c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412"/>
    </row>
    <row r="159" spans="1:41" s="100" customFormat="1" ht="25.5" hidden="1">
      <c r="A159" s="813"/>
      <c r="B159" s="456" t="s">
        <v>260</v>
      </c>
      <c r="C159" s="457"/>
      <c r="D159" s="457"/>
      <c r="E159" s="457"/>
      <c r="F159" s="457"/>
      <c r="G159" s="267"/>
      <c r="H159" s="267"/>
      <c r="I159" s="888"/>
      <c r="J159" s="810"/>
      <c r="K159" s="178"/>
      <c r="L159" s="178"/>
      <c r="M159" s="99"/>
      <c r="N159" s="99"/>
      <c r="O159" s="99"/>
      <c r="P159" s="99"/>
      <c r="Q159" s="99">
        <f>S159</f>
        <v>0</v>
      </c>
      <c r="R159" s="99">
        <f>S159</f>
        <v>0</v>
      </c>
      <c r="S159" s="99">
        <v>0</v>
      </c>
      <c r="T159" s="99"/>
      <c r="U159" s="99"/>
      <c r="V159" s="99"/>
      <c r="W159" s="99"/>
      <c r="X159" s="99"/>
      <c r="Y159" s="99"/>
      <c r="Z159" s="99">
        <f>AA159</f>
        <v>0</v>
      </c>
      <c r="AA159" s="99">
        <v>0</v>
      </c>
      <c r="AB159" s="99"/>
      <c r="AC159" s="99"/>
      <c r="AD159" s="99"/>
      <c r="AE159" s="99"/>
      <c r="AF159" s="99"/>
      <c r="AG159" s="99"/>
      <c r="AH159" s="99"/>
      <c r="AI159" s="99"/>
      <c r="AJ159" s="99"/>
      <c r="AK159" s="99"/>
      <c r="AL159" s="99"/>
      <c r="AM159" s="99"/>
      <c r="AN159" s="99"/>
      <c r="AO159" s="412"/>
    </row>
    <row r="160" spans="1:41">
      <c r="A160" s="814"/>
      <c r="B160" s="23" t="s">
        <v>16</v>
      </c>
      <c r="C160" s="46"/>
      <c r="D160" s="46"/>
      <c r="E160" s="46"/>
      <c r="F160" s="46"/>
      <c r="G160" s="764">
        <v>2020</v>
      </c>
      <c r="H160" s="764">
        <v>2021</v>
      </c>
      <c r="I160" s="885"/>
      <c r="J160" s="811"/>
      <c r="K160" s="22"/>
      <c r="L160" s="22">
        <v>5022.96</v>
      </c>
      <c r="M160" s="22">
        <v>0</v>
      </c>
      <c r="N160" s="22">
        <v>0</v>
      </c>
      <c r="O160" s="22">
        <v>0</v>
      </c>
      <c r="P160" s="22">
        <v>4602.4799999999996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  <c r="V160" s="22">
        <v>0</v>
      </c>
      <c r="W160" s="22">
        <v>0</v>
      </c>
      <c r="X160" s="22">
        <v>0</v>
      </c>
      <c r="Y160" s="22">
        <v>0</v>
      </c>
      <c r="Z160" s="22">
        <v>0</v>
      </c>
      <c r="AA160" s="22">
        <v>0</v>
      </c>
      <c r="AB160" s="22">
        <v>0</v>
      </c>
      <c r="AC160" s="22">
        <v>0</v>
      </c>
      <c r="AD160" s="22">
        <v>0</v>
      </c>
      <c r="AE160" s="22">
        <v>0</v>
      </c>
      <c r="AF160" s="22">
        <v>0</v>
      </c>
      <c r="AG160" s="22">
        <v>0</v>
      </c>
      <c r="AH160" s="22">
        <v>0</v>
      </c>
      <c r="AI160" s="22">
        <v>0</v>
      </c>
      <c r="AJ160" s="22">
        <v>0</v>
      </c>
      <c r="AK160" s="22">
        <v>0</v>
      </c>
      <c r="AL160" s="22">
        <v>0</v>
      </c>
      <c r="AM160" s="22">
        <v>0</v>
      </c>
      <c r="AN160" s="22">
        <v>0</v>
      </c>
      <c r="AO160" s="404"/>
    </row>
    <row r="161" spans="1:41" ht="54" customHeight="1">
      <c r="A161" s="833" t="s">
        <v>393</v>
      </c>
      <c r="B161" s="889" t="s">
        <v>394</v>
      </c>
      <c r="C161" s="890"/>
      <c r="D161" s="890"/>
      <c r="E161" s="890"/>
      <c r="F161" s="890"/>
      <c r="G161" s="890"/>
      <c r="H161" s="891"/>
      <c r="I161" s="15" t="s">
        <v>19</v>
      </c>
      <c r="J161" s="16">
        <v>0</v>
      </c>
      <c r="K161" s="16">
        <f t="shared" ref="K161" si="234">K164</f>
        <v>0</v>
      </c>
      <c r="L161" s="16">
        <f t="shared" ref="L161" si="235">M161+N161+O161</f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22">
        <v>0</v>
      </c>
      <c r="AA161" s="22">
        <v>0</v>
      </c>
      <c r="AB161" s="22">
        <v>0</v>
      </c>
      <c r="AC161" s="22">
        <v>0</v>
      </c>
      <c r="AD161" s="22">
        <v>0</v>
      </c>
      <c r="AE161" s="22">
        <v>0</v>
      </c>
      <c r="AF161" s="22">
        <v>0</v>
      </c>
      <c r="AG161" s="22">
        <v>0</v>
      </c>
      <c r="AH161" s="22">
        <v>0</v>
      </c>
      <c r="AI161" s="22">
        <v>0</v>
      </c>
      <c r="AJ161" s="22">
        <v>0</v>
      </c>
      <c r="AK161" s="22">
        <v>0</v>
      </c>
      <c r="AL161" s="22">
        <v>0</v>
      </c>
      <c r="AM161" s="22">
        <v>0</v>
      </c>
      <c r="AN161" s="22">
        <v>0</v>
      </c>
      <c r="AO161" s="404"/>
    </row>
    <row r="162" spans="1:41" ht="42.75" customHeight="1">
      <c r="A162" s="834"/>
      <c r="B162" s="892"/>
      <c r="C162" s="893"/>
      <c r="D162" s="893"/>
      <c r="E162" s="893"/>
      <c r="F162" s="893"/>
      <c r="G162" s="893"/>
      <c r="H162" s="894"/>
      <c r="I162" s="15" t="s">
        <v>20</v>
      </c>
      <c r="J162" s="16">
        <f t="shared" ref="J162" si="236">J165</f>
        <v>4106.3500000000004</v>
      </c>
      <c r="K162" s="16">
        <v>0</v>
      </c>
      <c r="L162" s="16">
        <f>L165+L170</f>
        <v>2562.52</v>
      </c>
      <c r="M162" s="16">
        <f t="shared" ref="M162:AN162" si="237">M165+M170</f>
        <v>0</v>
      </c>
      <c r="N162" s="16">
        <f t="shared" si="237"/>
        <v>0</v>
      </c>
      <c r="O162" s="16">
        <f t="shared" si="237"/>
        <v>0</v>
      </c>
      <c r="P162" s="22">
        <f t="shared" si="237"/>
        <v>0</v>
      </c>
      <c r="Q162" s="22">
        <f t="shared" si="237"/>
        <v>0</v>
      </c>
      <c r="R162" s="22">
        <f t="shared" si="237"/>
        <v>0</v>
      </c>
      <c r="S162" s="22">
        <f t="shared" si="237"/>
        <v>0</v>
      </c>
      <c r="T162" s="22">
        <f t="shared" si="237"/>
        <v>1960</v>
      </c>
      <c r="U162" s="22">
        <f t="shared" si="237"/>
        <v>1960</v>
      </c>
      <c r="V162" s="22">
        <f t="shared" si="237"/>
        <v>0</v>
      </c>
      <c r="W162" s="22">
        <f t="shared" si="237"/>
        <v>0</v>
      </c>
      <c r="X162" s="22">
        <f t="shared" si="237"/>
        <v>0</v>
      </c>
      <c r="Y162" s="22">
        <f t="shared" si="237"/>
        <v>0</v>
      </c>
      <c r="Z162" s="22">
        <f t="shared" si="237"/>
        <v>0</v>
      </c>
      <c r="AA162" s="22">
        <f t="shared" si="237"/>
        <v>0</v>
      </c>
      <c r="AB162" s="22">
        <f t="shared" si="237"/>
        <v>0</v>
      </c>
      <c r="AC162" s="22">
        <f t="shared" si="237"/>
        <v>0</v>
      </c>
      <c r="AD162" s="22">
        <f t="shared" si="237"/>
        <v>0</v>
      </c>
      <c r="AE162" s="22">
        <f t="shared" si="237"/>
        <v>0</v>
      </c>
      <c r="AF162" s="22">
        <f t="shared" si="237"/>
        <v>0</v>
      </c>
      <c r="AG162" s="22">
        <f t="shared" si="237"/>
        <v>0</v>
      </c>
      <c r="AH162" s="22">
        <f t="shared" si="237"/>
        <v>0</v>
      </c>
      <c r="AI162" s="22">
        <f t="shared" si="237"/>
        <v>0</v>
      </c>
      <c r="AJ162" s="22">
        <f t="shared" si="237"/>
        <v>0</v>
      </c>
      <c r="AK162" s="22">
        <f t="shared" si="237"/>
        <v>0</v>
      </c>
      <c r="AL162" s="22" t="e">
        <f t="shared" si="237"/>
        <v>#DIV/0!</v>
      </c>
      <c r="AM162" s="22">
        <f t="shared" si="237"/>
        <v>0</v>
      </c>
      <c r="AN162" s="22">
        <f t="shared" si="237"/>
        <v>0</v>
      </c>
      <c r="AO162" s="404"/>
    </row>
    <row r="163" spans="1:41" ht="25.5">
      <c r="A163" s="834"/>
      <c r="B163" s="892"/>
      <c r="C163" s="893"/>
      <c r="D163" s="893"/>
      <c r="E163" s="893"/>
      <c r="F163" s="893"/>
      <c r="G163" s="893"/>
      <c r="H163" s="894"/>
      <c r="I163" s="15" t="s">
        <v>10</v>
      </c>
      <c r="J163" s="16">
        <v>0</v>
      </c>
      <c r="K163" s="16">
        <v>0</v>
      </c>
      <c r="L163" s="16">
        <f>M163+N163+O163</f>
        <v>0</v>
      </c>
      <c r="M163" s="16">
        <f t="shared" ref="M163" si="238">N163+O163+P163</f>
        <v>0</v>
      </c>
      <c r="N163" s="16">
        <f t="shared" ref="N163" si="239">O163+P163+Q163</f>
        <v>0</v>
      </c>
      <c r="O163" s="16">
        <f t="shared" ref="O163" si="240">P163+Q163+R163</f>
        <v>0</v>
      </c>
      <c r="P163" s="22">
        <f t="shared" ref="P163" si="241">Q163+R163+S163</f>
        <v>0</v>
      </c>
      <c r="Q163" s="22">
        <f t="shared" ref="Q163" si="242">R163+S163+T163</f>
        <v>0</v>
      </c>
      <c r="R163" s="22">
        <f t="shared" ref="R163" si="243">S163+T163+U163</f>
        <v>0</v>
      </c>
      <c r="S163" s="22">
        <f t="shared" ref="S163" si="244">T163+U163+V163</f>
        <v>0</v>
      </c>
      <c r="T163" s="22">
        <f t="shared" ref="T163" si="245">U163+V163+W163</f>
        <v>0</v>
      </c>
      <c r="U163" s="22">
        <f t="shared" ref="U163" si="246">V163+W163+X163</f>
        <v>0</v>
      </c>
      <c r="V163" s="22">
        <f t="shared" ref="V163" si="247">W163+X163+Y163</f>
        <v>0</v>
      </c>
      <c r="W163" s="22">
        <f t="shared" ref="W163" si="248">X163+Y163+Z163</f>
        <v>0</v>
      </c>
      <c r="X163" s="22">
        <f t="shared" ref="X163" si="249">Y163+Z163+AA163</f>
        <v>0</v>
      </c>
      <c r="Y163" s="22">
        <f t="shared" ref="Y163" si="250">Z163+AA163+AB163</f>
        <v>0</v>
      </c>
      <c r="Z163" s="22">
        <f t="shared" ref="Z163" si="251">AA163+AB163+AC163</f>
        <v>0</v>
      </c>
      <c r="AA163" s="22">
        <f t="shared" ref="AA163" si="252">AB163+AC163+AD163</f>
        <v>0</v>
      </c>
      <c r="AB163" s="22">
        <f t="shared" ref="AB163" si="253">AC163+AD163+AE163</f>
        <v>0</v>
      </c>
      <c r="AC163" s="22">
        <f t="shared" ref="AC163" si="254">AD163+AE163+AF163</f>
        <v>0</v>
      </c>
      <c r="AD163" s="22">
        <f t="shared" ref="AD163" si="255">AE163+AF163+AG163</f>
        <v>0</v>
      </c>
      <c r="AE163" s="22">
        <f t="shared" ref="AE163" si="256">AF163+AG163+AH163</f>
        <v>0</v>
      </c>
      <c r="AF163" s="22">
        <f t="shared" ref="AF163" si="257">AG163+AH163+AI163</f>
        <v>0</v>
      </c>
      <c r="AG163" s="22">
        <f t="shared" ref="AG163" si="258">AH163+AI163+AJ163</f>
        <v>0</v>
      </c>
      <c r="AH163" s="22">
        <f t="shared" ref="AH163" si="259">AI163+AJ163+AK163</f>
        <v>0</v>
      </c>
      <c r="AI163" s="22">
        <f t="shared" ref="AI163" si="260">AJ163+AK163+AL163</f>
        <v>0</v>
      </c>
      <c r="AJ163" s="22">
        <f t="shared" ref="AJ163" si="261">AK163+AL163+AM163</f>
        <v>0</v>
      </c>
      <c r="AK163" s="22">
        <f t="shared" ref="AK163" si="262">AL163+AM163+AN163</f>
        <v>0</v>
      </c>
      <c r="AL163" s="22">
        <f t="shared" ref="AL163" si="263">AM163+AN163+AO163</f>
        <v>0</v>
      </c>
      <c r="AM163" s="22">
        <f t="shared" ref="AM163" si="264">AN163+AO163+AP163</f>
        <v>0</v>
      </c>
      <c r="AN163" s="22">
        <f t="shared" ref="AN163" si="265">AO163+AP163+AQ163</f>
        <v>0</v>
      </c>
      <c r="AO163" s="404"/>
    </row>
    <row r="164" spans="1:41" ht="27" customHeight="1">
      <c r="A164" s="835"/>
      <c r="B164" s="895"/>
      <c r="C164" s="896"/>
      <c r="D164" s="896"/>
      <c r="E164" s="896"/>
      <c r="F164" s="896"/>
      <c r="G164" s="896"/>
      <c r="H164" s="897"/>
      <c r="I164" s="15" t="s">
        <v>9</v>
      </c>
      <c r="J164" s="16">
        <v>0</v>
      </c>
      <c r="K164" s="16"/>
      <c r="L164" s="16">
        <f t="shared" ref="L164" si="266">M164+N164+O164</f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0</v>
      </c>
      <c r="R164" s="22">
        <v>0</v>
      </c>
      <c r="S164" s="22">
        <v>0</v>
      </c>
      <c r="T164" s="22">
        <v>0</v>
      </c>
      <c r="U164" s="22">
        <v>0</v>
      </c>
      <c r="V164" s="22">
        <v>0</v>
      </c>
      <c r="W164" s="22">
        <v>0</v>
      </c>
      <c r="X164" s="22">
        <v>0</v>
      </c>
      <c r="Y164" s="22">
        <v>0</v>
      </c>
      <c r="Z164" s="22">
        <v>0</v>
      </c>
      <c r="AA164" s="22">
        <v>0</v>
      </c>
      <c r="AB164" s="22">
        <v>0</v>
      </c>
      <c r="AC164" s="22">
        <v>0</v>
      </c>
      <c r="AD164" s="22">
        <v>0</v>
      </c>
      <c r="AE164" s="22">
        <v>0</v>
      </c>
      <c r="AF164" s="22">
        <v>0</v>
      </c>
      <c r="AG164" s="22">
        <v>0</v>
      </c>
      <c r="AH164" s="22">
        <v>0</v>
      </c>
      <c r="AI164" s="22">
        <v>0</v>
      </c>
      <c r="AJ164" s="22">
        <v>0</v>
      </c>
      <c r="AK164" s="22">
        <v>0</v>
      </c>
      <c r="AL164" s="22">
        <v>0</v>
      </c>
      <c r="AM164" s="22">
        <v>0</v>
      </c>
      <c r="AN164" s="22">
        <v>0</v>
      </c>
      <c r="AO164" s="404"/>
    </row>
    <row r="165" spans="1:41" ht="54" customHeight="1">
      <c r="A165" s="812" t="s">
        <v>395</v>
      </c>
      <c r="B165" s="78" t="s">
        <v>396</v>
      </c>
      <c r="C165" s="46"/>
      <c r="D165" s="46"/>
      <c r="E165" s="46"/>
      <c r="F165" s="46"/>
      <c r="G165" s="46"/>
      <c r="H165" s="46"/>
      <c r="I165" s="884" t="s">
        <v>20</v>
      </c>
      <c r="J165" s="809">
        <v>4106.3500000000004</v>
      </c>
      <c r="K165" s="16">
        <v>0</v>
      </c>
      <c r="L165" s="82">
        <f>L166+L169</f>
        <v>1281.26</v>
      </c>
      <c r="M165" s="82">
        <f>M166+M169</f>
        <v>0</v>
      </c>
      <c r="N165" s="82">
        <f t="shared" ref="N165:O165" si="267">N166+N169</f>
        <v>0</v>
      </c>
      <c r="O165" s="82">
        <f t="shared" si="267"/>
        <v>0</v>
      </c>
      <c r="P165" s="82">
        <f>P166+P169</f>
        <v>0</v>
      </c>
      <c r="Q165" s="82">
        <f t="shared" ref="Q165:Z165" si="268">Q166+Q169</f>
        <v>0</v>
      </c>
      <c r="R165" s="82">
        <f t="shared" si="268"/>
        <v>0</v>
      </c>
      <c r="S165" s="82">
        <f t="shared" si="268"/>
        <v>0</v>
      </c>
      <c r="T165" s="82">
        <f t="shared" si="268"/>
        <v>980</v>
      </c>
      <c r="U165" s="82">
        <f t="shared" si="268"/>
        <v>980</v>
      </c>
      <c r="V165" s="82">
        <f t="shared" si="268"/>
        <v>0</v>
      </c>
      <c r="W165" s="82">
        <f t="shared" si="268"/>
        <v>0</v>
      </c>
      <c r="X165" s="82">
        <f t="shared" si="268"/>
        <v>0</v>
      </c>
      <c r="Y165" s="82">
        <f t="shared" si="268"/>
        <v>0</v>
      </c>
      <c r="Z165" s="82">
        <f t="shared" si="268"/>
        <v>0</v>
      </c>
      <c r="AA165" s="82">
        <f>AA166+AA169</f>
        <v>0</v>
      </c>
      <c r="AB165" s="82">
        <f>AB166+AB169</f>
        <v>0</v>
      </c>
      <c r="AC165" s="82">
        <f t="shared" ref="AC165:AI165" si="269">AC166+AC169</f>
        <v>0</v>
      </c>
      <c r="AD165" s="82">
        <f t="shared" si="269"/>
        <v>0</v>
      </c>
      <c r="AE165" s="82">
        <f t="shared" si="269"/>
        <v>0</v>
      </c>
      <c r="AF165" s="82">
        <f t="shared" si="269"/>
        <v>0</v>
      </c>
      <c r="AG165" s="82">
        <f t="shared" si="269"/>
        <v>0</v>
      </c>
      <c r="AH165" s="82">
        <f t="shared" si="269"/>
        <v>0</v>
      </c>
      <c r="AI165" s="82">
        <f t="shared" si="269"/>
        <v>0</v>
      </c>
      <c r="AJ165" s="82">
        <f>P165-Q165</f>
        <v>0</v>
      </c>
      <c r="AK165" s="82">
        <f>AJ165</f>
        <v>0</v>
      </c>
      <c r="AL165" s="79" t="e">
        <f>ROUND((Q165*100%/P165*100),2)</f>
        <v>#DIV/0!</v>
      </c>
      <c r="AM165" s="82">
        <f t="shared" ref="AM165:AN165" si="270">AM166+AM169</f>
        <v>0</v>
      </c>
      <c r="AN165" s="82">
        <f t="shared" si="270"/>
        <v>0</v>
      </c>
      <c r="AO165" s="411" t="s">
        <v>264</v>
      </c>
    </row>
    <row r="166" spans="1:41">
      <c r="A166" s="813"/>
      <c r="B166" s="23" t="s">
        <v>15</v>
      </c>
      <c r="C166" s="46"/>
      <c r="D166" s="46"/>
      <c r="E166" s="46"/>
      <c r="F166" s="46"/>
      <c r="G166" s="741">
        <v>2019</v>
      </c>
      <c r="H166" s="741">
        <v>2019</v>
      </c>
      <c r="I166" s="888"/>
      <c r="J166" s="810"/>
      <c r="K166" s="22"/>
      <c r="L166" s="22">
        <v>377.92</v>
      </c>
      <c r="M166" s="47">
        <v>0</v>
      </c>
      <c r="N166" s="47">
        <v>0</v>
      </c>
      <c r="O166" s="47">
        <v>0</v>
      </c>
      <c r="P166" s="47">
        <v>0</v>
      </c>
      <c r="Q166" s="47">
        <v>0</v>
      </c>
      <c r="R166" s="47">
        <f t="shared" ref="R166:Z166" si="271">R167+R168</f>
        <v>0</v>
      </c>
      <c r="S166" s="47">
        <f t="shared" si="271"/>
        <v>0</v>
      </c>
      <c r="T166" s="47">
        <f t="shared" si="271"/>
        <v>980</v>
      </c>
      <c r="U166" s="47">
        <f t="shared" si="271"/>
        <v>980</v>
      </c>
      <c r="V166" s="47">
        <f t="shared" si="271"/>
        <v>0</v>
      </c>
      <c r="W166" s="47">
        <f t="shared" si="271"/>
        <v>0</v>
      </c>
      <c r="X166" s="47">
        <f t="shared" si="271"/>
        <v>0</v>
      </c>
      <c r="Y166" s="47">
        <f t="shared" si="271"/>
        <v>0</v>
      </c>
      <c r="Z166" s="47">
        <f t="shared" si="271"/>
        <v>0</v>
      </c>
      <c r="AA166" s="47">
        <f>AA167+AA168</f>
        <v>0</v>
      </c>
      <c r="AB166" s="47">
        <f>AB167+AB168</f>
        <v>0</v>
      </c>
      <c r="AC166" s="47">
        <f t="shared" ref="AC166:AD166" si="272">AC167+AC168</f>
        <v>0</v>
      </c>
      <c r="AD166" s="47">
        <f t="shared" si="272"/>
        <v>0</v>
      </c>
      <c r="AE166" s="47">
        <v>0</v>
      </c>
      <c r="AF166" s="47">
        <v>0</v>
      </c>
      <c r="AG166" s="47">
        <v>0</v>
      </c>
      <c r="AH166" s="47">
        <v>0</v>
      </c>
      <c r="AI166" s="47">
        <v>0</v>
      </c>
      <c r="AJ166" s="47">
        <v>0</v>
      </c>
      <c r="AK166" s="47">
        <v>0</v>
      </c>
      <c r="AL166" s="47">
        <v>0</v>
      </c>
      <c r="AM166" s="47">
        <v>0</v>
      </c>
      <c r="AN166" s="47">
        <v>0</v>
      </c>
      <c r="AO166" s="403"/>
    </row>
    <row r="167" spans="1:41" s="100" customFormat="1" hidden="1">
      <c r="A167" s="813"/>
      <c r="B167" s="456" t="s">
        <v>259</v>
      </c>
      <c r="C167" s="457"/>
      <c r="D167" s="457"/>
      <c r="E167" s="457"/>
      <c r="F167" s="457"/>
      <c r="G167" s="267"/>
      <c r="H167" s="267"/>
      <c r="I167" s="888"/>
      <c r="J167" s="810"/>
      <c r="K167" s="178"/>
      <c r="L167" s="178"/>
      <c r="M167" s="99"/>
      <c r="N167" s="99"/>
      <c r="O167" s="99"/>
      <c r="P167" s="99">
        <v>0</v>
      </c>
      <c r="Q167" s="99">
        <f>U167</f>
        <v>980</v>
      </c>
      <c r="R167" s="99">
        <v>0</v>
      </c>
      <c r="S167" s="99">
        <v>0</v>
      </c>
      <c r="T167" s="99">
        <f>U167</f>
        <v>980</v>
      </c>
      <c r="U167" s="99">
        <v>980</v>
      </c>
      <c r="V167" s="99"/>
      <c r="W167" s="99"/>
      <c r="X167" s="99"/>
      <c r="Y167" s="99"/>
      <c r="Z167" s="99">
        <f>AA167</f>
        <v>0</v>
      </c>
      <c r="AA167" s="99">
        <v>0</v>
      </c>
      <c r="AB167" s="99"/>
      <c r="AC167" s="99"/>
      <c r="AD167" s="99"/>
      <c r="AE167" s="99"/>
      <c r="AF167" s="99"/>
      <c r="AG167" s="99"/>
      <c r="AH167" s="99"/>
      <c r="AI167" s="99"/>
      <c r="AJ167" s="99"/>
      <c r="AK167" s="99"/>
      <c r="AL167" s="99"/>
      <c r="AM167" s="99"/>
      <c r="AN167" s="99"/>
      <c r="AO167" s="412"/>
    </row>
    <row r="168" spans="1:41" s="100" customFormat="1" ht="25.5" hidden="1">
      <c r="A168" s="813"/>
      <c r="B168" s="456" t="s">
        <v>260</v>
      </c>
      <c r="C168" s="457"/>
      <c r="D168" s="457"/>
      <c r="E168" s="457"/>
      <c r="F168" s="457"/>
      <c r="G168" s="267"/>
      <c r="H168" s="267"/>
      <c r="I168" s="888"/>
      <c r="J168" s="810"/>
      <c r="K168" s="178"/>
      <c r="L168" s="178"/>
      <c r="M168" s="99"/>
      <c r="N168" s="99"/>
      <c r="O168" s="99"/>
      <c r="P168" s="99"/>
      <c r="Q168" s="99">
        <f>S168</f>
        <v>0</v>
      </c>
      <c r="R168" s="99">
        <f>S168</f>
        <v>0</v>
      </c>
      <c r="S168" s="99">
        <v>0</v>
      </c>
      <c r="T168" s="99"/>
      <c r="U168" s="99"/>
      <c r="V168" s="99"/>
      <c r="W168" s="99"/>
      <c r="X168" s="99"/>
      <c r="Y168" s="99"/>
      <c r="Z168" s="99">
        <f>AA168</f>
        <v>0</v>
      </c>
      <c r="AA168" s="99">
        <v>0</v>
      </c>
      <c r="AB168" s="99"/>
      <c r="AC168" s="99"/>
      <c r="AD168" s="99"/>
      <c r="AE168" s="99"/>
      <c r="AF168" s="99"/>
      <c r="AG168" s="99"/>
      <c r="AH168" s="99"/>
      <c r="AI168" s="99"/>
      <c r="AJ168" s="99"/>
      <c r="AK168" s="99"/>
      <c r="AL168" s="99"/>
      <c r="AM168" s="99"/>
      <c r="AN168" s="99"/>
      <c r="AO168" s="412"/>
    </row>
    <row r="169" spans="1:41">
      <c r="A169" s="814"/>
      <c r="B169" s="23" t="s">
        <v>16</v>
      </c>
      <c r="C169" s="46"/>
      <c r="D169" s="46"/>
      <c r="E169" s="46"/>
      <c r="F169" s="46"/>
      <c r="G169" s="741">
        <v>2020</v>
      </c>
      <c r="H169" s="741">
        <v>2021</v>
      </c>
      <c r="I169" s="885"/>
      <c r="J169" s="811"/>
      <c r="K169" s="22"/>
      <c r="L169" s="22">
        <v>903.34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  <c r="V169" s="22">
        <v>0</v>
      </c>
      <c r="W169" s="22">
        <v>0</v>
      </c>
      <c r="X169" s="22">
        <v>0</v>
      </c>
      <c r="Y169" s="22">
        <v>0</v>
      </c>
      <c r="Z169" s="22">
        <v>0</v>
      </c>
      <c r="AA169" s="22">
        <v>0</v>
      </c>
      <c r="AB169" s="22">
        <v>0</v>
      </c>
      <c r="AC169" s="22">
        <v>0</v>
      </c>
      <c r="AD169" s="22">
        <v>0</v>
      </c>
      <c r="AE169" s="22">
        <v>0</v>
      </c>
      <c r="AF169" s="22">
        <v>0</v>
      </c>
      <c r="AG169" s="22">
        <v>0</v>
      </c>
      <c r="AH169" s="22">
        <v>0</v>
      </c>
      <c r="AI169" s="22">
        <v>0</v>
      </c>
      <c r="AJ169" s="22">
        <v>0</v>
      </c>
      <c r="AK169" s="22">
        <v>0</v>
      </c>
      <c r="AL169" s="22">
        <v>0</v>
      </c>
      <c r="AM169" s="22">
        <v>0</v>
      </c>
      <c r="AN169" s="22">
        <v>0</v>
      </c>
      <c r="AO169" s="404"/>
    </row>
    <row r="170" spans="1:41" ht="54" customHeight="1">
      <c r="A170" s="812" t="s">
        <v>397</v>
      </c>
      <c r="B170" s="78" t="s">
        <v>398</v>
      </c>
      <c r="C170" s="46"/>
      <c r="D170" s="46"/>
      <c r="E170" s="46"/>
      <c r="F170" s="46"/>
      <c r="G170" s="46"/>
      <c r="H170" s="46"/>
      <c r="I170" s="884" t="s">
        <v>20</v>
      </c>
      <c r="J170" s="809">
        <v>4106.3500000000004</v>
      </c>
      <c r="K170" s="16">
        <v>0</v>
      </c>
      <c r="L170" s="82">
        <f>L171+L174</f>
        <v>1281.26</v>
      </c>
      <c r="M170" s="82">
        <f>M171+M174</f>
        <v>0</v>
      </c>
      <c r="N170" s="82">
        <f t="shared" ref="N170:O170" si="273">N171+N174</f>
        <v>0</v>
      </c>
      <c r="O170" s="82">
        <f t="shared" si="273"/>
        <v>0</v>
      </c>
      <c r="P170" s="82">
        <f>P171+P174</f>
        <v>0</v>
      </c>
      <c r="Q170" s="82">
        <f t="shared" ref="Q170:Z170" si="274">Q171+Q174</f>
        <v>0</v>
      </c>
      <c r="R170" s="82">
        <f t="shared" si="274"/>
        <v>0</v>
      </c>
      <c r="S170" s="82">
        <f t="shared" si="274"/>
        <v>0</v>
      </c>
      <c r="T170" s="82">
        <f t="shared" si="274"/>
        <v>980</v>
      </c>
      <c r="U170" s="82">
        <f t="shared" si="274"/>
        <v>980</v>
      </c>
      <c r="V170" s="82">
        <f t="shared" si="274"/>
        <v>0</v>
      </c>
      <c r="W170" s="82">
        <f t="shared" si="274"/>
        <v>0</v>
      </c>
      <c r="X170" s="82">
        <f t="shared" si="274"/>
        <v>0</v>
      </c>
      <c r="Y170" s="82">
        <f t="shared" si="274"/>
        <v>0</v>
      </c>
      <c r="Z170" s="82">
        <f t="shared" si="274"/>
        <v>0</v>
      </c>
      <c r="AA170" s="82">
        <f>AA171+AA174</f>
        <v>0</v>
      </c>
      <c r="AB170" s="82">
        <f>AB171+AB174</f>
        <v>0</v>
      </c>
      <c r="AC170" s="82">
        <f t="shared" ref="AC170:AI170" si="275">AC171+AC174</f>
        <v>0</v>
      </c>
      <c r="AD170" s="82">
        <f t="shared" si="275"/>
        <v>0</v>
      </c>
      <c r="AE170" s="82">
        <f t="shared" si="275"/>
        <v>0</v>
      </c>
      <c r="AF170" s="82">
        <f t="shared" si="275"/>
        <v>0</v>
      </c>
      <c r="AG170" s="82">
        <f t="shared" si="275"/>
        <v>0</v>
      </c>
      <c r="AH170" s="82">
        <f t="shared" si="275"/>
        <v>0</v>
      </c>
      <c r="AI170" s="82">
        <f t="shared" si="275"/>
        <v>0</v>
      </c>
      <c r="AJ170" s="82">
        <f>P170-Q170</f>
        <v>0</v>
      </c>
      <c r="AK170" s="82">
        <f>AJ170</f>
        <v>0</v>
      </c>
      <c r="AL170" s="79" t="e">
        <f>ROUND((Q170*100%/P170*100),2)</f>
        <v>#DIV/0!</v>
      </c>
      <c r="AM170" s="82">
        <f t="shared" ref="AM170:AN170" si="276">AM171+AM174</f>
        <v>0</v>
      </c>
      <c r="AN170" s="82">
        <f t="shared" si="276"/>
        <v>0</v>
      </c>
      <c r="AO170" s="411" t="s">
        <v>264</v>
      </c>
    </row>
    <row r="171" spans="1:41">
      <c r="A171" s="813"/>
      <c r="B171" s="23" t="s">
        <v>15</v>
      </c>
      <c r="C171" s="46"/>
      <c r="D171" s="46"/>
      <c r="E171" s="46"/>
      <c r="F171" s="46"/>
      <c r="G171" s="741">
        <v>2019</v>
      </c>
      <c r="H171" s="741">
        <v>2019</v>
      </c>
      <c r="I171" s="888"/>
      <c r="J171" s="810"/>
      <c r="K171" s="22"/>
      <c r="L171" s="22">
        <v>377.92</v>
      </c>
      <c r="M171" s="47">
        <v>0</v>
      </c>
      <c r="N171" s="47">
        <v>0</v>
      </c>
      <c r="O171" s="47">
        <v>0</v>
      </c>
      <c r="P171" s="47">
        <v>0</v>
      </c>
      <c r="Q171" s="47">
        <v>0</v>
      </c>
      <c r="R171" s="47">
        <f t="shared" ref="R171:Z171" si="277">R172+R173</f>
        <v>0</v>
      </c>
      <c r="S171" s="47">
        <f t="shared" si="277"/>
        <v>0</v>
      </c>
      <c r="T171" s="47">
        <f t="shared" si="277"/>
        <v>980</v>
      </c>
      <c r="U171" s="47">
        <f t="shared" si="277"/>
        <v>980</v>
      </c>
      <c r="V171" s="47">
        <f t="shared" si="277"/>
        <v>0</v>
      </c>
      <c r="W171" s="47">
        <f t="shared" si="277"/>
        <v>0</v>
      </c>
      <c r="X171" s="47">
        <f t="shared" si="277"/>
        <v>0</v>
      </c>
      <c r="Y171" s="47">
        <f t="shared" si="277"/>
        <v>0</v>
      </c>
      <c r="Z171" s="47">
        <f t="shared" si="277"/>
        <v>0</v>
      </c>
      <c r="AA171" s="47">
        <f>AA172+AA173</f>
        <v>0</v>
      </c>
      <c r="AB171" s="47">
        <f>AB172+AB173</f>
        <v>0</v>
      </c>
      <c r="AC171" s="47">
        <f t="shared" ref="AC171:AD171" si="278">AC172+AC173</f>
        <v>0</v>
      </c>
      <c r="AD171" s="47">
        <f t="shared" si="278"/>
        <v>0</v>
      </c>
      <c r="AE171" s="47">
        <v>0</v>
      </c>
      <c r="AF171" s="47">
        <v>0</v>
      </c>
      <c r="AG171" s="47">
        <v>0</v>
      </c>
      <c r="AH171" s="47">
        <v>0</v>
      </c>
      <c r="AI171" s="47">
        <v>0</v>
      </c>
      <c r="AJ171" s="47">
        <v>0</v>
      </c>
      <c r="AK171" s="47">
        <v>0</v>
      </c>
      <c r="AL171" s="47">
        <v>0</v>
      </c>
      <c r="AM171" s="47">
        <v>0</v>
      </c>
      <c r="AN171" s="47">
        <v>0</v>
      </c>
      <c r="AO171" s="403"/>
    </row>
    <row r="172" spans="1:41" s="100" customFormat="1" hidden="1">
      <c r="A172" s="813"/>
      <c r="B172" s="456" t="s">
        <v>259</v>
      </c>
      <c r="C172" s="457"/>
      <c r="D172" s="457"/>
      <c r="E172" s="457"/>
      <c r="F172" s="457"/>
      <c r="G172" s="267"/>
      <c r="H172" s="267"/>
      <c r="I172" s="888"/>
      <c r="J172" s="810"/>
      <c r="K172" s="178"/>
      <c r="L172" s="178"/>
      <c r="M172" s="99"/>
      <c r="N172" s="99"/>
      <c r="O172" s="99"/>
      <c r="P172" s="99">
        <v>0</v>
      </c>
      <c r="Q172" s="99">
        <f>U172</f>
        <v>980</v>
      </c>
      <c r="R172" s="99">
        <v>0</v>
      </c>
      <c r="S172" s="99">
        <v>0</v>
      </c>
      <c r="T172" s="99">
        <f>U172</f>
        <v>980</v>
      </c>
      <c r="U172" s="99">
        <v>980</v>
      </c>
      <c r="V172" s="99"/>
      <c r="W172" s="99"/>
      <c r="X172" s="99"/>
      <c r="Y172" s="99"/>
      <c r="Z172" s="99">
        <f>AA172</f>
        <v>0</v>
      </c>
      <c r="AA172" s="99">
        <v>0</v>
      </c>
      <c r="AB172" s="99"/>
      <c r="AC172" s="99"/>
      <c r="AD172" s="99"/>
      <c r="AE172" s="99"/>
      <c r="AF172" s="99"/>
      <c r="AG172" s="99"/>
      <c r="AH172" s="99"/>
      <c r="AI172" s="99"/>
      <c r="AJ172" s="99"/>
      <c r="AK172" s="99"/>
      <c r="AL172" s="99"/>
      <c r="AM172" s="99"/>
      <c r="AN172" s="99"/>
      <c r="AO172" s="412"/>
    </row>
    <row r="173" spans="1:41" s="100" customFormat="1" ht="25.5" hidden="1">
      <c r="A173" s="813"/>
      <c r="B173" s="456" t="s">
        <v>260</v>
      </c>
      <c r="C173" s="457"/>
      <c r="D173" s="457"/>
      <c r="E173" s="457"/>
      <c r="F173" s="457"/>
      <c r="G173" s="267"/>
      <c r="H173" s="267"/>
      <c r="I173" s="888"/>
      <c r="J173" s="810"/>
      <c r="K173" s="178"/>
      <c r="L173" s="178"/>
      <c r="M173" s="99"/>
      <c r="N173" s="99"/>
      <c r="O173" s="99"/>
      <c r="P173" s="99"/>
      <c r="Q173" s="99">
        <f>S173</f>
        <v>0</v>
      </c>
      <c r="R173" s="99">
        <f>S173</f>
        <v>0</v>
      </c>
      <c r="S173" s="99">
        <v>0</v>
      </c>
      <c r="T173" s="99"/>
      <c r="U173" s="99"/>
      <c r="V173" s="99"/>
      <c r="W173" s="99"/>
      <c r="X173" s="99"/>
      <c r="Y173" s="99"/>
      <c r="Z173" s="99">
        <f>AA173</f>
        <v>0</v>
      </c>
      <c r="AA173" s="99">
        <v>0</v>
      </c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412"/>
    </row>
    <row r="174" spans="1:41">
      <c r="A174" s="814"/>
      <c r="B174" s="23" t="s">
        <v>16</v>
      </c>
      <c r="C174" s="46"/>
      <c r="D174" s="46"/>
      <c r="E174" s="46"/>
      <c r="F174" s="46"/>
      <c r="G174" s="741">
        <v>2020</v>
      </c>
      <c r="H174" s="741">
        <v>2021</v>
      </c>
      <c r="I174" s="885"/>
      <c r="J174" s="811"/>
      <c r="K174" s="22"/>
      <c r="L174" s="22">
        <v>903.34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  <c r="V174" s="22">
        <v>0</v>
      </c>
      <c r="W174" s="22">
        <v>0</v>
      </c>
      <c r="X174" s="22">
        <v>0</v>
      </c>
      <c r="Y174" s="22">
        <v>0</v>
      </c>
      <c r="Z174" s="22">
        <v>0</v>
      </c>
      <c r="AA174" s="22">
        <v>0</v>
      </c>
      <c r="AB174" s="22">
        <v>0</v>
      </c>
      <c r="AC174" s="22">
        <v>0</v>
      </c>
      <c r="AD174" s="22">
        <v>0</v>
      </c>
      <c r="AE174" s="22">
        <v>0</v>
      </c>
      <c r="AF174" s="22">
        <v>0</v>
      </c>
      <c r="AG174" s="22">
        <v>0</v>
      </c>
      <c r="AH174" s="22">
        <v>0</v>
      </c>
      <c r="AI174" s="22">
        <v>0</v>
      </c>
      <c r="AJ174" s="22">
        <v>0</v>
      </c>
      <c r="AK174" s="22">
        <v>0</v>
      </c>
      <c r="AL174" s="22">
        <v>0</v>
      </c>
      <c r="AM174" s="22">
        <v>0</v>
      </c>
      <c r="AN174" s="22">
        <v>0</v>
      </c>
      <c r="AO174" s="404"/>
    </row>
    <row r="175" spans="1:41" ht="15.75">
      <c r="A175" s="331" t="s">
        <v>13</v>
      </c>
      <c r="B175" s="59" t="s">
        <v>7</v>
      </c>
      <c r="C175" s="60"/>
      <c r="D175" s="60"/>
      <c r="E175" s="60"/>
      <c r="F175" s="60"/>
      <c r="G175" s="60"/>
      <c r="H175" s="60"/>
      <c r="I175" s="60"/>
      <c r="J175" s="287"/>
      <c r="K175" s="287"/>
      <c r="L175" s="288"/>
      <c r="M175" s="288"/>
      <c r="N175" s="288"/>
      <c r="O175" s="288"/>
      <c r="P175" s="448"/>
      <c r="Q175" s="63"/>
      <c r="R175" s="360"/>
      <c r="S175" s="360"/>
      <c r="T175" s="63"/>
      <c r="U175" s="63"/>
      <c r="V175" s="63"/>
      <c r="W175" s="63"/>
      <c r="X175" s="368"/>
      <c r="Y175" s="368"/>
      <c r="Z175" s="63"/>
      <c r="AA175" s="63"/>
      <c r="AB175" s="463"/>
      <c r="AC175" s="469"/>
      <c r="AD175" s="469"/>
      <c r="AE175" s="63"/>
      <c r="AF175" s="439"/>
      <c r="AG175" s="461"/>
      <c r="AH175" s="470"/>
      <c r="AI175" s="504"/>
      <c r="AJ175" s="63"/>
      <c r="AK175" s="63"/>
      <c r="AL175" s="63"/>
      <c r="AM175" s="63"/>
      <c r="AN175" s="63"/>
      <c r="AO175" s="414"/>
    </row>
    <row r="176" spans="1:41" s="390" customFormat="1" ht="13.5">
      <c r="A176" s="948"/>
      <c r="B176" s="949"/>
      <c r="C176" s="949"/>
      <c r="D176" s="949"/>
      <c r="E176" s="949"/>
      <c r="F176" s="949"/>
      <c r="G176" s="949"/>
      <c r="H176" s="950"/>
      <c r="I176" s="387" t="s">
        <v>21</v>
      </c>
      <c r="J176" s="388">
        <f t="shared" ref="J176" si="279">J177+J178+J179+J180</f>
        <v>166776.93</v>
      </c>
      <c r="K176" s="388">
        <f t="shared" ref="K176:O176" si="280">K177+K178+K179+K180</f>
        <v>25354.1</v>
      </c>
      <c r="L176" s="388">
        <f t="shared" si="280"/>
        <v>1333093.6600000001</v>
      </c>
      <c r="M176" s="388">
        <f t="shared" si="280"/>
        <v>571026.48</v>
      </c>
      <c r="N176" s="389">
        <f t="shared" si="280"/>
        <v>614339.18000000005</v>
      </c>
      <c r="O176" s="388">
        <f t="shared" si="280"/>
        <v>574256.67000000004</v>
      </c>
      <c r="P176" s="389">
        <f t="shared" ref="P176:AN176" si="281">P177+P178+P179+P180</f>
        <v>105496.38</v>
      </c>
      <c r="Q176" s="389">
        <f>Q177+Q178+Q179+Q180</f>
        <v>239942.82335000002</v>
      </c>
      <c r="R176" s="389">
        <f t="shared" si="281"/>
        <v>25715.019</v>
      </c>
      <c r="S176" s="389">
        <f t="shared" si="281"/>
        <v>25715.019</v>
      </c>
      <c r="T176" s="389">
        <f t="shared" si="281"/>
        <v>38414.648000000001</v>
      </c>
      <c r="U176" s="389">
        <f t="shared" si="281"/>
        <v>38447.047999999995</v>
      </c>
      <c r="V176" s="389">
        <f t="shared" si="281"/>
        <v>112202.48535</v>
      </c>
      <c r="W176" s="389">
        <f t="shared" si="281"/>
        <v>112202.48535</v>
      </c>
      <c r="X176" s="389">
        <f t="shared" si="281"/>
        <v>72.539999999999992</v>
      </c>
      <c r="Y176" s="389">
        <f t="shared" si="281"/>
        <v>58500.297999999995</v>
      </c>
      <c r="Z176" s="389">
        <f t="shared" si="281"/>
        <v>218119.39211999997</v>
      </c>
      <c r="AA176" s="389">
        <f t="shared" si="281"/>
        <v>24420.41</v>
      </c>
      <c r="AB176" s="389">
        <f t="shared" ref="AB176:AD176" si="282">AB177+AB178+AB179+AB180</f>
        <v>41024.417000000001</v>
      </c>
      <c r="AC176" s="389">
        <f t="shared" si="282"/>
        <v>101677.98612</v>
      </c>
      <c r="AD176" s="389">
        <f t="shared" si="282"/>
        <v>45192.425999999999</v>
      </c>
      <c r="AE176" s="389">
        <f t="shared" si="281"/>
        <v>0</v>
      </c>
      <c r="AF176" s="389">
        <f t="shared" ref="AF176" si="283">AF177+AF178+AF179+AF180</f>
        <v>0</v>
      </c>
      <c r="AG176" s="389">
        <f t="shared" ref="AG176:AH176" si="284">AG177+AG178+AG179+AG180</f>
        <v>0</v>
      </c>
      <c r="AH176" s="389">
        <f t="shared" si="284"/>
        <v>0</v>
      </c>
      <c r="AI176" s="389">
        <f t="shared" ref="AI176" si="285">AI177+AI178+AI179+AI180</f>
        <v>0</v>
      </c>
      <c r="AJ176" s="389">
        <f t="shared" si="281"/>
        <v>-22757.152000000002</v>
      </c>
      <c r="AK176" s="389">
        <f t="shared" si="281"/>
        <v>-22757.152000000002</v>
      </c>
      <c r="AL176" s="389" t="e">
        <f t="shared" si="281"/>
        <v>#DIV/0!</v>
      </c>
      <c r="AM176" s="389">
        <f t="shared" si="281"/>
        <v>0</v>
      </c>
      <c r="AN176" s="389">
        <f t="shared" si="281"/>
        <v>0</v>
      </c>
      <c r="AO176" s="415"/>
    </row>
    <row r="177" spans="1:41" s="390" customFormat="1" ht="58.5" customHeight="1">
      <c r="A177" s="951"/>
      <c r="B177" s="952"/>
      <c r="C177" s="952"/>
      <c r="D177" s="952"/>
      <c r="E177" s="952"/>
      <c r="F177" s="952"/>
      <c r="G177" s="952"/>
      <c r="H177" s="953"/>
      <c r="I177" s="23" t="s">
        <v>19</v>
      </c>
      <c r="J177" s="73">
        <f t="shared" ref="J177:K180" si="286">J181+J228+J266</f>
        <v>152886.9</v>
      </c>
      <c r="K177" s="73">
        <f t="shared" si="286"/>
        <v>25354.1</v>
      </c>
      <c r="L177" s="3">
        <f>L181+L228+L255+L266+L278+L335+L345</f>
        <v>280847.83000000007</v>
      </c>
      <c r="M177" s="3">
        <f t="shared" ref="M177:AN177" si="287">M181+M228+M266</f>
        <v>42443.12</v>
      </c>
      <c r="N177" s="47">
        <f t="shared" si="287"/>
        <v>35331.160000000003</v>
      </c>
      <c r="O177" s="3">
        <f t="shared" si="287"/>
        <v>29531.94</v>
      </c>
      <c r="P177" s="47">
        <f t="shared" si="287"/>
        <v>55764.290000000008</v>
      </c>
      <c r="Q177" s="47">
        <f t="shared" si="287"/>
        <v>6462.4170000000004</v>
      </c>
      <c r="R177" s="47">
        <f t="shared" si="287"/>
        <v>3750.672</v>
      </c>
      <c r="S177" s="47">
        <f t="shared" si="287"/>
        <v>3750.672</v>
      </c>
      <c r="T177" s="47">
        <f t="shared" si="287"/>
        <v>2684.2050000000004</v>
      </c>
      <c r="U177" s="47">
        <f t="shared" si="287"/>
        <v>2684.2050000000004</v>
      </c>
      <c r="V177" s="47">
        <f t="shared" si="287"/>
        <v>0</v>
      </c>
      <c r="W177" s="47">
        <f t="shared" si="287"/>
        <v>0</v>
      </c>
      <c r="X177" s="47">
        <f t="shared" si="287"/>
        <v>27.54</v>
      </c>
      <c r="Y177" s="47">
        <f t="shared" si="287"/>
        <v>27.54</v>
      </c>
      <c r="Z177" s="47">
        <f t="shared" si="287"/>
        <v>3462.4170000000004</v>
      </c>
      <c r="AA177" s="47">
        <f t="shared" si="287"/>
        <v>3397.0770000000002</v>
      </c>
      <c r="AB177" s="47">
        <f t="shared" si="287"/>
        <v>0</v>
      </c>
      <c r="AC177" s="47">
        <f t="shared" si="287"/>
        <v>37.799999999999997</v>
      </c>
      <c r="AD177" s="47">
        <f t="shared" si="287"/>
        <v>27.54</v>
      </c>
      <c r="AE177" s="47">
        <f t="shared" si="287"/>
        <v>0</v>
      </c>
      <c r="AF177" s="47">
        <f t="shared" si="287"/>
        <v>0</v>
      </c>
      <c r="AG177" s="47">
        <f t="shared" si="287"/>
        <v>0</v>
      </c>
      <c r="AH177" s="47">
        <f t="shared" si="287"/>
        <v>0</v>
      </c>
      <c r="AI177" s="47">
        <f t="shared" si="287"/>
        <v>0</v>
      </c>
      <c r="AJ177" s="47">
        <f t="shared" si="287"/>
        <v>18808.567999999999</v>
      </c>
      <c r="AK177" s="47">
        <f t="shared" si="287"/>
        <v>18808.567999999999</v>
      </c>
      <c r="AL177" s="47">
        <f t="shared" si="287"/>
        <v>6.62</v>
      </c>
      <c r="AM177" s="47">
        <f t="shared" si="287"/>
        <v>0</v>
      </c>
      <c r="AN177" s="47">
        <f t="shared" si="287"/>
        <v>0</v>
      </c>
      <c r="AO177" s="403"/>
    </row>
    <row r="178" spans="1:41" s="390" customFormat="1" ht="45.75" customHeight="1">
      <c r="A178" s="951"/>
      <c r="B178" s="952"/>
      <c r="C178" s="952"/>
      <c r="D178" s="952"/>
      <c r="E178" s="952"/>
      <c r="F178" s="952"/>
      <c r="G178" s="952"/>
      <c r="H178" s="953"/>
      <c r="I178" s="15" t="s">
        <v>20</v>
      </c>
      <c r="J178" s="73">
        <f t="shared" si="286"/>
        <v>13890.029999999999</v>
      </c>
      <c r="K178" s="73">
        <f t="shared" si="286"/>
        <v>0</v>
      </c>
      <c r="L178" s="3">
        <f>L182+L229+L256+L267+L279+L336+L346</f>
        <v>429368.09000000008</v>
      </c>
      <c r="M178" s="3">
        <f>M182+M229+M256+M267+M279+M336+M346</f>
        <v>36205.620000000003</v>
      </c>
      <c r="N178" s="3">
        <f>N182+N229+N256+N267+N279+N336+N346</f>
        <v>88280.380000000019</v>
      </c>
      <c r="O178" s="3">
        <f>O182+O229+O256+O267+O279+O336+O346</f>
        <v>53996.09</v>
      </c>
      <c r="P178" s="3">
        <f>P182+P229+P256+P267+P279+P336+P346</f>
        <v>49732.090000000004</v>
      </c>
      <c r="Q178" s="47">
        <f>Q182+Q229+Q267+Q279+Q256</f>
        <v>11056.386</v>
      </c>
      <c r="R178" s="47">
        <f t="shared" ref="R178:AI178" si="288">R182+R229+R267+R279+R256</f>
        <v>941.01400000000001</v>
      </c>
      <c r="S178" s="47">
        <f t="shared" si="288"/>
        <v>941.01400000000001</v>
      </c>
      <c r="T178" s="47">
        <f t="shared" si="288"/>
        <v>3400.56</v>
      </c>
      <c r="U178" s="47">
        <f t="shared" si="288"/>
        <v>3432.9600000000005</v>
      </c>
      <c r="V178" s="47">
        <f t="shared" si="288"/>
        <v>1315.81</v>
      </c>
      <c r="W178" s="47">
        <f t="shared" si="288"/>
        <v>1315.81</v>
      </c>
      <c r="X178" s="47">
        <f t="shared" si="288"/>
        <v>45</v>
      </c>
      <c r="Y178" s="47">
        <f t="shared" si="288"/>
        <v>288.62900000000002</v>
      </c>
      <c r="Z178" s="47">
        <f t="shared" si="288"/>
        <v>9960.1740000000009</v>
      </c>
      <c r="AA178" s="47">
        <f t="shared" si="288"/>
        <v>0</v>
      </c>
      <c r="AB178" s="47">
        <f t="shared" si="288"/>
        <v>2519.1820000000002</v>
      </c>
      <c r="AC178" s="47">
        <f t="shared" si="288"/>
        <v>1348.21</v>
      </c>
      <c r="AD178" s="47">
        <f t="shared" si="288"/>
        <v>288.62900000000002</v>
      </c>
      <c r="AE178" s="47">
        <f t="shared" si="288"/>
        <v>0</v>
      </c>
      <c r="AF178" s="47">
        <f t="shared" si="288"/>
        <v>0</v>
      </c>
      <c r="AG178" s="47">
        <f t="shared" si="288"/>
        <v>0</v>
      </c>
      <c r="AH178" s="47">
        <f t="shared" si="288"/>
        <v>0</v>
      </c>
      <c r="AI178" s="47">
        <f t="shared" si="288"/>
        <v>0</v>
      </c>
      <c r="AJ178" s="22">
        <f>AJ182+AJ229+AJ267</f>
        <v>-41565.72</v>
      </c>
      <c r="AK178" s="22">
        <f t="shared" ref="AK178:AN178" si="289">AK182+AK229+AK267</f>
        <v>-41565.72</v>
      </c>
      <c r="AL178" s="22" t="e">
        <f t="shared" si="289"/>
        <v>#DIV/0!</v>
      </c>
      <c r="AM178" s="22">
        <f t="shared" si="289"/>
        <v>0</v>
      </c>
      <c r="AN178" s="22">
        <f t="shared" si="289"/>
        <v>0</v>
      </c>
      <c r="AO178" s="404"/>
    </row>
    <row r="179" spans="1:41" s="390" customFormat="1" ht="28.5" customHeight="1">
      <c r="A179" s="951"/>
      <c r="B179" s="952"/>
      <c r="C179" s="952"/>
      <c r="D179" s="952"/>
      <c r="E179" s="952"/>
      <c r="F179" s="952"/>
      <c r="G179" s="952"/>
      <c r="H179" s="953"/>
      <c r="I179" s="15" t="s">
        <v>10</v>
      </c>
      <c r="J179" s="73">
        <f t="shared" si="286"/>
        <v>0</v>
      </c>
      <c r="K179" s="73">
        <f t="shared" si="286"/>
        <v>0</v>
      </c>
      <c r="L179" s="3">
        <f>L183+L230+L257+L268+L280+L337+L347</f>
        <v>622877.74</v>
      </c>
      <c r="M179" s="22">
        <f>M183+M230+M268+M280</f>
        <v>492377.74</v>
      </c>
      <c r="N179" s="22">
        <f>N183+N230+N268+N280</f>
        <v>490727.64</v>
      </c>
      <c r="O179" s="22">
        <f>O183+O230+O268+O280</f>
        <v>490727.64</v>
      </c>
      <c r="P179" s="22">
        <f>P183+P230+P268+P280</f>
        <v>0</v>
      </c>
      <c r="Q179" s="22">
        <f t="shared" ref="Q179:AD179" si="290">Q183+Q230+Q268+Q280</f>
        <v>222424.02035000001</v>
      </c>
      <c r="R179" s="22">
        <f t="shared" si="290"/>
        <v>21023.332999999999</v>
      </c>
      <c r="S179" s="22">
        <f t="shared" si="290"/>
        <v>21023.332999999999</v>
      </c>
      <c r="T179" s="22">
        <f t="shared" si="290"/>
        <v>32329.882999999998</v>
      </c>
      <c r="U179" s="22">
        <f t="shared" si="290"/>
        <v>32329.882999999998</v>
      </c>
      <c r="V179" s="22">
        <f t="shared" si="290"/>
        <v>110886.67535</v>
      </c>
      <c r="W179" s="22">
        <f t="shared" si="290"/>
        <v>110886.67535</v>
      </c>
      <c r="X179" s="22">
        <f t="shared" si="290"/>
        <v>0</v>
      </c>
      <c r="Y179" s="22">
        <f t="shared" si="290"/>
        <v>58184.128999999994</v>
      </c>
      <c r="Z179" s="22">
        <f t="shared" si="290"/>
        <v>204696.80111999999</v>
      </c>
      <c r="AA179" s="22">
        <f t="shared" si="290"/>
        <v>21023.332999999999</v>
      </c>
      <c r="AB179" s="22">
        <f t="shared" si="290"/>
        <v>38505.235000000001</v>
      </c>
      <c r="AC179" s="22">
        <f t="shared" si="290"/>
        <v>100291.97612000001</v>
      </c>
      <c r="AD179" s="22">
        <f t="shared" si="290"/>
        <v>44876.256999999998</v>
      </c>
      <c r="AE179" s="22">
        <f>AE183+AE230+AE268+AE280</f>
        <v>0</v>
      </c>
      <c r="AF179" s="22">
        <f>AF183+AF230+AF268+AF280</f>
        <v>0</v>
      </c>
      <c r="AG179" s="22">
        <f t="shared" ref="AG179:AI180" si="291">AG183+AG230+AG268</f>
        <v>0</v>
      </c>
      <c r="AH179" s="22">
        <f t="shared" si="291"/>
        <v>0</v>
      </c>
      <c r="AI179" s="22">
        <f t="shared" si="291"/>
        <v>0</v>
      </c>
      <c r="AJ179" s="22">
        <f>AJ183+AJ230+AJ268</f>
        <v>0</v>
      </c>
      <c r="AK179" s="22">
        <f t="shared" ref="AK179:AN180" si="292">AK183+AK230+AK268</f>
        <v>0</v>
      </c>
      <c r="AL179" s="22">
        <f t="shared" si="292"/>
        <v>0</v>
      </c>
      <c r="AM179" s="22">
        <f t="shared" si="292"/>
        <v>0</v>
      </c>
      <c r="AN179" s="22">
        <f t="shared" si="292"/>
        <v>0</v>
      </c>
      <c r="AO179" s="404"/>
    </row>
    <row r="180" spans="1:41" s="390" customFormat="1" ht="25.5" customHeight="1">
      <c r="A180" s="954"/>
      <c r="B180" s="955"/>
      <c r="C180" s="955"/>
      <c r="D180" s="955"/>
      <c r="E180" s="955"/>
      <c r="F180" s="955"/>
      <c r="G180" s="955"/>
      <c r="H180" s="956"/>
      <c r="I180" s="15" t="s">
        <v>9</v>
      </c>
      <c r="J180" s="73">
        <f t="shared" si="286"/>
        <v>0</v>
      </c>
      <c r="K180" s="73">
        <f t="shared" si="286"/>
        <v>0</v>
      </c>
      <c r="L180" s="3">
        <f>L184+L231+L258+L269+L281+L338+L348</f>
        <v>0</v>
      </c>
      <c r="M180" s="16">
        <f t="shared" ref="M180:AF180" si="293">M184+M231+M269</f>
        <v>0</v>
      </c>
      <c r="N180" s="22">
        <f t="shared" si="293"/>
        <v>0</v>
      </c>
      <c r="O180" s="16">
        <f t="shared" si="293"/>
        <v>1</v>
      </c>
      <c r="P180" s="47">
        <f t="shared" si="293"/>
        <v>0</v>
      </c>
      <c r="Q180" s="22">
        <f t="shared" si="293"/>
        <v>0</v>
      </c>
      <c r="R180" s="22">
        <f t="shared" si="293"/>
        <v>0</v>
      </c>
      <c r="S180" s="22">
        <f t="shared" si="293"/>
        <v>0</v>
      </c>
      <c r="T180" s="22">
        <f t="shared" si="293"/>
        <v>0</v>
      </c>
      <c r="U180" s="22">
        <f t="shared" si="293"/>
        <v>0</v>
      </c>
      <c r="V180" s="22">
        <f t="shared" si="293"/>
        <v>0</v>
      </c>
      <c r="W180" s="22">
        <f t="shared" si="293"/>
        <v>0</v>
      </c>
      <c r="X180" s="22">
        <f t="shared" si="293"/>
        <v>0</v>
      </c>
      <c r="Y180" s="22">
        <f t="shared" si="293"/>
        <v>0</v>
      </c>
      <c r="Z180" s="22">
        <f t="shared" si="293"/>
        <v>0</v>
      </c>
      <c r="AA180" s="22">
        <f t="shared" si="293"/>
        <v>0</v>
      </c>
      <c r="AB180" s="22">
        <f t="shared" si="293"/>
        <v>0</v>
      </c>
      <c r="AC180" s="22">
        <f t="shared" si="293"/>
        <v>0</v>
      </c>
      <c r="AD180" s="22">
        <f t="shared" si="293"/>
        <v>0</v>
      </c>
      <c r="AE180" s="22">
        <f t="shared" si="293"/>
        <v>0</v>
      </c>
      <c r="AF180" s="22">
        <f t="shared" si="293"/>
        <v>0</v>
      </c>
      <c r="AG180" s="22">
        <f t="shared" si="291"/>
        <v>0</v>
      </c>
      <c r="AH180" s="22">
        <f t="shared" si="291"/>
        <v>0</v>
      </c>
      <c r="AI180" s="22">
        <f t="shared" si="291"/>
        <v>0</v>
      </c>
      <c r="AJ180" s="22">
        <f>AJ184+AJ231+AJ269</f>
        <v>0</v>
      </c>
      <c r="AK180" s="22">
        <f t="shared" si="292"/>
        <v>0</v>
      </c>
      <c r="AL180" s="22">
        <f t="shared" si="292"/>
        <v>0</v>
      </c>
      <c r="AM180" s="22">
        <f t="shared" si="292"/>
        <v>0</v>
      </c>
      <c r="AN180" s="22">
        <f t="shared" si="292"/>
        <v>0</v>
      </c>
      <c r="AO180" s="404"/>
    </row>
    <row r="181" spans="1:41" ht="51.75" customHeight="1">
      <c r="A181" s="986" t="s">
        <v>27</v>
      </c>
      <c r="B181" s="921" t="s">
        <v>219</v>
      </c>
      <c r="C181" s="922"/>
      <c r="D181" s="922"/>
      <c r="E181" s="922"/>
      <c r="F181" s="922"/>
      <c r="G181" s="922"/>
      <c r="H181" s="923"/>
      <c r="I181" s="15" t="s">
        <v>19</v>
      </c>
      <c r="J181" s="16">
        <f>J185+J189+J193</f>
        <v>152886.9</v>
      </c>
      <c r="K181" s="16">
        <f>K185+K189+K193</f>
        <v>25354.1</v>
      </c>
      <c r="L181" s="16">
        <f>L185+L189+L193+L202+L207+L211+L218+L221+L224</f>
        <v>280847.83000000007</v>
      </c>
      <c r="M181" s="16">
        <f t="shared" ref="M181:O181" si="294">M185+M189+M193+M202+M207+M211+M218+M221+M224</f>
        <v>42443.12</v>
      </c>
      <c r="N181" s="16">
        <f t="shared" si="294"/>
        <v>35331.160000000003</v>
      </c>
      <c r="O181" s="16">
        <f t="shared" si="294"/>
        <v>29530.94</v>
      </c>
      <c r="P181" s="16">
        <f>P185+P189+P193+P202+P207+P211+P218+P221+P224</f>
        <v>55764.290000000008</v>
      </c>
      <c r="Q181" s="22">
        <f>Q185+Q189+Q193+Q202+Q207+Q210</f>
        <v>6462.4170000000004</v>
      </c>
      <c r="R181" s="22">
        <f t="shared" ref="R181:Z181" si="295">R185+R189+R193+R202+R207+R210</f>
        <v>3750.672</v>
      </c>
      <c r="S181" s="22">
        <f t="shared" si="295"/>
        <v>3750.672</v>
      </c>
      <c r="T181" s="22">
        <f t="shared" si="295"/>
        <v>2684.2050000000004</v>
      </c>
      <c r="U181" s="22">
        <f t="shared" si="295"/>
        <v>2684.2050000000004</v>
      </c>
      <c r="V181" s="22">
        <f t="shared" si="295"/>
        <v>0</v>
      </c>
      <c r="W181" s="22">
        <f t="shared" si="295"/>
        <v>0</v>
      </c>
      <c r="X181" s="22">
        <f t="shared" si="295"/>
        <v>27.54</v>
      </c>
      <c r="Y181" s="22">
        <f t="shared" si="295"/>
        <v>27.54</v>
      </c>
      <c r="Z181" s="22">
        <f t="shared" si="295"/>
        <v>3462.4170000000004</v>
      </c>
      <c r="AA181" s="22">
        <f>AA185+AA189+AA193+AA202+AA207+AA210</f>
        <v>3397.0770000000002</v>
      </c>
      <c r="AB181" s="22">
        <f>AB185+AB189+AB193+AB202+AB207+AB210</f>
        <v>0</v>
      </c>
      <c r="AC181" s="22">
        <f t="shared" ref="AC181:AD181" si="296">AC185+AC189+AC193+AC202+AC207+AC210</f>
        <v>37.799999999999997</v>
      </c>
      <c r="AD181" s="22">
        <f t="shared" si="296"/>
        <v>27.54</v>
      </c>
      <c r="AE181" s="22">
        <f t="shared" ref="AE181:AN181" si="297">AE185+AE189+AE193</f>
        <v>0</v>
      </c>
      <c r="AF181" s="22">
        <f t="shared" ref="AF181" si="298">AF185+AF189+AF193</f>
        <v>0</v>
      </c>
      <c r="AG181" s="22">
        <f t="shared" ref="AG181:AH181" si="299">AG185+AG189+AG193</f>
        <v>0</v>
      </c>
      <c r="AH181" s="22">
        <f t="shared" si="299"/>
        <v>0</v>
      </c>
      <c r="AI181" s="22">
        <f t="shared" ref="AI181" si="300">AI185+AI189+AI193</f>
        <v>0</v>
      </c>
      <c r="AJ181" s="22">
        <f t="shared" si="297"/>
        <v>18808.567999999999</v>
      </c>
      <c r="AK181" s="22">
        <f t="shared" si="297"/>
        <v>18808.567999999999</v>
      </c>
      <c r="AL181" s="22">
        <f t="shared" si="297"/>
        <v>6.62</v>
      </c>
      <c r="AM181" s="22">
        <f t="shared" si="297"/>
        <v>0</v>
      </c>
      <c r="AN181" s="22">
        <f t="shared" si="297"/>
        <v>0</v>
      </c>
      <c r="AO181" s="404"/>
    </row>
    <row r="182" spans="1:41" ht="47.25" customHeight="1">
      <c r="A182" s="987"/>
      <c r="B182" s="924"/>
      <c r="C182" s="925"/>
      <c r="D182" s="925"/>
      <c r="E182" s="925"/>
      <c r="F182" s="925"/>
      <c r="G182" s="925"/>
      <c r="H182" s="926"/>
      <c r="I182" s="15" t="s">
        <v>20</v>
      </c>
      <c r="J182" s="16">
        <v>0</v>
      </c>
      <c r="K182" s="16">
        <v>0</v>
      </c>
      <c r="L182" s="16"/>
      <c r="M182" s="16">
        <v>0</v>
      </c>
      <c r="N182" s="22">
        <v>0</v>
      </c>
      <c r="O182" s="16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  <c r="V182" s="22">
        <v>0</v>
      </c>
      <c r="W182" s="22">
        <v>0</v>
      </c>
      <c r="X182" s="22">
        <v>0</v>
      </c>
      <c r="Y182" s="22">
        <v>0</v>
      </c>
      <c r="Z182" s="22">
        <v>0</v>
      </c>
      <c r="AA182" s="22">
        <v>0</v>
      </c>
      <c r="AB182" s="22">
        <v>0</v>
      </c>
      <c r="AC182" s="22">
        <v>0</v>
      </c>
      <c r="AD182" s="22">
        <v>0</v>
      </c>
      <c r="AE182" s="22">
        <v>0</v>
      </c>
      <c r="AF182" s="22">
        <v>0</v>
      </c>
      <c r="AG182" s="22">
        <v>0</v>
      </c>
      <c r="AH182" s="22">
        <v>0</v>
      </c>
      <c r="AI182" s="22">
        <v>0</v>
      </c>
      <c r="AJ182" s="22">
        <v>0</v>
      </c>
      <c r="AK182" s="22">
        <v>0</v>
      </c>
      <c r="AL182" s="22">
        <v>0</v>
      </c>
      <c r="AM182" s="22">
        <v>0</v>
      </c>
      <c r="AN182" s="22">
        <v>0</v>
      </c>
      <c r="AO182" s="404"/>
    </row>
    <row r="183" spans="1:41" ht="28.5" customHeight="1">
      <c r="A183" s="987"/>
      <c r="B183" s="924"/>
      <c r="C183" s="925"/>
      <c r="D183" s="925"/>
      <c r="E183" s="925"/>
      <c r="F183" s="925"/>
      <c r="G183" s="925"/>
      <c r="H183" s="926"/>
      <c r="I183" s="15" t="s">
        <v>10</v>
      </c>
      <c r="J183" s="16">
        <v>0</v>
      </c>
      <c r="K183" s="16">
        <v>0</v>
      </c>
      <c r="L183" s="16">
        <f>L217</f>
        <v>195485</v>
      </c>
      <c r="M183" s="16">
        <f t="shared" ref="M183:W183" si="301">M217</f>
        <v>195485</v>
      </c>
      <c r="N183" s="16">
        <f t="shared" si="301"/>
        <v>195485</v>
      </c>
      <c r="O183" s="16">
        <f t="shared" si="301"/>
        <v>195485</v>
      </c>
      <c r="P183" s="22">
        <f t="shared" si="301"/>
        <v>0</v>
      </c>
      <c r="Q183" s="22">
        <f t="shared" si="301"/>
        <v>0</v>
      </c>
      <c r="R183" s="16">
        <f t="shared" si="301"/>
        <v>0</v>
      </c>
      <c r="S183" s="16">
        <f t="shared" si="301"/>
        <v>0</v>
      </c>
      <c r="T183" s="16">
        <f t="shared" si="301"/>
        <v>0</v>
      </c>
      <c r="U183" s="16">
        <f t="shared" si="301"/>
        <v>0</v>
      </c>
      <c r="V183" s="16">
        <f t="shared" si="301"/>
        <v>0</v>
      </c>
      <c r="W183" s="16">
        <f t="shared" si="301"/>
        <v>0</v>
      </c>
      <c r="X183" s="22">
        <v>0</v>
      </c>
      <c r="Y183" s="22">
        <v>0</v>
      </c>
      <c r="Z183" s="22">
        <v>0</v>
      </c>
      <c r="AA183" s="22">
        <v>0</v>
      </c>
      <c r="AB183" s="22">
        <v>0</v>
      </c>
      <c r="AC183" s="22">
        <v>0</v>
      </c>
      <c r="AD183" s="22">
        <v>0</v>
      </c>
      <c r="AE183" s="22">
        <v>0</v>
      </c>
      <c r="AF183" s="22">
        <v>0</v>
      </c>
      <c r="AG183" s="22">
        <v>0</v>
      </c>
      <c r="AH183" s="22">
        <v>0</v>
      </c>
      <c r="AI183" s="22">
        <v>0</v>
      </c>
      <c r="AJ183" s="22">
        <v>0</v>
      </c>
      <c r="AK183" s="22">
        <v>0</v>
      </c>
      <c r="AL183" s="22">
        <v>0</v>
      </c>
      <c r="AM183" s="22">
        <v>0</v>
      </c>
      <c r="AN183" s="22">
        <v>0</v>
      </c>
      <c r="AO183" s="404"/>
    </row>
    <row r="184" spans="1:41" ht="25.5" customHeight="1">
      <c r="A184" s="988"/>
      <c r="B184" s="927"/>
      <c r="C184" s="928"/>
      <c r="D184" s="928"/>
      <c r="E184" s="928"/>
      <c r="F184" s="928"/>
      <c r="G184" s="928"/>
      <c r="H184" s="929"/>
      <c r="I184" s="15" t="s">
        <v>9</v>
      </c>
      <c r="J184" s="16">
        <v>0</v>
      </c>
      <c r="K184" s="16">
        <v>0</v>
      </c>
      <c r="L184" s="16"/>
      <c r="M184" s="16">
        <v>0</v>
      </c>
      <c r="N184" s="22">
        <v>0</v>
      </c>
      <c r="O184" s="16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  <c r="V184" s="22">
        <v>0</v>
      </c>
      <c r="W184" s="22">
        <v>0</v>
      </c>
      <c r="X184" s="22">
        <v>0</v>
      </c>
      <c r="Y184" s="22">
        <v>0</v>
      </c>
      <c r="Z184" s="22">
        <v>0</v>
      </c>
      <c r="AA184" s="22">
        <v>0</v>
      </c>
      <c r="AB184" s="22">
        <v>0</v>
      </c>
      <c r="AC184" s="22">
        <v>0</v>
      </c>
      <c r="AD184" s="22">
        <v>0</v>
      </c>
      <c r="AE184" s="22">
        <v>0</v>
      </c>
      <c r="AF184" s="22">
        <v>0</v>
      </c>
      <c r="AG184" s="22">
        <v>0</v>
      </c>
      <c r="AH184" s="22">
        <v>0</v>
      </c>
      <c r="AI184" s="22">
        <v>0</v>
      </c>
      <c r="AJ184" s="22">
        <v>0</v>
      </c>
      <c r="AK184" s="22">
        <v>0</v>
      </c>
      <c r="AL184" s="22">
        <v>0</v>
      </c>
      <c r="AM184" s="22">
        <v>0</v>
      </c>
      <c r="AN184" s="22">
        <v>0</v>
      </c>
      <c r="AO184" s="404"/>
    </row>
    <row r="185" spans="1:41" ht="83.25" customHeight="1">
      <c r="A185" s="828" t="s">
        <v>34</v>
      </c>
      <c r="B185" s="80" t="s">
        <v>399</v>
      </c>
      <c r="C185" s="935"/>
      <c r="D185" s="935"/>
      <c r="E185" s="935"/>
      <c r="F185" s="898">
        <v>220000</v>
      </c>
      <c r="G185" s="932">
        <v>2018</v>
      </c>
      <c r="H185" s="932">
        <v>2021</v>
      </c>
      <c r="I185" s="884" t="s">
        <v>19</v>
      </c>
      <c r="J185" s="882">
        <v>66036</v>
      </c>
      <c r="K185" s="882">
        <v>16509</v>
      </c>
      <c r="L185" s="85">
        <f>L186</f>
        <v>51032.3</v>
      </c>
      <c r="M185" s="85">
        <f t="shared" ref="M185:P185" si="302">M186</f>
        <v>16509</v>
      </c>
      <c r="N185" s="85">
        <f t="shared" si="302"/>
        <v>800</v>
      </c>
      <c r="O185" s="85">
        <f t="shared" si="302"/>
        <v>6409</v>
      </c>
      <c r="P185" s="85">
        <f t="shared" si="302"/>
        <v>6409</v>
      </c>
      <c r="Q185" s="85">
        <f>Q186</f>
        <v>81</v>
      </c>
      <c r="R185" s="85">
        <f t="shared" ref="R185:AC185" si="303">R186</f>
        <v>43.2</v>
      </c>
      <c r="S185" s="85">
        <f t="shared" si="303"/>
        <v>43.2</v>
      </c>
      <c r="T185" s="85">
        <f t="shared" si="303"/>
        <v>37.799999999999997</v>
      </c>
      <c r="U185" s="85">
        <f t="shared" si="303"/>
        <v>37.799999999999997</v>
      </c>
      <c r="V185" s="85">
        <f t="shared" si="303"/>
        <v>0</v>
      </c>
      <c r="W185" s="85">
        <f t="shared" si="303"/>
        <v>0</v>
      </c>
      <c r="X185" s="85">
        <f t="shared" si="303"/>
        <v>0</v>
      </c>
      <c r="Y185" s="85">
        <f t="shared" si="303"/>
        <v>0</v>
      </c>
      <c r="Z185" s="85">
        <f t="shared" si="303"/>
        <v>81</v>
      </c>
      <c r="AA185" s="85">
        <f t="shared" si="303"/>
        <v>43.2</v>
      </c>
      <c r="AB185" s="85">
        <f t="shared" si="303"/>
        <v>0</v>
      </c>
      <c r="AC185" s="85">
        <f t="shared" si="303"/>
        <v>37.799999999999997</v>
      </c>
      <c r="AD185" s="85">
        <f t="shared" ref="AD185:AN185" si="304">AD186</f>
        <v>0</v>
      </c>
      <c r="AE185" s="85">
        <f t="shared" si="304"/>
        <v>0</v>
      </c>
      <c r="AF185" s="85">
        <f t="shared" si="304"/>
        <v>0</v>
      </c>
      <c r="AG185" s="85">
        <f t="shared" si="304"/>
        <v>0</v>
      </c>
      <c r="AH185" s="85">
        <f t="shared" si="304"/>
        <v>0</v>
      </c>
      <c r="AI185" s="85">
        <f t="shared" si="304"/>
        <v>0</v>
      </c>
      <c r="AJ185" s="82">
        <f>P185-Q185</f>
        <v>6328</v>
      </c>
      <c r="AK185" s="82">
        <f>AJ185</f>
        <v>6328</v>
      </c>
      <c r="AL185" s="82">
        <f>ROUND((Q185*100%/P185*100),2)</f>
        <v>1.26</v>
      </c>
      <c r="AM185" s="85">
        <f t="shared" si="304"/>
        <v>0</v>
      </c>
      <c r="AN185" s="85">
        <f t="shared" si="304"/>
        <v>0</v>
      </c>
      <c r="AO185" s="434"/>
    </row>
    <row r="186" spans="1:41" ht="26.25" customHeight="1">
      <c r="A186" s="887"/>
      <c r="B186" s="7" t="s">
        <v>39</v>
      </c>
      <c r="C186" s="936"/>
      <c r="D186" s="936"/>
      <c r="E186" s="936"/>
      <c r="F186" s="931"/>
      <c r="G186" s="933"/>
      <c r="H186" s="933"/>
      <c r="I186" s="885"/>
      <c r="J186" s="883"/>
      <c r="K186" s="883"/>
      <c r="L186" s="75">
        <v>51032.3</v>
      </c>
      <c r="M186" s="86">
        <v>16509</v>
      </c>
      <c r="N186" s="86">
        <v>800</v>
      </c>
      <c r="O186" s="86">
        <v>6409</v>
      </c>
      <c r="P186" s="86">
        <v>6409</v>
      </c>
      <c r="Q186" s="86">
        <f>Q188+Q187</f>
        <v>81</v>
      </c>
      <c r="R186" s="86">
        <f t="shared" ref="R186:AD186" si="305">R188+R187</f>
        <v>43.2</v>
      </c>
      <c r="S186" s="86">
        <f t="shared" si="305"/>
        <v>43.2</v>
      </c>
      <c r="T186" s="86">
        <f t="shared" si="305"/>
        <v>37.799999999999997</v>
      </c>
      <c r="U186" s="86">
        <f t="shared" si="305"/>
        <v>37.799999999999997</v>
      </c>
      <c r="V186" s="86">
        <f t="shared" si="305"/>
        <v>0</v>
      </c>
      <c r="W186" s="86">
        <f t="shared" si="305"/>
        <v>0</v>
      </c>
      <c r="X186" s="86">
        <f t="shared" si="305"/>
        <v>0</v>
      </c>
      <c r="Y186" s="86">
        <f t="shared" si="305"/>
        <v>0</v>
      </c>
      <c r="Z186" s="86">
        <f t="shared" si="305"/>
        <v>81</v>
      </c>
      <c r="AA186" s="86">
        <f t="shared" si="305"/>
        <v>43.2</v>
      </c>
      <c r="AB186" s="86">
        <f t="shared" si="305"/>
        <v>0</v>
      </c>
      <c r="AC186" s="86">
        <f t="shared" si="305"/>
        <v>37.799999999999997</v>
      </c>
      <c r="AD186" s="86">
        <f t="shared" si="305"/>
        <v>0</v>
      </c>
      <c r="AE186" s="86">
        <f t="shared" ref="AE186:AF186" si="306">AE188</f>
        <v>0</v>
      </c>
      <c r="AF186" s="86">
        <f t="shared" si="306"/>
        <v>0</v>
      </c>
      <c r="AG186" s="86">
        <v>0</v>
      </c>
      <c r="AH186" s="86">
        <v>0</v>
      </c>
      <c r="AI186" s="86">
        <v>0</v>
      </c>
      <c r="AJ186" s="86">
        <v>0</v>
      </c>
      <c r="AK186" s="86">
        <v>0</v>
      </c>
      <c r="AL186" s="86">
        <v>0</v>
      </c>
      <c r="AM186" s="86">
        <v>0</v>
      </c>
      <c r="AN186" s="86">
        <v>0</v>
      </c>
      <c r="AO186" s="416"/>
    </row>
    <row r="187" spans="1:41" s="100" customFormat="1" ht="26.25" hidden="1" customHeight="1">
      <c r="A187" s="658"/>
      <c r="B187" s="659" t="s">
        <v>336</v>
      </c>
      <c r="C187" s="660"/>
      <c r="D187" s="660"/>
      <c r="E187" s="660"/>
      <c r="F187" s="661"/>
      <c r="G187" s="662"/>
      <c r="H187" s="662"/>
      <c r="I187" s="663"/>
      <c r="J187" s="664"/>
      <c r="K187" s="664"/>
      <c r="L187" s="263"/>
      <c r="M187" s="264"/>
      <c r="N187" s="264"/>
      <c r="O187" s="264"/>
      <c r="P187" s="264"/>
      <c r="Q187" s="264">
        <f>U187</f>
        <v>37.799999999999997</v>
      </c>
      <c r="R187" s="264"/>
      <c r="S187" s="264"/>
      <c r="T187" s="264">
        <f>U187</f>
        <v>37.799999999999997</v>
      </c>
      <c r="U187" s="264">
        <v>37.799999999999997</v>
      </c>
      <c r="V187" s="264"/>
      <c r="W187" s="264"/>
      <c r="X187" s="264"/>
      <c r="Y187" s="264"/>
      <c r="Z187" s="264">
        <f>AC187</f>
        <v>37.799999999999997</v>
      </c>
      <c r="AA187" s="264"/>
      <c r="AB187" s="264"/>
      <c r="AC187" s="264">
        <v>37.799999999999997</v>
      </c>
      <c r="AD187" s="264"/>
      <c r="AE187" s="264"/>
      <c r="AF187" s="264"/>
      <c r="AG187" s="264"/>
      <c r="AH187" s="264"/>
      <c r="AI187" s="264"/>
      <c r="AJ187" s="264"/>
      <c r="AK187" s="264"/>
      <c r="AL187" s="665"/>
      <c r="AM187" s="264"/>
      <c r="AN187" s="264"/>
      <c r="AO187" s="419"/>
    </row>
    <row r="188" spans="1:41" s="100" customFormat="1" ht="26.25" hidden="1" customHeight="1">
      <c r="A188" s="658"/>
      <c r="B188" s="659" t="s">
        <v>336</v>
      </c>
      <c r="C188" s="660"/>
      <c r="D188" s="660"/>
      <c r="E188" s="660"/>
      <c r="F188" s="661"/>
      <c r="G188" s="662"/>
      <c r="H188" s="662"/>
      <c r="I188" s="663"/>
      <c r="J188" s="664"/>
      <c r="K188" s="664"/>
      <c r="L188" s="263"/>
      <c r="M188" s="264"/>
      <c r="N188" s="264"/>
      <c r="O188" s="264"/>
      <c r="P188" s="264"/>
      <c r="Q188" s="178">
        <f>S188</f>
        <v>43.2</v>
      </c>
      <c r="R188" s="264">
        <f>S188</f>
        <v>43.2</v>
      </c>
      <c r="S188" s="264">
        <v>43.2</v>
      </c>
      <c r="T188" s="264"/>
      <c r="U188" s="264"/>
      <c r="V188" s="264"/>
      <c r="W188" s="264"/>
      <c r="X188" s="264"/>
      <c r="Y188" s="264"/>
      <c r="Z188" s="264">
        <f>AA188</f>
        <v>43.2</v>
      </c>
      <c r="AA188" s="264">
        <v>43.2</v>
      </c>
      <c r="AB188" s="264"/>
      <c r="AC188" s="264"/>
      <c r="AD188" s="264"/>
      <c r="AE188" s="264"/>
      <c r="AF188" s="264"/>
      <c r="AG188" s="264"/>
      <c r="AH188" s="264"/>
      <c r="AI188" s="264"/>
      <c r="AJ188" s="264"/>
      <c r="AK188" s="264"/>
      <c r="AL188" s="665"/>
      <c r="AM188" s="264"/>
      <c r="AN188" s="264"/>
      <c r="AO188" s="419"/>
    </row>
    <row r="189" spans="1:41" ht="39.75" customHeight="1">
      <c r="A189" s="828" t="s">
        <v>42</v>
      </c>
      <c r="B189" s="80" t="s">
        <v>210</v>
      </c>
      <c r="C189" s="48"/>
      <c r="D189" s="48"/>
      <c r="E189" s="48"/>
      <c r="F189" s="898">
        <v>2400</v>
      </c>
      <c r="G189" s="48"/>
      <c r="H189" s="48"/>
      <c r="I189" s="837" t="s">
        <v>19</v>
      </c>
      <c r="J189" s="24">
        <v>12351.86</v>
      </c>
      <c r="K189" s="24">
        <f>K190+K192</f>
        <v>8845.1</v>
      </c>
      <c r="L189" s="82">
        <f>L190+L192</f>
        <v>17742.79</v>
      </c>
      <c r="M189" s="82">
        <f t="shared" ref="M189:P189" si="307">M190+M192</f>
        <v>1753.38</v>
      </c>
      <c r="N189" s="82">
        <f t="shared" si="307"/>
        <v>1168.92</v>
      </c>
      <c r="O189" s="82">
        <f t="shared" si="307"/>
        <v>997.45</v>
      </c>
      <c r="P189" s="82">
        <f t="shared" si="307"/>
        <v>13188.039999999999</v>
      </c>
      <c r="Q189" s="82">
        <f>Q192+Q190</f>
        <v>707.47199999999998</v>
      </c>
      <c r="R189" s="82">
        <f t="shared" ref="R189:AN189" si="308">R192+R190</f>
        <v>707.47199999999998</v>
      </c>
      <c r="S189" s="82">
        <f t="shared" si="308"/>
        <v>707.47199999999998</v>
      </c>
      <c r="T189" s="82">
        <f t="shared" si="308"/>
        <v>0</v>
      </c>
      <c r="U189" s="82">
        <f t="shared" si="308"/>
        <v>0</v>
      </c>
      <c r="V189" s="82">
        <f t="shared" si="308"/>
        <v>0</v>
      </c>
      <c r="W189" s="82">
        <f t="shared" si="308"/>
        <v>0</v>
      </c>
      <c r="X189" s="82">
        <f t="shared" si="308"/>
        <v>0</v>
      </c>
      <c r="Y189" s="82">
        <f t="shared" si="308"/>
        <v>0</v>
      </c>
      <c r="Z189" s="82">
        <f t="shared" si="308"/>
        <v>707.47199999999998</v>
      </c>
      <c r="AA189" s="82">
        <f t="shared" si="308"/>
        <v>707.47199999999998</v>
      </c>
      <c r="AB189" s="82">
        <f t="shared" si="308"/>
        <v>0</v>
      </c>
      <c r="AC189" s="82">
        <f t="shared" ref="AC189:AD189" si="309">AC192+AC190</f>
        <v>0</v>
      </c>
      <c r="AD189" s="82">
        <f t="shared" si="309"/>
        <v>0</v>
      </c>
      <c r="AE189" s="82">
        <f t="shared" si="308"/>
        <v>0</v>
      </c>
      <c r="AF189" s="82">
        <f t="shared" si="308"/>
        <v>0</v>
      </c>
      <c r="AG189" s="82">
        <f t="shared" si="308"/>
        <v>0</v>
      </c>
      <c r="AH189" s="82">
        <f t="shared" ref="AH189:AI189" si="310">AH192+AH190</f>
        <v>0</v>
      </c>
      <c r="AI189" s="82">
        <f t="shared" si="310"/>
        <v>0</v>
      </c>
      <c r="AJ189" s="82">
        <f>P189-Q189</f>
        <v>12480.567999999999</v>
      </c>
      <c r="AK189" s="82">
        <f>AJ189</f>
        <v>12480.567999999999</v>
      </c>
      <c r="AL189" s="79">
        <f>ROUND((Q189*100%/P189*100),2)</f>
        <v>5.36</v>
      </c>
      <c r="AM189" s="82">
        <f t="shared" si="308"/>
        <v>0</v>
      </c>
      <c r="AN189" s="82">
        <f t="shared" si="308"/>
        <v>0</v>
      </c>
      <c r="AO189" s="417"/>
    </row>
    <row r="190" spans="1:41" ht="16.5" customHeight="1">
      <c r="A190" s="886"/>
      <c r="B190" s="1" t="s">
        <v>15</v>
      </c>
      <c r="C190" s="48"/>
      <c r="D190" s="48"/>
      <c r="E190" s="48"/>
      <c r="F190" s="899"/>
      <c r="G190" s="39">
        <v>2018</v>
      </c>
      <c r="H190" s="39">
        <v>2018</v>
      </c>
      <c r="I190" s="838"/>
      <c r="J190" s="27">
        <v>1815.76</v>
      </c>
      <c r="K190" s="27">
        <v>1815.76</v>
      </c>
      <c r="L190" s="22">
        <v>889.05</v>
      </c>
      <c r="M190" s="22">
        <v>0</v>
      </c>
      <c r="N190" s="22">
        <v>412.99</v>
      </c>
      <c r="O190" s="22">
        <v>0</v>
      </c>
      <c r="P190" s="22">
        <v>229.39</v>
      </c>
      <c r="Q190" s="22">
        <f>Q191</f>
        <v>707.47199999999998</v>
      </c>
      <c r="R190" s="22">
        <f t="shared" ref="R190:AI190" si="311">R191</f>
        <v>707.47199999999998</v>
      </c>
      <c r="S190" s="22">
        <f t="shared" si="311"/>
        <v>707.47199999999998</v>
      </c>
      <c r="T190" s="22">
        <f t="shared" si="311"/>
        <v>0</v>
      </c>
      <c r="U190" s="22">
        <f t="shared" si="311"/>
        <v>0</v>
      </c>
      <c r="V190" s="22">
        <f t="shared" si="311"/>
        <v>0</v>
      </c>
      <c r="W190" s="22">
        <f t="shared" si="311"/>
        <v>0</v>
      </c>
      <c r="X190" s="22">
        <f t="shared" si="311"/>
        <v>0</v>
      </c>
      <c r="Y190" s="22">
        <f t="shared" si="311"/>
        <v>0</v>
      </c>
      <c r="Z190" s="22">
        <f t="shared" si="311"/>
        <v>707.47199999999998</v>
      </c>
      <c r="AA190" s="22">
        <f t="shared" si="311"/>
        <v>707.47199999999998</v>
      </c>
      <c r="AB190" s="22">
        <f t="shared" si="311"/>
        <v>0</v>
      </c>
      <c r="AC190" s="22">
        <f t="shared" si="311"/>
        <v>0</v>
      </c>
      <c r="AD190" s="22">
        <f t="shared" si="311"/>
        <v>0</v>
      </c>
      <c r="AE190" s="22">
        <f t="shared" si="311"/>
        <v>0</v>
      </c>
      <c r="AF190" s="22">
        <f t="shared" si="311"/>
        <v>0</v>
      </c>
      <c r="AG190" s="22">
        <f t="shared" si="311"/>
        <v>0</v>
      </c>
      <c r="AH190" s="22">
        <f t="shared" si="311"/>
        <v>0</v>
      </c>
      <c r="AI190" s="22">
        <f t="shared" si="311"/>
        <v>0</v>
      </c>
      <c r="AJ190" s="22">
        <v>0</v>
      </c>
      <c r="AK190" s="22">
        <v>0</v>
      </c>
      <c r="AL190" s="22">
        <v>0</v>
      </c>
      <c r="AM190" s="22">
        <v>0</v>
      </c>
      <c r="AN190" s="22">
        <v>0</v>
      </c>
      <c r="AO190" s="418"/>
    </row>
    <row r="191" spans="1:41" s="100" customFormat="1" ht="16.5" hidden="1" customHeight="1">
      <c r="A191" s="886"/>
      <c r="B191" s="105" t="s">
        <v>353</v>
      </c>
      <c r="C191" s="666"/>
      <c r="D191" s="666"/>
      <c r="E191" s="666"/>
      <c r="F191" s="899"/>
      <c r="G191" s="107"/>
      <c r="H191" s="107"/>
      <c r="I191" s="838"/>
      <c r="J191" s="96"/>
      <c r="K191" s="96"/>
      <c r="L191" s="178"/>
      <c r="M191" s="178"/>
      <c r="N191" s="178"/>
      <c r="O191" s="178"/>
      <c r="P191" s="178"/>
      <c r="Q191" s="178">
        <f>S191</f>
        <v>707.47199999999998</v>
      </c>
      <c r="R191" s="178">
        <f>S191</f>
        <v>707.47199999999998</v>
      </c>
      <c r="S191" s="178">
        <v>707.47199999999998</v>
      </c>
      <c r="T191" s="178"/>
      <c r="U191" s="178"/>
      <c r="V191" s="178"/>
      <c r="W191" s="178"/>
      <c r="X191" s="178"/>
      <c r="Y191" s="178"/>
      <c r="Z191" s="178">
        <f>AA191</f>
        <v>707.47199999999998</v>
      </c>
      <c r="AA191" s="178">
        <v>707.47199999999998</v>
      </c>
      <c r="AB191" s="178"/>
      <c r="AC191" s="178"/>
      <c r="AD191" s="178"/>
      <c r="AE191" s="178"/>
      <c r="AF191" s="178"/>
      <c r="AG191" s="178"/>
      <c r="AH191" s="178"/>
      <c r="AI191" s="178"/>
      <c r="AJ191" s="178"/>
      <c r="AK191" s="178"/>
      <c r="AL191" s="178"/>
      <c r="AM191" s="178"/>
      <c r="AN191" s="178"/>
      <c r="AO191" s="667"/>
    </row>
    <row r="192" spans="1:41" ht="14.25" customHeight="1">
      <c r="A192" s="887"/>
      <c r="B192" s="1" t="s">
        <v>32</v>
      </c>
      <c r="C192" s="48"/>
      <c r="D192" s="48"/>
      <c r="E192" s="48"/>
      <c r="F192" s="900"/>
      <c r="G192" s="39">
        <v>2018</v>
      </c>
      <c r="H192" s="39">
        <v>2021</v>
      </c>
      <c r="I192" s="840"/>
      <c r="J192" s="27">
        <v>10536.1</v>
      </c>
      <c r="K192" s="27">
        <v>7029.34</v>
      </c>
      <c r="L192" s="22">
        <v>16853.740000000002</v>
      </c>
      <c r="M192" s="22">
        <v>1753.38</v>
      </c>
      <c r="N192" s="22">
        <v>755.93</v>
      </c>
      <c r="O192" s="22">
        <v>997.45</v>
      </c>
      <c r="P192" s="22">
        <v>12958.65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  <c r="V192" s="22">
        <v>0</v>
      </c>
      <c r="W192" s="22">
        <v>0</v>
      </c>
      <c r="X192" s="22">
        <v>0</v>
      </c>
      <c r="Y192" s="22">
        <v>0</v>
      </c>
      <c r="Z192" s="22">
        <v>0</v>
      </c>
      <c r="AA192" s="22">
        <v>0</v>
      </c>
      <c r="AB192" s="22">
        <v>0</v>
      </c>
      <c r="AC192" s="22">
        <v>0</v>
      </c>
      <c r="AD192" s="22">
        <v>0</v>
      </c>
      <c r="AE192" s="22">
        <v>0</v>
      </c>
      <c r="AF192" s="22">
        <v>0</v>
      </c>
      <c r="AG192" s="22">
        <v>0</v>
      </c>
      <c r="AH192" s="22">
        <v>0</v>
      </c>
      <c r="AI192" s="22">
        <v>0</v>
      </c>
      <c r="AJ192" s="22">
        <v>0</v>
      </c>
      <c r="AK192" s="22">
        <v>0</v>
      </c>
      <c r="AL192" s="22">
        <v>0</v>
      </c>
      <c r="AM192" s="22">
        <v>0</v>
      </c>
      <c r="AN192" s="22">
        <v>0</v>
      </c>
      <c r="AO192" s="404"/>
    </row>
    <row r="193" spans="1:41" ht="81.75" customHeight="1">
      <c r="A193" s="832" t="s">
        <v>63</v>
      </c>
      <c r="B193" s="80" t="s">
        <v>364</v>
      </c>
      <c r="C193" s="901"/>
      <c r="D193" s="901"/>
      <c r="E193" s="901"/>
      <c r="F193" s="1010"/>
      <c r="G193" s="930">
        <v>2019</v>
      </c>
      <c r="H193" s="915">
        <v>2021</v>
      </c>
      <c r="I193" s="910" t="s">
        <v>19</v>
      </c>
      <c r="J193" s="911">
        <f>K193+L193</f>
        <v>74499.039999999994</v>
      </c>
      <c r="K193" s="957">
        <v>0</v>
      </c>
      <c r="L193" s="81">
        <f>L194</f>
        <v>74499.039999999994</v>
      </c>
      <c r="M193" s="81">
        <f t="shared" ref="M193:P193" si="312">M194</f>
        <v>24180.74</v>
      </c>
      <c r="N193" s="81">
        <f t="shared" si="312"/>
        <v>24180.74</v>
      </c>
      <c r="O193" s="81">
        <f t="shared" si="312"/>
        <v>13819.52</v>
      </c>
      <c r="P193" s="81">
        <f t="shared" si="312"/>
        <v>26137.56</v>
      </c>
      <c r="Q193" s="85">
        <f>Q194</f>
        <v>0</v>
      </c>
      <c r="R193" s="85">
        <f t="shared" ref="R193:W193" si="313">R194</f>
        <v>0</v>
      </c>
      <c r="S193" s="85">
        <f t="shared" si="313"/>
        <v>0</v>
      </c>
      <c r="T193" s="85">
        <f t="shared" si="313"/>
        <v>0</v>
      </c>
      <c r="U193" s="85">
        <f t="shared" si="313"/>
        <v>0</v>
      </c>
      <c r="V193" s="85">
        <f t="shared" si="313"/>
        <v>0</v>
      </c>
      <c r="W193" s="85">
        <f t="shared" si="313"/>
        <v>0</v>
      </c>
      <c r="X193" s="85">
        <f>X194</f>
        <v>0</v>
      </c>
      <c r="Y193" s="85">
        <f>Y194</f>
        <v>0</v>
      </c>
      <c r="Z193" s="85">
        <f>Z194</f>
        <v>0</v>
      </c>
      <c r="AA193" s="85">
        <f>AA194</f>
        <v>0</v>
      </c>
      <c r="AB193" s="85">
        <f>AB194</f>
        <v>0</v>
      </c>
      <c r="AC193" s="85">
        <f t="shared" ref="AC193:AD193" si="314">AC194</f>
        <v>0</v>
      </c>
      <c r="AD193" s="85">
        <f t="shared" si="314"/>
        <v>0</v>
      </c>
      <c r="AE193" s="85">
        <f t="shared" ref="AE193:AN193" si="315">AE194</f>
        <v>0</v>
      </c>
      <c r="AF193" s="85">
        <f t="shared" si="315"/>
        <v>0</v>
      </c>
      <c r="AG193" s="85">
        <f t="shared" si="315"/>
        <v>0</v>
      </c>
      <c r="AH193" s="85">
        <f t="shared" si="315"/>
        <v>0</v>
      </c>
      <c r="AI193" s="85">
        <f t="shared" si="315"/>
        <v>0</v>
      </c>
      <c r="AJ193" s="82">
        <v>0</v>
      </c>
      <c r="AK193" s="82">
        <f>AJ193</f>
        <v>0</v>
      </c>
      <c r="AL193" s="82">
        <f>ROUND((Q193*100%/P193*100),2)</f>
        <v>0</v>
      </c>
      <c r="AM193" s="85">
        <f t="shared" si="315"/>
        <v>0</v>
      </c>
      <c r="AN193" s="85">
        <f t="shared" si="315"/>
        <v>0</v>
      </c>
      <c r="AO193" s="434" t="s">
        <v>306</v>
      </c>
    </row>
    <row r="194" spans="1:41" ht="18" customHeight="1">
      <c r="A194" s="827"/>
      <c r="B194" s="1" t="s">
        <v>16</v>
      </c>
      <c r="C194" s="901"/>
      <c r="D194" s="901"/>
      <c r="E194" s="901"/>
      <c r="F194" s="1010"/>
      <c r="G194" s="930"/>
      <c r="H194" s="916"/>
      <c r="I194" s="910"/>
      <c r="J194" s="911"/>
      <c r="K194" s="958"/>
      <c r="L194" s="75">
        <v>74499.039999999994</v>
      </c>
      <c r="M194" s="86">
        <v>24180.74</v>
      </c>
      <c r="N194" s="86">
        <v>24180.74</v>
      </c>
      <c r="O194" s="86">
        <v>13819.52</v>
      </c>
      <c r="P194" s="86">
        <v>26137.56</v>
      </c>
      <c r="Q194" s="86">
        <v>0</v>
      </c>
      <c r="R194" s="86">
        <f t="shared" ref="R194:W194" si="316">SUM(R195:R201)</f>
        <v>0</v>
      </c>
      <c r="S194" s="86">
        <f t="shared" si="316"/>
        <v>0</v>
      </c>
      <c r="T194" s="86">
        <f t="shared" si="316"/>
        <v>0</v>
      </c>
      <c r="U194" s="86">
        <f t="shared" si="316"/>
        <v>0</v>
      </c>
      <c r="V194" s="86">
        <f t="shared" si="316"/>
        <v>0</v>
      </c>
      <c r="W194" s="86">
        <f t="shared" si="316"/>
        <v>0</v>
      </c>
      <c r="X194" s="86">
        <v>0</v>
      </c>
      <c r="Y194" s="86">
        <f>SUM(Y195:Y201)</f>
        <v>0</v>
      </c>
      <c r="Z194" s="86">
        <f>SUM(Z195:Z201)</f>
        <v>0</v>
      </c>
      <c r="AA194" s="86">
        <f>SUM(AA195:AA201)</f>
        <v>0</v>
      </c>
      <c r="AB194" s="86">
        <f>SUM(AB195:AB201)</f>
        <v>0</v>
      </c>
      <c r="AC194" s="86">
        <f t="shared" ref="AC194:AD194" si="317">SUM(AC195:AC201)</f>
        <v>0</v>
      </c>
      <c r="AD194" s="86">
        <f t="shared" si="317"/>
        <v>0</v>
      </c>
      <c r="AE194" s="86">
        <f>SUM(AF194:AH194)</f>
        <v>0</v>
      </c>
      <c r="AF194" s="86">
        <f t="shared" ref="AF194:AG194" si="318">SUM(AF195:AF201)</f>
        <v>0</v>
      </c>
      <c r="AG194" s="86">
        <f t="shared" si="318"/>
        <v>0</v>
      </c>
      <c r="AH194" s="86">
        <v>0</v>
      </c>
      <c r="AI194" s="86">
        <v>0</v>
      </c>
      <c r="AJ194" s="86">
        <f t="shared" ref="AJ194:AN194" si="319">SUM(AJ195:AJ201)</f>
        <v>0</v>
      </c>
      <c r="AK194" s="86">
        <f t="shared" si="319"/>
        <v>0</v>
      </c>
      <c r="AL194" s="86">
        <f t="shared" si="319"/>
        <v>0</v>
      </c>
      <c r="AM194" s="86">
        <f t="shared" si="319"/>
        <v>0</v>
      </c>
      <c r="AN194" s="86">
        <f t="shared" si="319"/>
        <v>0</v>
      </c>
      <c r="AO194" s="416"/>
    </row>
    <row r="195" spans="1:41" s="100" customFormat="1" ht="18" hidden="1" customHeight="1">
      <c r="A195" s="332"/>
      <c r="B195" s="257" t="s">
        <v>154</v>
      </c>
      <c r="C195" s="258"/>
      <c r="D195" s="258"/>
      <c r="E195" s="258"/>
      <c r="F195" s="259"/>
      <c r="G195" s="260"/>
      <c r="H195" s="261"/>
      <c r="I195" s="107"/>
      <c r="J195" s="101"/>
      <c r="K195" s="262"/>
      <c r="L195" s="263"/>
      <c r="M195" s="264"/>
      <c r="N195" s="264"/>
      <c r="O195" s="264"/>
      <c r="P195" s="86"/>
      <c r="Q195" s="264">
        <f>S195+U195</f>
        <v>0</v>
      </c>
      <c r="R195" s="264">
        <f>S195</f>
        <v>0</v>
      </c>
      <c r="S195" s="264">
        <v>0</v>
      </c>
      <c r="T195" s="264">
        <v>0</v>
      </c>
      <c r="U195" s="264">
        <v>0</v>
      </c>
      <c r="V195" s="264"/>
      <c r="W195" s="264"/>
      <c r="X195" s="264"/>
      <c r="Y195" s="264"/>
      <c r="Z195" s="264">
        <v>0</v>
      </c>
      <c r="AA195" s="264"/>
      <c r="AB195" s="264"/>
      <c r="AC195" s="264"/>
      <c r="AD195" s="264"/>
      <c r="AE195" s="264">
        <f>SUM(AF195:AF195)</f>
        <v>0</v>
      </c>
      <c r="AF195" s="264"/>
      <c r="AG195" s="264"/>
      <c r="AH195" s="264"/>
      <c r="AI195" s="264"/>
      <c r="AJ195" s="264"/>
      <c r="AK195" s="264"/>
      <c r="AL195" s="264"/>
      <c r="AM195" s="264"/>
      <c r="AN195" s="264"/>
      <c r="AO195" s="419"/>
    </row>
    <row r="196" spans="1:41" s="100" customFormat="1" ht="18" hidden="1" customHeight="1">
      <c r="A196" s="332"/>
      <c r="B196" s="257" t="s">
        <v>161</v>
      </c>
      <c r="C196" s="258"/>
      <c r="D196" s="258"/>
      <c r="E196" s="258"/>
      <c r="F196" s="259"/>
      <c r="G196" s="260"/>
      <c r="H196" s="261"/>
      <c r="I196" s="107"/>
      <c r="J196" s="101"/>
      <c r="K196" s="262"/>
      <c r="L196" s="263"/>
      <c r="M196" s="264"/>
      <c r="N196" s="264"/>
      <c r="O196" s="264"/>
      <c r="P196" s="86"/>
      <c r="Q196" s="264">
        <f>S196+U196+W196</f>
        <v>0</v>
      </c>
      <c r="R196" s="264"/>
      <c r="S196" s="264"/>
      <c r="T196" s="264"/>
      <c r="U196" s="264"/>
      <c r="V196" s="264">
        <v>0</v>
      </c>
      <c r="W196" s="264">
        <v>0</v>
      </c>
      <c r="X196" s="264"/>
      <c r="Y196" s="264"/>
      <c r="Z196" s="264">
        <v>0</v>
      </c>
      <c r="AA196" s="264">
        <v>0</v>
      </c>
      <c r="AB196" s="264"/>
      <c r="AC196" s="264"/>
      <c r="AD196" s="264"/>
      <c r="AE196" s="264">
        <f>SUM(AF196:AF196)</f>
        <v>0</v>
      </c>
      <c r="AF196" s="264"/>
      <c r="AG196" s="264"/>
      <c r="AH196" s="264"/>
      <c r="AI196" s="264"/>
      <c r="AJ196" s="264"/>
      <c r="AK196" s="264"/>
      <c r="AL196" s="264"/>
      <c r="AM196" s="264"/>
      <c r="AN196" s="264"/>
      <c r="AO196" s="419"/>
    </row>
    <row r="197" spans="1:41" s="100" customFormat="1" ht="26.25" hidden="1" customHeight="1">
      <c r="A197" s="332"/>
      <c r="B197" s="257" t="s">
        <v>234</v>
      </c>
      <c r="C197" s="258"/>
      <c r="D197" s="258"/>
      <c r="E197" s="258"/>
      <c r="F197" s="259"/>
      <c r="G197" s="260"/>
      <c r="H197" s="261"/>
      <c r="I197" s="107"/>
      <c r="J197" s="101"/>
      <c r="K197" s="262"/>
      <c r="L197" s="263"/>
      <c r="M197" s="264"/>
      <c r="N197" s="264"/>
      <c r="O197" s="264"/>
      <c r="P197" s="86"/>
      <c r="Q197" s="264">
        <f>S197+U197+W197+Y197</f>
        <v>0</v>
      </c>
      <c r="R197" s="264"/>
      <c r="S197" s="264"/>
      <c r="T197" s="264"/>
      <c r="U197" s="264"/>
      <c r="V197" s="264"/>
      <c r="W197" s="264"/>
      <c r="X197" s="264">
        <v>0</v>
      </c>
      <c r="Y197" s="264">
        <v>0</v>
      </c>
      <c r="Z197" s="264">
        <v>0</v>
      </c>
      <c r="AA197" s="264">
        <v>0</v>
      </c>
      <c r="AB197" s="264"/>
      <c r="AC197" s="264"/>
      <c r="AD197" s="264"/>
      <c r="AE197" s="264">
        <f>SUM(AF197:AF197)</f>
        <v>0</v>
      </c>
      <c r="AF197" s="264"/>
      <c r="AG197" s="264"/>
      <c r="AH197" s="264"/>
      <c r="AI197" s="264"/>
      <c r="AJ197" s="264"/>
      <c r="AK197" s="264"/>
      <c r="AL197" s="264"/>
      <c r="AM197" s="264"/>
      <c r="AN197" s="264"/>
      <c r="AO197" s="419"/>
    </row>
    <row r="198" spans="1:41" s="100" customFormat="1" ht="18" hidden="1" customHeight="1">
      <c r="A198" s="332"/>
      <c r="B198" s="257" t="s">
        <v>235</v>
      </c>
      <c r="C198" s="258"/>
      <c r="D198" s="258"/>
      <c r="E198" s="258"/>
      <c r="F198" s="259"/>
      <c r="G198" s="260"/>
      <c r="H198" s="261"/>
      <c r="I198" s="107"/>
      <c r="J198" s="101"/>
      <c r="K198" s="262"/>
      <c r="L198" s="263"/>
      <c r="M198" s="264"/>
      <c r="N198" s="264"/>
      <c r="O198" s="264"/>
      <c r="P198" s="86"/>
      <c r="Q198" s="264">
        <f>S198+U198+W198+Y198</f>
        <v>0</v>
      </c>
      <c r="R198" s="264">
        <f>S198</f>
        <v>0</v>
      </c>
      <c r="S198" s="264">
        <v>0</v>
      </c>
      <c r="T198" s="264">
        <v>0</v>
      </c>
      <c r="U198" s="264">
        <v>0</v>
      </c>
      <c r="V198" s="264"/>
      <c r="W198" s="264">
        <v>0</v>
      </c>
      <c r="X198" s="264">
        <v>0</v>
      </c>
      <c r="Y198" s="264">
        <v>0</v>
      </c>
      <c r="Z198" s="264">
        <f>AA198+AB198</f>
        <v>0</v>
      </c>
      <c r="AA198" s="264">
        <v>0</v>
      </c>
      <c r="AB198" s="264">
        <v>0</v>
      </c>
      <c r="AC198" s="264">
        <v>0</v>
      </c>
      <c r="AD198" s="264"/>
      <c r="AE198" s="264">
        <f>SUM(AF198:AF198)</f>
        <v>0</v>
      </c>
      <c r="AF198" s="264"/>
      <c r="AG198" s="264"/>
      <c r="AH198" s="264"/>
      <c r="AI198" s="264"/>
      <c r="AJ198" s="264"/>
      <c r="AK198" s="264"/>
      <c r="AL198" s="264"/>
      <c r="AM198" s="264"/>
      <c r="AN198" s="264"/>
      <c r="AO198" s="419"/>
    </row>
    <row r="199" spans="1:41" s="100" customFormat="1" ht="18" hidden="1" customHeight="1">
      <c r="A199" s="332"/>
      <c r="B199" s="257" t="s">
        <v>236</v>
      </c>
      <c r="C199" s="258"/>
      <c r="D199" s="258"/>
      <c r="E199" s="258"/>
      <c r="F199" s="259"/>
      <c r="G199" s="260"/>
      <c r="H199" s="261"/>
      <c r="I199" s="107"/>
      <c r="J199" s="101"/>
      <c r="K199" s="262"/>
      <c r="L199" s="263"/>
      <c r="M199" s="264"/>
      <c r="N199" s="264"/>
      <c r="O199" s="264"/>
      <c r="P199" s="86"/>
      <c r="Q199" s="264">
        <f t="shared" ref="Q199:Q201" si="320">S199+U199+W199+Y199</f>
        <v>0</v>
      </c>
      <c r="R199" s="264"/>
      <c r="S199" s="264"/>
      <c r="T199" s="264">
        <v>0</v>
      </c>
      <c r="U199" s="264">
        <v>0</v>
      </c>
      <c r="V199" s="264"/>
      <c r="W199" s="264"/>
      <c r="X199" s="264">
        <v>0</v>
      </c>
      <c r="Y199" s="264">
        <v>0</v>
      </c>
      <c r="Z199" s="264">
        <f t="shared" ref="Z199:Z200" si="321">AA199+AB199</f>
        <v>0</v>
      </c>
      <c r="AA199" s="264">
        <v>0</v>
      </c>
      <c r="AB199" s="264"/>
      <c r="AC199" s="264"/>
      <c r="AD199" s="264"/>
      <c r="AE199" s="264">
        <f>SUM(AF199:AF199)</f>
        <v>0</v>
      </c>
      <c r="AF199" s="264"/>
      <c r="AG199" s="264"/>
      <c r="AH199" s="264"/>
      <c r="AI199" s="264"/>
      <c r="AJ199" s="264"/>
      <c r="AK199" s="264"/>
      <c r="AL199" s="264"/>
      <c r="AM199" s="264"/>
      <c r="AN199" s="264"/>
      <c r="AO199" s="419"/>
    </row>
    <row r="200" spans="1:41" s="100" customFormat="1" ht="18" hidden="1" customHeight="1">
      <c r="A200" s="332"/>
      <c r="B200" s="257" t="s">
        <v>267</v>
      </c>
      <c r="C200" s="258"/>
      <c r="D200" s="258"/>
      <c r="E200" s="258"/>
      <c r="F200" s="259"/>
      <c r="G200" s="260"/>
      <c r="H200" s="261"/>
      <c r="I200" s="107"/>
      <c r="J200" s="101"/>
      <c r="K200" s="262"/>
      <c r="L200" s="263"/>
      <c r="M200" s="264"/>
      <c r="N200" s="264"/>
      <c r="O200" s="264"/>
      <c r="P200" s="86"/>
      <c r="Q200" s="264">
        <v>0</v>
      </c>
      <c r="R200" s="264"/>
      <c r="S200" s="264"/>
      <c r="T200" s="264">
        <v>0</v>
      </c>
      <c r="U200" s="264">
        <v>0</v>
      </c>
      <c r="V200" s="264"/>
      <c r="W200" s="264"/>
      <c r="X200" s="264"/>
      <c r="Y200" s="264"/>
      <c r="Z200" s="264">
        <f t="shared" si="321"/>
        <v>0</v>
      </c>
      <c r="AA200" s="264"/>
      <c r="AB200" s="264">
        <v>0</v>
      </c>
      <c r="AC200" s="264"/>
      <c r="AD200" s="264"/>
      <c r="AE200" s="264"/>
      <c r="AF200" s="264"/>
      <c r="AG200" s="264"/>
      <c r="AH200" s="264"/>
      <c r="AI200" s="264"/>
      <c r="AJ200" s="264"/>
      <c r="AK200" s="264"/>
      <c r="AL200" s="264"/>
      <c r="AM200" s="264"/>
      <c r="AN200" s="264"/>
      <c r="AO200" s="419"/>
    </row>
    <row r="201" spans="1:41" s="100" customFormat="1" ht="18" hidden="1" customHeight="1">
      <c r="A201" s="332"/>
      <c r="B201" s="257" t="s">
        <v>155</v>
      </c>
      <c r="C201" s="258"/>
      <c r="D201" s="258"/>
      <c r="E201" s="258"/>
      <c r="F201" s="259"/>
      <c r="G201" s="260"/>
      <c r="H201" s="261"/>
      <c r="I201" s="107"/>
      <c r="J201" s="101"/>
      <c r="K201" s="262"/>
      <c r="L201" s="263"/>
      <c r="M201" s="264"/>
      <c r="N201" s="264"/>
      <c r="O201" s="264"/>
      <c r="P201" s="86"/>
      <c r="Q201" s="264">
        <f t="shared" si="320"/>
        <v>0</v>
      </c>
      <c r="R201" s="264">
        <f>S201</f>
        <v>0</v>
      </c>
      <c r="S201" s="264">
        <v>0</v>
      </c>
      <c r="T201" s="264">
        <v>0</v>
      </c>
      <c r="U201" s="264">
        <v>0</v>
      </c>
      <c r="V201" s="264"/>
      <c r="W201" s="264"/>
      <c r="X201" s="264">
        <v>0</v>
      </c>
      <c r="Y201" s="264">
        <v>0</v>
      </c>
      <c r="Z201" s="264">
        <v>0</v>
      </c>
      <c r="AA201" s="264">
        <v>0</v>
      </c>
      <c r="AB201" s="264"/>
      <c r="AC201" s="264"/>
      <c r="AD201" s="264"/>
      <c r="AE201" s="264">
        <f>SUM(AF201:AF201)</f>
        <v>0</v>
      </c>
      <c r="AF201" s="264"/>
      <c r="AG201" s="264"/>
      <c r="AH201" s="264"/>
      <c r="AI201" s="264"/>
      <c r="AJ201" s="264"/>
      <c r="AK201" s="264"/>
      <c r="AL201" s="264"/>
      <c r="AM201" s="264"/>
      <c r="AN201" s="264"/>
      <c r="AO201" s="419"/>
    </row>
    <row r="202" spans="1:41" s="326" customFormat="1" ht="81" customHeight="1">
      <c r="A202" s="832" t="s">
        <v>172</v>
      </c>
      <c r="B202" s="83" t="s">
        <v>173</v>
      </c>
      <c r="C202" s="338"/>
      <c r="D202" s="338"/>
      <c r="E202" s="338"/>
      <c r="F202" s="322"/>
      <c r="G202" s="339"/>
      <c r="H202" s="340"/>
      <c r="I202" s="820" t="s">
        <v>19</v>
      </c>
      <c r="J202" s="336"/>
      <c r="K202" s="337"/>
      <c r="L202" s="291">
        <f>L203+L206</f>
        <v>71056.58</v>
      </c>
      <c r="M202" s="291">
        <f t="shared" ref="M202:AJ202" si="322">M203+M206</f>
        <v>0</v>
      </c>
      <c r="N202" s="291">
        <f t="shared" si="322"/>
        <v>377.26</v>
      </c>
      <c r="O202" s="291">
        <f t="shared" si="322"/>
        <v>0</v>
      </c>
      <c r="P202" s="291">
        <f t="shared" si="322"/>
        <v>679.31999999999994</v>
      </c>
      <c r="Q202" s="291">
        <f t="shared" si="322"/>
        <v>27.54</v>
      </c>
      <c r="R202" s="291">
        <f t="shared" si="322"/>
        <v>0</v>
      </c>
      <c r="S202" s="291">
        <f t="shared" si="322"/>
        <v>0</v>
      </c>
      <c r="T202" s="291">
        <f t="shared" si="322"/>
        <v>0</v>
      </c>
      <c r="U202" s="291">
        <f t="shared" si="322"/>
        <v>0</v>
      </c>
      <c r="V202" s="291">
        <f t="shared" si="322"/>
        <v>0</v>
      </c>
      <c r="W202" s="291">
        <f t="shared" si="322"/>
        <v>0</v>
      </c>
      <c r="X202" s="291">
        <f t="shared" si="322"/>
        <v>27.54</v>
      </c>
      <c r="Y202" s="291">
        <f t="shared" si="322"/>
        <v>27.54</v>
      </c>
      <c r="Z202" s="291">
        <f t="shared" si="322"/>
        <v>27.54</v>
      </c>
      <c r="AA202" s="291">
        <f t="shared" si="322"/>
        <v>0</v>
      </c>
      <c r="AB202" s="291">
        <f t="shared" si="322"/>
        <v>0</v>
      </c>
      <c r="AC202" s="291">
        <f t="shared" si="322"/>
        <v>0</v>
      </c>
      <c r="AD202" s="291">
        <f t="shared" si="322"/>
        <v>27.54</v>
      </c>
      <c r="AE202" s="291">
        <f t="shared" si="322"/>
        <v>0</v>
      </c>
      <c r="AF202" s="291">
        <f t="shared" si="322"/>
        <v>0</v>
      </c>
      <c r="AG202" s="291">
        <f t="shared" si="322"/>
        <v>0</v>
      </c>
      <c r="AH202" s="291">
        <f t="shared" si="322"/>
        <v>0</v>
      </c>
      <c r="AI202" s="291">
        <f t="shared" si="322"/>
        <v>0</v>
      </c>
      <c r="AJ202" s="291">
        <f t="shared" si="322"/>
        <v>0</v>
      </c>
      <c r="AK202" s="291">
        <f>AK203+AK206</f>
        <v>0</v>
      </c>
      <c r="AL202" s="291">
        <f t="shared" ref="AL202" si="323">AL203+AL206</f>
        <v>0</v>
      </c>
      <c r="AM202" s="291">
        <f t="shared" ref="AM202" si="324">AM203+AM206</f>
        <v>0</v>
      </c>
      <c r="AN202" s="291">
        <f t="shared" ref="AN202" si="325">AN203+AN206</f>
        <v>0</v>
      </c>
      <c r="AO202" s="434"/>
    </row>
    <row r="203" spans="1:41" ht="18" customHeight="1">
      <c r="A203" s="827"/>
      <c r="B203" s="42" t="s">
        <v>15</v>
      </c>
      <c r="C203" s="342"/>
      <c r="D203" s="342"/>
      <c r="E203" s="342"/>
      <c r="F203" s="319"/>
      <c r="G203" s="343"/>
      <c r="H203" s="344"/>
      <c r="I203" s="821"/>
      <c r="J203" s="282"/>
      <c r="K203" s="345"/>
      <c r="L203" s="75">
        <v>8054.94</v>
      </c>
      <c r="M203" s="86">
        <v>0</v>
      </c>
      <c r="N203" s="86">
        <v>377.26</v>
      </c>
      <c r="O203" s="86">
        <v>0</v>
      </c>
      <c r="P203" s="86">
        <v>677.68</v>
      </c>
      <c r="Q203" s="86">
        <f t="shared" ref="Q203:W203" si="326">SUM(Q204:Q205)</f>
        <v>27.54</v>
      </c>
      <c r="R203" s="86">
        <f t="shared" si="326"/>
        <v>0</v>
      </c>
      <c r="S203" s="86">
        <f t="shared" si="326"/>
        <v>0</v>
      </c>
      <c r="T203" s="86">
        <f t="shared" si="326"/>
        <v>0</v>
      </c>
      <c r="U203" s="86">
        <f t="shared" si="326"/>
        <v>0</v>
      </c>
      <c r="V203" s="86">
        <f t="shared" si="326"/>
        <v>0</v>
      </c>
      <c r="W203" s="86">
        <f t="shared" si="326"/>
        <v>0</v>
      </c>
      <c r="X203" s="86">
        <f t="shared" ref="X203:AB203" si="327">SUM(X204:X205)</f>
        <v>27.54</v>
      </c>
      <c r="Y203" s="86">
        <f t="shared" si="327"/>
        <v>27.54</v>
      </c>
      <c r="Z203" s="86">
        <f t="shared" si="327"/>
        <v>27.54</v>
      </c>
      <c r="AA203" s="86">
        <f t="shared" si="327"/>
        <v>0</v>
      </c>
      <c r="AB203" s="86">
        <f t="shared" si="327"/>
        <v>0</v>
      </c>
      <c r="AC203" s="86">
        <f t="shared" ref="AC203:AD203" si="328">SUM(AC204:AC205)</f>
        <v>0</v>
      </c>
      <c r="AD203" s="86">
        <f t="shared" si="328"/>
        <v>27.54</v>
      </c>
      <c r="AE203" s="86">
        <v>0</v>
      </c>
      <c r="AF203" s="86">
        <v>0</v>
      </c>
      <c r="AG203" s="86">
        <v>0</v>
      </c>
      <c r="AH203" s="86">
        <v>0</v>
      </c>
      <c r="AI203" s="86">
        <v>0</v>
      </c>
      <c r="AJ203" s="86">
        <v>0</v>
      </c>
      <c r="AK203" s="86">
        <v>0</v>
      </c>
      <c r="AL203" s="86">
        <v>0</v>
      </c>
      <c r="AM203" s="86">
        <v>0</v>
      </c>
      <c r="AN203" s="86">
        <v>0</v>
      </c>
      <c r="AO203" s="416"/>
    </row>
    <row r="204" spans="1:41" s="100" customFormat="1" ht="18" hidden="1" customHeight="1">
      <c r="A204" s="374"/>
      <c r="B204" s="257" t="s">
        <v>377</v>
      </c>
      <c r="C204" s="258"/>
      <c r="D204" s="258"/>
      <c r="E204" s="258"/>
      <c r="F204" s="259"/>
      <c r="G204" s="260"/>
      <c r="H204" s="261"/>
      <c r="I204" s="375"/>
      <c r="J204" s="101"/>
      <c r="K204" s="262"/>
      <c r="L204" s="263"/>
      <c r="M204" s="264"/>
      <c r="N204" s="264"/>
      <c r="O204" s="264"/>
      <c r="P204" s="264"/>
      <c r="Q204" s="264">
        <f>Y204</f>
        <v>27.54</v>
      </c>
      <c r="R204" s="264"/>
      <c r="S204" s="264"/>
      <c r="T204" s="264"/>
      <c r="U204" s="264"/>
      <c r="V204" s="264"/>
      <c r="W204" s="264"/>
      <c r="X204" s="264">
        <f>Y204</f>
        <v>27.54</v>
      </c>
      <c r="Y204" s="264">
        <v>27.54</v>
      </c>
      <c r="Z204" s="264">
        <f>AD204</f>
        <v>27.54</v>
      </c>
      <c r="AA204" s="264"/>
      <c r="AB204" s="264"/>
      <c r="AC204" s="264"/>
      <c r="AD204" s="264">
        <v>27.54</v>
      </c>
      <c r="AE204" s="264"/>
      <c r="AF204" s="264"/>
      <c r="AG204" s="264"/>
      <c r="AH204" s="264"/>
      <c r="AI204" s="264"/>
      <c r="AJ204" s="264"/>
      <c r="AK204" s="264"/>
      <c r="AL204" s="264"/>
      <c r="AM204" s="264"/>
      <c r="AN204" s="264"/>
      <c r="AO204" s="419"/>
    </row>
    <row r="205" spans="1:41" s="100" customFormat="1" ht="18" hidden="1" customHeight="1">
      <c r="A205" s="374"/>
      <c r="B205" s="257" t="s">
        <v>271</v>
      </c>
      <c r="C205" s="258"/>
      <c r="D205" s="258"/>
      <c r="E205" s="258"/>
      <c r="F205" s="259"/>
      <c r="G205" s="260"/>
      <c r="H205" s="261"/>
      <c r="I205" s="375"/>
      <c r="J205" s="101"/>
      <c r="K205" s="262"/>
      <c r="L205" s="263"/>
      <c r="M205" s="264"/>
      <c r="N205" s="264"/>
      <c r="O205" s="264"/>
      <c r="P205" s="86">
        <f>Q205</f>
        <v>0</v>
      </c>
      <c r="Q205" s="264">
        <f>S205+U205</f>
        <v>0</v>
      </c>
      <c r="R205" s="264"/>
      <c r="S205" s="264"/>
      <c r="T205" s="264">
        <v>0</v>
      </c>
      <c r="U205" s="264">
        <v>0</v>
      </c>
      <c r="V205" s="264"/>
      <c r="W205" s="264"/>
      <c r="X205" s="86"/>
      <c r="Y205" s="86"/>
      <c r="Z205" s="264">
        <f>SUM(AA205:AB205)</f>
        <v>0</v>
      </c>
      <c r="AA205" s="264"/>
      <c r="AB205" s="264">
        <v>0</v>
      </c>
      <c r="AC205" s="264"/>
      <c r="AD205" s="264"/>
      <c r="AE205" s="264"/>
      <c r="AF205" s="264"/>
      <c r="AG205" s="264"/>
      <c r="AH205" s="264"/>
      <c r="AI205" s="264"/>
      <c r="AJ205" s="264"/>
      <c r="AK205" s="264"/>
      <c r="AL205" s="264"/>
      <c r="AM205" s="264"/>
      <c r="AN205" s="264"/>
      <c r="AO205" s="419"/>
    </row>
    <row r="206" spans="1:41" s="100" customFormat="1" ht="18" customHeight="1">
      <c r="A206" s="374"/>
      <c r="B206" s="1" t="s">
        <v>16</v>
      </c>
      <c r="C206" s="258"/>
      <c r="D206" s="258"/>
      <c r="E206" s="258"/>
      <c r="F206" s="259"/>
      <c r="G206" s="260"/>
      <c r="H206" s="261"/>
      <c r="I206" s="375"/>
      <c r="J206" s="101"/>
      <c r="K206" s="262"/>
      <c r="L206" s="75">
        <v>63001.64</v>
      </c>
      <c r="M206" s="264"/>
      <c r="N206" s="264"/>
      <c r="O206" s="264"/>
      <c r="P206" s="86">
        <v>1.64</v>
      </c>
      <c r="Q206" s="264"/>
      <c r="R206" s="264"/>
      <c r="S206" s="264"/>
      <c r="T206" s="264"/>
      <c r="U206" s="264"/>
      <c r="V206" s="264"/>
      <c r="W206" s="264"/>
      <c r="X206" s="86"/>
      <c r="Y206" s="86"/>
      <c r="Z206" s="264"/>
      <c r="AA206" s="264"/>
      <c r="AB206" s="264"/>
      <c r="AC206" s="264"/>
      <c r="AD206" s="264"/>
      <c r="AE206" s="264"/>
      <c r="AF206" s="264"/>
      <c r="AG206" s="264"/>
      <c r="AH206" s="264"/>
      <c r="AI206" s="264"/>
      <c r="AJ206" s="264"/>
      <c r="AK206" s="264"/>
      <c r="AL206" s="264"/>
      <c r="AM206" s="264"/>
      <c r="AN206" s="264"/>
      <c r="AO206" s="419"/>
    </row>
    <row r="207" spans="1:41" s="326" customFormat="1" ht="39.75" customHeight="1">
      <c r="A207" s="832" t="s">
        <v>174</v>
      </c>
      <c r="B207" s="83" t="s">
        <v>175</v>
      </c>
      <c r="C207" s="338"/>
      <c r="D207" s="338"/>
      <c r="E207" s="338"/>
      <c r="F207" s="322"/>
      <c r="G207" s="339"/>
      <c r="H207" s="340"/>
      <c r="I207" s="820" t="s">
        <v>19</v>
      </c>
      <c r="J207" s="336"/>
      <c r="K207" s="337"/>
      <c r="L207" s="291">
        <f>L208</f>
        <v>10005.34</v>
      </c>
      <c r="M207" s="291">
        <f>M208</f>
        <v>0</v>
      </c>
      <c r="N207" s="291">
        <f t="shared" ref="N207:AN208" si="329">N208</f>
        <v>612.4</v>
      </c>
      <c r="O207" s="291">
        <f t="shared" si="329"/>
        <v>7188.28</v>
      </c>
      <c r="P207" s="291">
        <f t="shared" si="329"/>
        <v>8177.68</v>
      </c>
      <c r="Q207" s="291">
        <f t="shared" si="329"/>
        <v>2646.4050000000002</v>
      </c>
      <c r="R207" s="291">
        <f t="shared" si="329"/>
        <v>0</v>
      </c>
      <c r="S207" s="291">
        <f t="shared" si="329"/>
        <v>0</v>
      </c>
      <c r="T207" s="291">
        <f t="shared" si="329"/>
        <v>2646.4050000000002</v>
      </c>
      <c r="U207" s="291">
        <f t="shared" si="329"/>
        <v>2646.4050000000002</v>
      </c>
      <c r="V207" s="291">
        <f t="shared" si="329"/>
        <v>0</v>
      </c>
      <c r="W207" s="291">
        <f t="shared" si="329"/>
        <v>0</v>
      </c>
      <c r="X207" s="291">
        <f t="shared" si="329"/>
        <v>0</v>
      </c>
      <c r="Y207" s="291">
        <f t="shared" si="329"/>
        <v>0</v>
      </c>
      <c r="Z207" s="291">
        <f t="shared" si="329"/>
        <v>2646.4050000000002</v>
      </c>
      <c r="AA207" s="291">
        <f>AA208</f>
        <v>2646.4050000000002</v>
      </c>
      <c r="AB207" s="291">
        <f>AB208</f>
        <v>0</v>
      </c>
      <c r="AC207" s="291">
        <f t="shared" ref="AC207:AD208" si="330">AC208</f>
        <v>0</v>
      </c>
      <c r="AD207" s="291">
        <f t="shared" si="330"/>
        <v>0</v>
      </c>
      <c r="AE207" s="291">
        <f t="shared" si="329"/>
        <v>0</v>
      </c>
      <c r="AF207" s="291">
        <f t="shared" si="329"/>
        <v>0</v>
      </c>
      <c r="AG207" s="291">
        <f t="shared" si="329"/>
        <v>0</v>
      </c>
      <c r="AH207" s="291">
        <f t="shared" si="329"/>
        <v>0</v>
      </c>
      <c r="AI207" s="291">
        <f t="shared" si="329"/>
        <v>0</v>
      </c>
      <c r="AJ207" s="291">
        <f t="shared" si="329"/>
        <v>0</v>
      </c>
      <c r="AK207" s="291">
        <f t="shared" si="329"/>
        <v>0</v>
      </c>
      <c r="AL207" s="291">
        <f t="shared" si="329"/>
        <v>0</v>
      </c>
      <c r="AM207" s="291">
        <f t="shared" si="329"/>
        <v>0</v>
      </c>
      <c r="AN207" s="291">
        <f t="shared" si="329"/>
        <v>0</v>
      </c>
      <c r="AO207" s="434"/>
    </row>
    <row r="208" spans="1:41" ht="18" customHeight="1">
      <c r="A208" s="827"/>
      <c r="B208" s="42" t="s">
        <v>15</v>
      </c>
      <c r="C208" s="342"/>
      <c r="D208" s="342"/>
      <c r="E208" s="342"/>
      <c r="F208" s="319"/>
      <c r="G208" s="343"/>
      <c r="H208" s="344"/>
      <c r="I208" s="821"/>
      <c r="J208" s="282"/>
      <c r="K208" s="345"/>
      <c r="L208" s="75">
        <v>10005.34</v>
      </c>
      <c r="M208" s="86">
        <v>0</v>
      </c>
      <c r="N208" s="86">
        <v>612.4</v>
      </c>
      <c r="O208" s="86">
        <v>7188.28</v>
      </c>
      <c r="P208" s="86">
        <v>8177.68</v>
      </c>
      <c r="Q208" s="86">
        <f>Q209</f>
        <v>2646.4050000000002</v>
      </c>
      <c r="R208" s="86">
        <f t="shared" si="329"/>
        <v>0</v>
      </c>
      <c r="S208" s="86">
        <f t="shared" si="329"/>
        <v>0</v>
      </c>
      <c r="T208" s="86">
        <f t="shared" si="329"/>
        <v>2646.4050000000002</v>
      </c>
      <c r="U208" s="86">
        <f t="shared" si="329"/>
        <v>2646.4050000000002</v>
      </c>
      <c r="V208" s="86">
        <f t="shared" si="329"/>
        <v>0</v>
      </c>
      <c r="W208" s="86">
        <f t="shared" si="329"/>
        <v>0</v>
      </c>
      <c r="X208" s="86">
        <f t="shared" si="329"/>
        <v>0</v>
      </c>
      <c r="Y208" s="86">
        <f t="shared" si="329"/>
        <v>0</v>
      </c>
      <c r="Z208" s="86">
        <f t="shared" si="329"/>
        <v>2646.4050000000002</v>
      </c>
      <c r="AA208" s="86">
        <f t="shared" si="329"/>
        <v>2646.4050000000002</v>
      </c>
      <c r="AB208" s="86">
        <f t="shared" si="329"/>
        <v>0</v>
      </c>
      <c r="AC208" s="86">
        <f t="shared" si="330"/>
        <v>0</v>
      </c>
      <c r="AD208" s="86">
        <f t="shared" si="330"/>
        <v>0</v>
      </c>
      <c r="AE208" s="86">
        <f t="shared" si="329"/>
        <v>0</v>
      </c>
      <c r="AF208" s="86">
        <f t="shared" si="329"/>
        <v>0</v>
      </c>
      <c r="AG208" s="86">
        <v>0</v>
      </c>
      <c r="AH208" s="86">
        <v>0</v>
      </c>
      <c r="AI208" s="86">
        <v>0</v>
      </c>
      <c r="AJ208" s="86">
        <v>0</v>
      </c>
      <c r="AK208" s="86">
        <v>0</v>
      </c>
      <c r="AL208" s="86">
        <v>0</v>
      </c>
      <c r="AM208" s="86">
        <v>0</v>
      </c>
      <c r="AN208" s="86">
        <v>0</v>
      </c>
      <c r="AO208" s="416"/>
    </row>
    <row r="209" spans="1:41" s="100" customFormat="1" ht="28.5" hidden="1" customHeight="1">
      <c r="A209" s="374"/>
      <c r="B209" s="257" t="s">
        <v>343</v>
      </c>
      <c r="C209" s="258"/>
      <c r="D209" s="258"/>
      <c r="E209" s="258"/>
      <c r="F209" s="259"/>
      <c r="G209" s="260"/>
      <c r="H209" s="261"/>
      <c r="I209" s="375"/>
      <c r="J209" s="101"/>
      <c r="K209" s="262"/>
      <c r="L209" s="263"/>
      <c r="M209" s="264"/>
      <c r="N209" s="264"/>
      <c r="O209" s="264"/>
      <c r="P209" s="264"/>
      <c r="Q209" s="264">
        <f>U209</f>
        <v>2646.4050000000002</v>
      </c>
      <c r="R209" s="264"/>
      <c r="S209" s="264"/>
      <c r="T209" s="264">
        <f>U209</f>
        <v>2646.4050000000002</v>
      </c>
      <c r="U209" s="264">
        <v>2646.4050000000002</v>
      </c>
      <c r="V209" s="264"/>
      <c r="W209" s="264"/>
      <c r="X209" s="264"/>
      <c r="Y209" s="264"/>
      <c r="Z209" s="264">
        <f>AA209</f>
        <v>2646.4050000000002</v>
      </c>
      <c r="AA209" s="264">
        <v>2646.4050000000002</v>
      </c>
      <c r="AB209" s="264"/>
      <c r="AC209" s="264"/>
      <c r="AD209" s="264"/>
      <c r="AE209" s="264"/>
      <c r="AF209" s="264"/>
      <c r="AG209" s="264"/>
      <c r="AH209" s="264"/>
      <c r="AI209" s="264"/>
      <c r="AJ209" s="264"/>
      <c r="AK209" s="264"/>
      <c r="AL209" s="264"/>
      <c r="AM209" s="264"/>
      <c r="AN209" s="264"/>
      <c r="AO209" s="419"/>
    </row>
    <row r="210" spans="1:41" s="326" customFormat="1" ht="79.5" customHeight="1">
      <c r="A210" s="832" t="s">
        <v>176</v>
      </c>
      <c r="B210" s="83" t="s">
        <v>177</v>
      </c>
      <c r="C210" s="338"/>
      <c r="D210" s="338"/>
      <c r="E210" s="338"/>
      <c r="F210" s="322"/>
      <c r="G210" s="339"/>
      <c r="H210" s="340"/>
      <c r="I210" s="820" t="s">
        <v>19</v>
      </c>
      <c r="J210" s="336"/>
      <c r="K210" s="337"/>
      <c r="L210" s="291">
        <f>L211+L217</f>
        <v>204849.53</v>
      </c>
      <c r="M210" s="291">
        <f t="shared" ref="M210:N210" si="331">M211+M217</f>
        <v>195485</v>
      </c>
      <c r="N210" s="291">
        <f t="shared" si="331"/>
        <v>203676.84</v>
      </c>
      <c r="O210" s="291">
        <f t="shared" ref="O210:AN210" si="332">O211</f>
        <v>1116.69</v>
      </c>
      <c r="P210" s="291">
        <f>P211+P217</f>
        <v>1172.69</v>
      </c>
      <c r="Q210" s="291">
        <f>Q211+Q217</f>
        <v>3000</v>
      </c>
      <c r="R210" s="291">
        <f t="shared" ref="R210:AH210" si="333">R211+R217</f>
        <v>3000</v>
      </c>
      <c r="S210" s="291">
        <f t="shared" si="333"/>
        <v>3000</v>
      </c>
      <c r="T210" s="291">
        <f t="shared" si="333"/>
        <v>0</v>
      </c>
      <c r="U210" s="291">
        <f t="shared" si="333"/>
        <v>0</v>
      </c>
      <c r="V210" s="291">
        <f t="shared" si="333"/>
        <v>0</v>
      </c>
      <c r="W210" s="291">
        <f t="shared" si="333"/>
        <v>0</v>
      </c>
      <c r="X210" s="291">
        <f t="shared" si="333"/>
        <v>0</v>
      </c>
      <c r="Y210" s="291">
        <f t="shared" si="333"/>
        <v>0</v>
      </c>
      <c r="Z210" s="291">
        <f t="shared" si="333"/>
        <v>0</v>
      </c>
      <c r="AA210" s="291">
        <f t="shared" si="333"/>
        <v>0</v>
      </c>
      <c r="AB210" s="291">
        <f t="shared" si="333"/>
        <v>0</v>
      </c>
      <c r="AC210" s="291">
        <f t="shared" si="333"/>
        <v>0</v>
      </c>
      <c r="AD210" s="291">
        <f t="shared" si="333"/>
        <v>0</v>
      </c>
      <c r="AE210" s="291">
        <f t="shared" si="333"/>
        <v>0</v>
      </c>
      <c r="AF210" s="291">
        <f t="shared" si="333"/>
        <v>0</v>
      </c>
      <c r="AG210" s="291">
        <f t="shared" si="333"/>
        <v>0</v>
      </c>
      <c r="AH210" s="291">
        <f t="shared" si="333"/>
        <v>0</v>
      </c>
      <c r="AI210" s="291">
        <f t="shared" si="332"/>
        <v>0</v>
      </c>
      <c r="AJ210" s="291">
        <f t="shared" si="332"/>
        <v>0</v>
      </c>
      <c r="AK210" s="291">
        <f t="shared" si="332"/>
        <v>0</v>
      </c>
      <c r="AL210" s="291">
        <f t="shared" si="332"/>
        <v>0</v>
      </c>
      <c r="AM210" s="291">
        <f t="shared" si="332"/>
        <v>0</v>
      </c>
      <c r="AN210" s="291">
        <f t="shared" si="332"/>
        <v>0</v>
      </c>
      <c r="AO210" s="435" t="s">
        <v>282</v>
      </c>
    </row>
    <row r="211" spans="1:41" ht="18" customHeight="1">
      <c r="A211" s="827"/>
      <c r="B211" s="42" t="s">
        <v>15</v>
      </c>
      <c r="C211" s="342"/>
      <c r="D211" s="342"/>
      <c r="E211" s="342"/>
      <c r="F211" s="319"/>
      <c r="G211" s="343"/>
      <c r="H211" s="344"/>
      <c r="I211" s="821"/>
      <c r="J211" s="282"/>
      <c r="K211" s="345"/>
      <c r="L211" s="75">
        <v>9364.5300000000007</v>
      </c>
      <c r="M211" s="86">
        <v>0</v>
      </c>
      <c r="N211" s="86">
        <v>8191.84</v>
      </c>
      <c r="O211" s="86">
        <v>1116.69</v>
      </c>
      <c r="P211" s="86">
        <v>1172.69</v>
      </c>
      <c r="Q211" s="86">
        <f t="shared" ref="Q211:R211" si="334">SUM(Q212:Q216)</f>
        <v>3000</v>
      </c>
      <c r="R211" s="86">
        <f t="shared" si="334"/>
        <v>3000</v>
      </c>
      <c r="S211" s="86">
        <f>SUM(S212:S216)</f>
        <v>3000</v>
      </c>
      <c r="T211" s="86">
        <f t="shared" ref="T211:AF211" si="335">SUM(T212:T216)</f>
        <v>0</v>
      </c>
      <c r="U211" s="86">
        <f t="shared" si="335"/>
        <v>0</v>
      </c>
      <c r="V211" s="86">
        <f t="shared" si="335"/>
        <v>0</v>
      </c>
      <c r="W211" s="86">
        <f t="shared" si="335"/>
        <v>0</v>
      </c>
      <c r="X211" s="86">
        <f t="shared" si="335"/>
        <v>0</v>
      </c>
      <c r="Y211" s="86">
        <f t="shared" si="335"/>
        <v>0</v>
      </c>
      <c r="Z211" s="86">
        <f t="shared" si="335"/>
        <v>0</v>
      </c>
      <c r="AA211" s="86">
        <f t="shared" si="335"/>
        <v>0</v>
      </c>
      <c r="AB211" s="86">
        <f t="shared" si="335"/>
        <v>0</v>
      </c>
      <c r="AC211" s="86">
        <f t="shared" si="335"/>
        <v>0</v>
      </c>
      <c r="AD211" s="86">
        <f t="shared" si="335"/>
        <v>0</v>
      </c>
      <c r="AE211" s="86">
        <f t="shared" si="335"/>
        <v>0</v>
      </c>
      <c r="AF211" s="86">
        <f t="shared" si="335"/>
        <v>0</v>
      </c>
      <c r="AG211" s="86">
        <f t="shared" ref="AG211" si="336">SUM(AG212:AG214)</f>
        <v>0</v>
      </c>
      <c r="AH211" s="86">
        <f t="shared" ref="AH211:AI211" si="337">SUM(AH212:AH214)</f>
        <v>0</v>
      </c>
      <c r="AI211" s="86">
        <f t="shared" si="337"/>
        <v>0</v>
      </c>
      <c r="AJ211" s="86">
        <v>0</v>
      </c>
      <c r="AK211" s="86">
        <v>0</v>
      </c>
      <c r="AL211" s="86">
        <v>0</v>
      </c>
      <c r="AM211" s="86">
        <v>0</v>
      </c>
      <c r="AN211" s="86">
        <v>0</v>
      </c>
      <c r="AO211" s="416"/>
    </row>
    <row r="212" spans="1:41" s="100" customFormat="1" ht="18" hidden="1" customHeight="1">
      <c r="A212" s="332"/>
      <c r="B212" s="257" t="s">
        <v>238</v>
      </c>
      <c r="C212" s="258"/>
      <c r="D212" s="258"/>
      <c r="E212" s="258"/>
      <c r="F212" s="259"/>
      <c r="G212" s="260"/>
      <c r="H212" s="261"/>
      <c r="I212" s="376"/>
      <c r="J212" s="101"/>
      <c r="K212" s="262"/>
      <c r="L212" s="263"/>
      <c r="M212" s="264"/>
      <c r="N212" s="264"/>
      <c r="O212" s="264"/>
      <c r="P212" s="86"/>
      <c r="Q212" s="264">
        <f>Y212</f>
        <v>0</v>
      </c>
      <c r="R212" s="264"/>
      <c r="S212" s="264"/>
      <c r="T212" s="264"/>
      <c r="U212" s="264"/>
      <c r="V212" s="264"/>
      <c r="W212" s="264"/>
      <c r="X212" s="264">
        <f>Y212</f>
        <v>0</v>
      </c>
      <c r="Y212" s="86"/>
      <c r="Z212" s="264"/>
      <c r="AA212" s="264"/>
      <c r="AB212" s="264"/>
      <c r="AC212" s="264"/>
      <c r="AD212" s="264"/>
      <c r="AE212" s="264"/>
      <c r="AF212" s="264"/>
      <c r="AG212" s="264"/>
      <c r="AH212" s="264"/>
      <c r="AI212" s="264"/>
      <c r="AJ212" s="264"/>
      <c r="AK212" s="264"/>
      <c r="AL212" s="264"/>
      <c r="AM212" s="264"/>
      <c r="AN212" s="264"/>
      <c r="AO212" s="419"/>
    </row>
    <row r="213" spans="1:41" s="100" customFormat="1" ht="18" hidden="1" customHeight="1">
      <c r="A213" s="332"/>
      <c r="B213" s="257" t="s">
        <v>270</v>
      </c>
      <c r="C213" s="258"/>
      <c r="D213" s="258"/>
      <c r="E213" s="258"/>
      <c r="F213" s="259"/>
      <c r="G213" s="260"/>
      <c r="H213" s="261"/>
      <c r="I213" s="376"/>
      <c r="J213" s="101"/>
      <c r="K213" s="262"/>
      <c r="L213" s="263"/>
      <c r="M213" s="264"/>
      <c r="N213" s="264"/>
      <c r="O213" s="264"/>
      <c r="P213" s="264"/>
      <c r="Q213" s="264">
        <f>S213+U213+W213</f>
        <v>3000</v>
      </c>
      <c r="R213" s="264">
        <f>S213</f>
        <v>3000</v>
      </c>
      <c r="S213" s="264">
        <v>3000</v>
      </c>
      <c r="T213" s="264">
        <f>U213</f>
        <v>0</v>
      </c>
      <c r="U213" s="264">
        <v>0</v>
      </c>
      <c r="V213" s="264"/>
      <c r="W213" s="264">
        <v>0</v>
      </c>
      <c r="X213" s="264"/>
      <c r="Y213" s="264"/>
      <c r="Z213" s="264">
        <f>SUM(AA213:AB213)</f>
        <v>0</v>
      </c>
      <c r="AA213" s="264"/>
      <c r="AB213" s="264">
        <v>0</v>
      </c>
      <c r="AC213" s="264"/>
      <c r="AD213" s="264"/>
      <c r="AE213" s="264"/>
      <c r="AF213" s="264"/>
      <c r="AG213" s="264"/>
      <c r="AH213" s="264"/>
      <c r="AI213" s="264"/>
      <c r="AJ213" s="264"/>
      <c r="AK213" s="264"/>
      <c r="AL213" s="264"/>
      <c r="AM213" s="264"/>
      <c r="AN213" s="264"/>
      <c r="AO213" s="419"/>
    </row>
    <row r="214" spans="1:41" s="100" customFormat="1" ht="18" hidden="1" customHeight="1">
      <c r="A214" s="332"/>
      <c r="B214" s="257" t="s">
        <v>271</v>
      </c>
      <c r="C214" s="258"/>
      <c r="D214" s="258"/>
      <c r="E214" s="258"/>
      <c r="F214" s="259"/>
      <c r="G214" s="260"/>
      <c r="H214" s="261"/>
      <c r="I214" s="376"/>
      <c r="J214" s="101"/>
      <c r="K214" s="262"/>
      <c r="L214" s="263"/>
      <c r="M214" s="264"/>
      <c r="N214" s="264"/>
      <c r="O214" s="264"/>
      <c r="P214" s="264"/>
      <c r="Q214" s="264">
        <v>0</v>
      </c>
      <c r="R214" s="264">
        <v>0</v>
      </c>
      <c r="S214" s="264">
        <v>0</v>
      </c>
      <c r="T214" s="264">
        <v>0</v>
      </c>
      <c r="U214" s="264">
        <v>0</v>
      </c>
      <c r="V214" s="264"/>
      <c r="W214" s="264"/>
      <c r="X214" s="264"/>
      <c r="Y214" s="264"/>
      <c r="Z214" s="264">
        <f>SUM(AA214:AB214)</f>
        <v>0</v>
      </c>
      <c r="AA214" s="264"/>
      <c r="AB214" s="264">
        <v>0</v>
      </c>
      <c r="AC214" s="264"/>
      <c r="AD214" s="264"/>
      <c r="AE214" s="264"/>
      <c r="AF214" s="264"/>
      <c r="AG214" s="264"/>
      <c r="AH214" s="264"/>
      <c r="AI214" s="264"/>
      <c r="AJ214" s="264"/>
      <c r="AK214" s="264"/>
      <c r="AL214" s="264"/>
      <c r="AM214" s="264"/>
      <c r="AN214" s="264"/>
      <c r="AO214" s="419"/>
    </row>
    <row r="215" spans="1:41" s="100" customFormat="1" ht="18" hidden="1" customHeight="1">
      <c r="A215" s="332"/>
      <c r="B215" s="257" t="s">
        <v>302</v>
      </c>
      <c r="C215" s="258"/>
      <c r="D215" s="258"/>
      <c r="E215" s="258"/>
      <c r="F215" s="259"/>
      <c r="G215" s="260"/>
      <c r="H215" s="261"/>
      <c r="I215" s="376"/>
      <c r="J215" s="101"/>
      <c r="K215" s="262"/>
      <c r="L215" s="263"/>
      <c r="M215" s="264"/>
      <c r="N215" s="264"/>
      <c r="O215" s="264"/>
      <c r="P215" s="264"/>
      <c r="Q215" s="264">
        <f>Y215</f>
        <v>0</v>
      </c>
      <c r="R215" s="264"/>
      <c r="S215" s="264"/>
      <c r="T215" s="264"/>
      <c r="U215" s="264"/>
      <c r="V215" s="264"/>
      <c r="W215" s="264"/>
      <c r="X215" s="264">
        <f>Y215</f>
        <v>0</v>
      </c>
      <c r="Y215" s="264">
        <v>0</v>
      </c>
      <c r="Z215" s="264">
        <f>SUM(AA215:AD215)</f>
        <v>0</v>
      </c>
      <c r="AA215" s="264"/>
      <c r="AB215" s="264"/>
      <c r="AC215" s="264"/>
      <c r="AD215" s="264">
        <v>0</v>
      </c>
      <c r="AE215" s="264"/>
      <c r="AF215" s="264"/>
      <c r="AG215" s="264"/>
      <c r="AH215" s="264"/>
      <c r="AI215" s="264"/>
      <c r="AJ215" s="264"/>
      <c r="AK215" s="264"/>
      <c r="AL215" s="264"/>
      <c r="AM215" s="264"/>
      <c r="AN215" s="264"/>
      <c r="AO215" s="419"/>
    </row>
    <row r="216" spans="1:41" s="100" customFormat="1" ht="18" hidden="1" customHeight="1">
      <c r="A216" s="332"/>
      <c r="B216" s="257" t="s">
        <v>303</v>
      </c>
      <c r="C216" s="258"/>
      <c r="D216" s="258"/>
      <c r="E216" s="258"/>
      <c r="F216" s="259"/>
      <c r="G216" s="260"/>
      <c r="H216" s="261"/>
      <c r="I216" s="376"/>
      <c r="J216" s="101"/>
      <c r="K216" s="262"/>
      <c r="L216" s="263"/>
      <c r="M216" s="264"/>
      <c r="N216" s="264"/>
      <c r="O216" s="264"/>
      <c r="P216" s="264"/>
      <c r="Q216" s="264">
        <f>Y216</f>
        <v>0</v>
      </c>
      <c r="R216" s="264"/>
      <c r="S216" s="264"/>
      <c r="T216" s="264"/>
      <c r="U216" s="264"/>
      <c r="V216" s="264"/>
      <c r="W216" s="264"/>
      <c r="X216" s="264">
        <f>Y216</f>
        <v>0</v>
      </c>
      <c r="Y216" s="264">
        <v>0</v>
      </c>
      <c r="Z216" s="264">
        <f>SUM(AA216:AD216)</f>
        <v>0</v>
      </c>
      <c r="AA216" s="264"/>
      <c r="AB216" s="264"/>
      <c r="AC216" s="264"/>
      <c r="AD216" s="264">
        <v>0</v>
      </c>
      <c r="AE216" s="264"/>
      <c r="AF216" s="264"/>
      <c r="AG216" s="264"/>
      <c r="AH216" s="264"/>
      <c r="AI216" s="264"/>
      <c r="AJ216" s="264"/>
      <c r="AK216" s="264"/>
      <c r="AL216" s="264"/>
      <c r="AM216" s="264"/>
      <c r="AN216" s="264"/>
      <c r="AO216" s="419"/>
    </row>
    <row r="217" spans="1:41" ht="27" customHeight="1">
      <c r="A217" s="490"/>
      <c r="B217" s="42" t="s">
        <v>16</v>
      </c>
      <c r="C217" s="342"/>
      <c r="D217" s="342"/>
      <c r="E217" s="342"/>
      <c r="F217" s="319"/>
      <c r="G217" s="343"/>
      <c r="H217" s="344"/>
      <c r="I217" s="491" t="s">
        <v>10</v>
      </c>
      <c r="J217" s="492"/>
      <c r="K217" s="345"/>
      <c r="L217" s="75">
        <v>195485</v>
      </c>
      <c r="M217" s="75">
        <v>195485</v>
      </c>
      <c r="N217" s="75">
        <v>195485</v>
      </c>
      <c r="O217" s="75">
        <v>195485</v>
      </c>
      <c r="P217" s="75">
        <v>0</v>
      </c>
      <c r="Q217" s="86">
        <f>Q219</f>
        <v>0</v>
      </c>
      <c r="R217" s="86">
        <f t="shared" ref="R217:AN217" si="338">R219</f>
        <v>0</v>
      </c>
      <c r="S217" s="86">
        <f t="shared" si="338"/>
        <v>0</v>
      </c>
      <c r="T217" s="86">
        <f t="shared" si="338"/>
        <v>0</v>
      </c>
      <c r="U217" s="86">
        <f t="shared" si="338"/>
        <v>0</v>
      </c>
      <c r="V217" s="86">
        <f t="shared" si="338"/>
        <v>0</v>
      </c>
      <c r="W217" s="86">
        <f t="shared" si="338"/>
        <v>0</v>
      </c>
      <c r="X217" s="86">
        <f t="shared" si="338"/>
        <v>0</v>
      </c>
      <c r="Y217" s="86">
        <f t="shared" si="338"/>
        <v>0</v>
      </c>
      <c r="Z217" s="86">
        <f t="shared" si="338"/>
        <v>0</v>
      </c>
      <c r="AA217" s="86">
        <f t="shared" si="338"/>
        <v>0</v>
      </c>
      <c r="AB217" s="86">
        <f t="shared" si="338"/>
        <v>0</v>
      </c>
      <c r="AC217" s="86">
        <f t="shared" si="338"/>
        <v>0</v>
      </c>
      <c r="AD217" s="86">
        <f t="shared" si="338"/>
        <v>0</v>
      </c>
      <c r="AE217" s="86">
        <f t="shared" si="338"/>
        <v>0</v>
      </c>
      <c r="AF217" s="86">
        <f t="shared" si="338"/>
        <v>0</v>
      </c>
      <c r="AG217" s="86">
        <f t="shared" si="338"/>
        <v>0</v>
      </c>
      <c r="AH217" s="86">
        <f t="shared" si="338"/>
        <v>0</v>
      </c>
      <c r="AI217" s="86">
        <f t="shared" si="338"/>
        <v>0</v>
      </c>
      <c r="AJ217" s="86">
        <f t="shared" si="338"/>
        <v>0</v>
      </c>
      <c r="AK217" s="86">
        <f t="shared" si="338"/>
        <v>0</v>
      </c>
      <c r="AL217" s="86">
        <f t="shared" si="338"/>
        <v>0</v>
      </c>
      <c r="AM217" s="86">
        <f t="shared" si="338"/>
        <v>0</v>
      </c>
      <c r="AN217" s="86">
        <f t="shared" si="338"/>
        <v>0</v>
      </c>
      <c r="AO217" s="416"/>
    </row>
    <row r="218" spans="1:41" ht="59.25" customHeight="1">
      <c r="A218" s="832" t="s">
        <v>400</v>
      </c>
      <c r="B218" s="83" t="s">
        <v>401</v>
      </c>
      <c r="C218" s="342"/>
      <c r="D218" s="342"/>
      <c r="E218" s="342"/>
      <c r="F218" s="319"/>
      <c r="G218" s="343"/>
      <c r="H218" s="344"/>
      <c r="I218" s="837" t="s">
        <v>19</v>
      </c>
      <c r="J218" s="745"/>
      <c r="K218" s="345"/>
      <c r="L218" s="308">
        <f>L219+L220</f>
        <v>12759.949999999999</v>
      </c>
      <c r="M218" s="308">
        <f t="shared" ref="M218:AN218" si="339">M219+M220</f>
        <v>0</v>
      </c>
      <c r="N218" s="308">
        <f t="shared" si="339"/>
        <v>0</v>
      </c>
      <c r="O218" s="308">
        <f t="shared" si="339"/>
        <v>0</v>
      </c>
      <c r="P218" s="308">
        <f t="shared" si="339"/>
        <v>0</v>
      </c>
      <c r="Q218" s="308">
        <f t="shared" si="339"/>
        <v>0</v>
      </c>
      <c r="R218" s="308">
        <f t="shared" si="339"/>
        <v>0</v>
      </c>
      <c r="S218" s="308">
        <f t="shared" si="339"/>
        <v>0</v>
      </c>
      <c r="T218" s="308">
        <f t="shared" si="339"/>
        <v>0</v>
      </c>
      <c r="U218" s="308">
        <f t="shared" si="339"/>
        <v>0</v>
      </c>
      <c r="V218" s="308">
        <f t="shared" si="339"/>
        <v>0</v>
      </c>
      <c r="W218" s="308">
        <f t="shared" si="339"/>
        <v>0</v>
      </c>
      <c r="X218" s="308">
        <f t="shared" si="339"/>
        <v>0</v>
      </c>
      <c r="Y218" s="308">
        <f t="shared" si="339"/>
        <v>0</v>
      </c>
      <c r="Z218" s="308">
        <f t="shared" si="339"/>
        <v>0</v>
      </c>
      <c r="AA218" s="308">
        <f t="shared" si="339"/>
        <v>0</v>
      </c>
      <c r="AB218" s="308">
        <f t="shared" si="339"/>
        <v>0</v>
      </c>
      <c r="AC218" s="308">
        <f t="shared" si="339"/>
        <v>0</v>
      </c>
      <c r="AD218" s="308">
        <f t="shared" si="339"/>
        <v>0</v>
      </c>
      <c r="AE218" s="308">
        <f t="shared" si="339"/>
        <v>0</v>
      </c>
      <c r="AF218" s="308">
        <f t="shared" si="339"/>
        <v>0</v>
      </c>
      <c r="AG218" s="308">
        <f t="shared" si="339"/>
        <v>0</v>
      </c>
      <c r="AH218" s="308">
        <f t="shared" si="339"/>
        <v>0</v>
      </c>
      <c r="AI218" s="308">
        <f t="shared" si="339"/>
        <v>0</v>
      </c>
      <c r="AJ218" s="308">
        <f t="shared" si="339"/>
        <v>0</v>
      </c>
      <c r="AK218" s="308">
        <f t="shared" si="339"/>
        <v>0</v>
      </c>
      <c r="AL218" s="308">
        <f t="shared" si="339"/>
        <v>0</v>
      </c>
      <c r="AM218" s="308">
        <f t="shared" si="339"/>
        <v>0</v>
      </c>
      <c r="AN218" s="308">
        <f t="shared" si="339"/>
        <v>0</v>
      </c>
      <c r="AO218" s="308"/>
    </row>
    <row r="219" spans="1:41" ht="28.5" customHeight="1">
      <c r="A219" s="826"/>
      <c r="B219" s="42" t="s">
        <v>15</v>
      </c>
      <c r="C219" s="342"/>
      <c r="D219" s="342"/>
      <c r="E219" s="342"/>
      <c r="F219" s="319"/>
      <c r="G219" s="343"/>
      <c r="H219" s="344"/>
      <c r="I219" s="1008"/>
      <c r="J219" s="765"/>
      <c r="K219" s="345"/>
      <c r="L219" s="75">
        <v>1652.72</v>
      </c>
      <c r="M219" s="86"/>
      <c r="N219" s="86"/>
      <c r="O219" s="86"/>
      <c r="P219" s="86">
        <v>0</v>
      </c>
      <c r="Q219" s="86">
        <v>0</v>
      </c>
      <c r="R219" s="86">
        <v>0</v>
      </c>
      <c r="S219" s="86">
        <v>0</v>
      </c>
      <c r="T219" s="86">
        <v>0</v>
      </c>
      <c r="U219" s="86">
        <v>0</v>
      </c>
      <c r="V219" s="86">
        <v>0</v>
      </c>
      <c r="W219" s="86">
        <v>0</v>
      </c>
      <c r="X219" s="86">
        <v>0</v>
      </c>
      <c r="Y219" s="86">
        <v>0</v>
      </c>
      <c r="Z219" s="86">
        <v>0</v>
      </c>
      <c r="AA219" s="86">
        <v>0</v>
      </c>
      <c r="AB219" s="86">
        <v>0</v>
      </c>
      <c r="AC219" s="86">
        <v>0</v>
      </c>
      <c r="AD219" s="86">
        <v>0</v>
      </c>
      <c r="AE219" s="86">
        <v>0</v>
      </c>
      <c r="AF219" s="86">
        <v>0</v>
      </c>
      <c r="AG219" s="86">
        <v>0</v>
      </c>
      <c r="AH219" s="86">
        <v>0</v>
      </c>
      <c r="AI219" s="86">
        <v>0</v>
      </c>
      <c r="AJ219" s="86">
        <v>0</v>
      </c>
      <c r="AK219" s="86">
        <v>0</v>
      </c>
      <c r="AL219" s="86">
        <v>0</v>
      </c>
      <c r="AM219" s="86">
        <v>0</v>
      </c>
      <c r="AN219" s="86">
        <v>0</v>
      </c>
      <c r="AO219" s="416"/>
    </row>
    <row r="220" spans="1:41" ht="28.5" customHeight="1">
      <c r="A220" s="877"/>
      <c r="B220" s="42" t="s">
        <v>16</v>
      </c>
      <c r="C220" s="342"/>
      <c r="D220" s="342"/>
      <c r="E220" s="342"/>
      <c r="F220" s="319"/>
      <c r="G220" s="343"/>
      <c r="H220" s="344"/>
      <c r="I220" s="1009"/>
      <c r="J220" s="765"/>
      <c r="K220" s="345"/>
      <c r="L220" s="75">
        <v>11107.23</v>
      </c>
      <c r="M220" s="86"/>
      <c r="N220" s="86"/>
      <c r="O220" s="86"/>
      <c r="P220" s="86">
        <v>0</v>
      </c>
      <c r="Q220" s="86">
        <v>0</v>
      </c>
      <c r="R220" s="86">
        <v>0</v>
      </c>
      <c r="S220" s="86">
        <v>0</v>
      </c>
      <c r="T220" s="86">
        <v>0</v>
      </c>
      <c r="U220" s="86">
        <v>0</v>
      </c>
      <c r="V220" s="86">
        <v>0</v>
      </c>
      <c r="W220" s="86">
        <v>0</v>
      </c>
      <c r="X220" s="86">
        <v>0</v>
      </c>
      <c r="Y220" s="86">
        <v>0</v>
      </c>
      <c r="Z220" s="86">
        <v>0</v>
      </c>
      <c r="AA220" s="86">
        <v>0</v>
      </c>
      <c r="AB220" s="86">
        <v>0</v>
      </c>
      <c r="AC220" s="86">
        <v>0</v>
      </c>
      <c r="AD220" s="86">
        <v>0</v>
      </c>
      <c r="AE220" s="86">
        <v>0</v>
      </c>
      <c r="AF220" s="86">
        <v>0</v>
      </c>
      <c r="AG220" s="86">
        <v>0</v>
      </c>
      <c r="AH220" s="86">
        <v>0</v>
      </c>
      <c r="AI220" s="86">
        <v>0</v>
      </c>
      <c r="AJ220" s="86">
        <v>0</v>
      </c>
      <c r="AK220" s="86">
        <v>0</v>
      </c>
      <c r="AL220" s="86">
        <v>0</v>
      </c>
      <c r="AM220" s="86">
        <v>0</v>
      </c>
      <c r="AN220" s="86">
        <v>0</v>
      </c>
      <c r="AO220" s="416"/>
    </row>
    <row r="221" spans="1:41" ht="44.25" customHeight="1">
      <c r="A221" s="832" t="s">
        <v>402</v>
      </c>
      <c r="B221" s="83" t="s">
        <v>403</v>
      </c>
      <c r="C221" s="342"/>
      <c r="D221" s="342"/>
      <c r="E221" s="342"/>
      <c r="F221" s="319"/>
      <c r="G221" s="343"/>
      <c r="H221" s="344"/>
      <c r="I221" s="837" t="s">
        <v>19</v>
      </c>
      <c r="J221" s="745"/>
      <c r="K221" s="345"/>
      <c r="L221" s="308">
        <f>L222+L223</f>
        <v>21627.71</v>
      </c>
      <c r="M221" s="308">
        <f t="shared" ref="M221" si="340">M222+M223</f>
        <v>0</v>
      </c>
      <c r="N221" s="308">
        <f t="shared" ref="N221" si="341">N222+N223</f>
        <v>0</v>
      </c>
      <c r="O221" s="308">
        <f t="shared" ref="O221" si="342">O222+O223</f>
        <v>0</v>
      </c>
      <c r="P221" s="308">
        <f t="shared" ref="P221" si="343">P222+P223</f>
        <v>0</v>
      </c>
      <c r="Q221" s="308">
        <f t="shared" ref="Q221" si="344">Q222+Q223</f>
        <v>0</v>
      </c>
      <c r="R221" s="308">
        <f t="shared" ref="R221" si="345">R222+R223</f>
        <v>0</v>
      </c>
      <c r="S221" s="308">
        <f t="shared" ref="S221" si="346">S222+S223</f>
        <v>0</v>
      </c>
      <c r="T221" s="308">
        <f t="shared" ref="T221" si="347">T222+T223</f>
        <v>0</v>
      </c>
      <c r="U221" s="308">
        <f t="shared" ref="U221" si="348">U222+U223</f>
        <v>0</v>
      </c>
      <c r="V221" s="308">
        <f t="shared" ref="V221" si="349">V222+V223</f>
        <v>0</v>
      </c>
      <c r="W221" s="308">
        <f t="shared" ref="W221" si="350">W222+W223</f>
        <v>0</v>
      </c>
      <c r="X221" s="308">
        <f t="shared" ref="X221" si="351">X222+X223</f>
        <v>0</v>
      </c>
      <c r="Y221" s="308">
        <f t="shared" ref="Y221" si="352">Y222+Y223</f>
        <v>0</v>
      </c>
      <c r="Z221" s="308">
        <f t="shared" ref="Z221" si="353">Z222+Z223</f>
        <v>0</v>
      </c>
      <c r="AA221" s="308">
        <f t="shared" ref="AA221" si="354">AA222+AA223</f>
        <v>0</v>
      </c>
      <c r="AB221" s="308">
        <f t="shared" ref="AB221" si="355">AB222+AB223</f>
        <v>0</v>
      </c>
      <c r="AC221" s="308">
        <f t="shared" ref="AC221" si="356">AC222+AC223</f>
        <v>0</v>
      </c>
      <c r="AD221" s="308">
        <f t="shared" ref="AD221" si="357">AD222+AD223</f>
        <v>0</v>
      </c>
      <c r="AE221" s="308">
        <f t="shared" ref="AE221" si="358">AE222+AE223</f>
        <v>0</v>
      </c>
      <c r="AF221" s="308">
        <f t="shared" ref="AF221" si="359">AF222+AF223</f>
        <v>0</v>
      </c>
      <c r="AG221" s="308">
        <f t="shared" ref="AG221" si="360">AG222+AG223</f>
        <v>0</v>
      </c>
      <c r="AH221" s="308">
        <f t="shared" ref="AH221" si="361">AH222+AH223</f>
        <v>0</v>
      </c>
      <c r="AI221" s="308">
        <f t="shared" ref="AI221" si="362">AI222+AI223</f>
        <v>0</v>
      </c>
      <c r="AJ221" s="308">
        <f t="shared" ref="AJ221" si="363">AJ222+AJ223</f>
        <v>0</v>
      </c>
      <c r="AK221" s="308">
        <f t="shared" ref="AK221" si="364">AK222+AK223</f>
        <v>0</v>
      </c>
      <c r="AL221" s="308">
        <f t="shared" ref="AL221" si="365">AL222+AL223</f>
        <v>0</v>
      </c>
      <c r="AM221" s="308">
        <f t="shared" ref="AM221" si="366">AM222+AM223</f>
        <v>0</v>
      </c>
      <c r="AN221" s="308">
        <f t="shared" ref="AN221" si="367">AN222+AN223</f>
        <v>0</v>
      </c>
      <c r="AO221" s="308"/>
    </row>
    <row r="222" spans="1:41" s="100" customFormat="1" ht="28.5" customHeight="1">
      <c r="A222" s="826"/>
      <c r="B222" s="42" t="s">
        <v>15</v>
      </c>
      <c r="C222" s="258"/>
      <c r="D222" s="258"/>
      <c r="E222" s="258"/>
      <c r="F222" s="259"/>
      <c r="G222" s="260"/>
      <c r="H222" s="261"/>
      <c r="I222" s="1008"/>
      <c r="J222" s="101"/>
      <c r="K222" s="262"/>
      <c r="L222" s="75">
        <v>1821.34</v>
      </c>
      <c r="M222" s="264"/>
      <c r="N222" s="264"/>
      <c r="O222" s="264"/>
      <c r="P222" s="86">
        <v>0</v>
      </c>
      <c r="Q222" s="86">
        <v>0</v>
      </c>
      <c r="R222" s="86">
        <v>0</v>
      </c>
      <c r="S222" s="86">
        <v>0</v>
      </c>
      <c r="T222" s="86">
        <v>0</v>
      </c>
      <c r="U222" s="86">
        <v>0</v>
      </c>
      <c r="V222" s="86">
        <v>0</v>
      </c>
      <c r="W222" s="86">
        <v>0</v>
      </c>
      <c r="X222" s="86">
        <v>0</v>
      </c>
      <c r="Y222" s="86">
        <v>0</v>
      </c>
      <c r="Z222" s="86">
        <v>0</v>
      </c>
      <c r="AA222" s="86">
        <v>0</v>
      </c>
      <c r="AB222" s="86">
        <v>0</v>
      </c>
      <c r="AC222" s="86">
        <v>0</v>
      </c>
      <c r="AD222" s="86">
        <v>0</v>
      </c>
      <c r="AE222" s="86">
        <v>0</v>
      </c>
      <c r="AF222" s="86">
        <v>0</v>
      </c>
      <c r="AG222" s="86">
        <v>0</v>
      </c>
      <c r="AH222" s="86">
        <v>0</v>
      </c>
      <c r="AI222" s="86">
        <v>0</v>
      </c>
      <c r="AJ222" s="86">
        <v>0</v>
      </c>
      <c r="AK222" s="86">
        <v>0</v>
      </c>
      <c r="AL222" s="86">
        <v>0</v>
      </c>
      <c r="AM222" s="86">
        <v>0</v>
      </c>
      <c r="AN222" s="86">
        <v>0</v>
      </c>
      <c r="AO222" s="419"/>
    </row>
    <row r="223" spans="1:41" s="100" customFormat="1" ht="28.5" customHeight="1">
      <c r="A223" s="877"/>
      <c r="B223" s="42" t="s">
        <v>16</v>
      </c>
      <c r="C223" s="258"/>
      <c r="D223" s="258"/>
      <c r="E223" s="258"/>
      <c r="F223" s="259"/>
      <c r="G223" s="260"/>
      <c r="H223" s="261"/>
      <c r="I223" s="1009"/>
      <c r="J223" s="101"/>
      <c r="K223" s="262"/>
      <c r="L223" s="75">
        <v>19806.37</v>
      </c>
      <c r="M223" s="264"/>
      <c r="N223" s="264"/>
      <c r="O223" s="264"/>
      <c r="P223" s="86">
        <v>0</v>
      </c>
      <c r="Q223" s="86">
        <v>0</v>
      </c>
      <c r="R223" s="86">
        <v>0</v>
      </c>
      <c r="S223" s="86">
        <v>0</v>
      </c>
      <c r="T223" s="86">
        <v>0</v>
      </c>
      <c r="U223" s="86">
        <v>0</v>
      </c>
      <c r="V223" s="86">
        <v>0</v>
      </c>
      <c r="W223" s="86">
        <v>0</v>
      </c>
      <c r="X223" s="86">
        <v>0</v>
      </c>
      <c r="Y223" s="86">
        <v>0</v>
      </c>
      <c r="Z223" s="86">
        <v>0</v>
      </c>
      <c r="AA223" s="86">
        <v>0</v>
      </c>
      <c r="AB223" s="86">
        <v>0</v>
      </c>
      <c r="AC223" s="86">
        <v>0</v>
      </c>
      <c r="AD223" s="86">
        <v>0</v>
      </c>
      <c r="AE223" s="86">
        <v>0</v>
      </c>
      <c r="AF223" s="86">
        <v>0</v>
      </c>
      <c r="AG223" s="86">
        <v>0</v>
      </c>
      <c r="AH223" s="86">
        <v>0</v>
      </c>
      <c r="AI223" s="86">
        <v>0</v>
      </c>
      <c r="AJ223" s="86">
        <v>0</v>
      </c>
      <c r="AK223" s="86">
        <v>0</v>
      </c>
      <c r="AL223" s="86">
        <v>0</v>
      </c>
      <c r="AM223" s="86">
        <v>0</v>
      </c>
      <c r="AN223" s="86">
        <v>0</v>
      </c>
      <c r="AO223" s="419"/>
    </row>
    <row r="224" spans="1:41" ht="60.75" customHeight="1">
      <c r="A224" s="832" t="s">
        <v>404</v>
      </c>
      <c r="B224" s="83" t="s">
        <v>405</v>
      </c>
      <c r="C224" s="342"/>
      <c r="D224" s="342"/>
      <c r="E224" s="342"/>
      <c r="F224" s="319"/>
      <c r="G224" s="343"/>
      <c r="H224" s="344"/>
      <c r="I224" s="837" t="s">
        <v>19</v>
      </c>
      <c r="J224" s="745"/>
      <c r="K224" s="345"/>
      <c r="L224" s="308">
        <f>L225+L226</f>
        <v>12759.59</v>
      </c>
      <c r="M224" s="308">
        <f t="shared" ref="M224" si="368">M225+M226</f>
        <v>0</v>
      </c>
      <c r="N224" s="308">
        <f t="shared" ref="N224" si="369">N225+N226</f>
        <v>0</v>
      </c>
      <c r="O224" s="308">
        <f t="shared" ref="O224" si="370">O225+O226</f>
        <v>0</v>
      </c>
      <c r="P224" s="308">
        <f t="shared" ref="P224" si="371">P225+P226</f>
        <v>0</v>
      </c>
      <c r="Q224" s="308">
        <f t="shared" ref="Q224" si="372">Q225+Q226</f>
        <v>0</v>
      </c>
      <c r="R224" s="308">
        <f t="shared" ref="R224" si="373">R225+R226</f>
        <v>0</v>
      </c>
      <c r="S224" s="308">
        <f t="shared" ref="S224" si="374">S225+S226</f>
        <v>0</v>
      </c>
      <c r="T224" s="308">
        <f t="shared" ref="T224" si="375">T225+T226</f>
        <v>0</v>
      </c>
      <c r="U224" s="308">
        <f t="shared" ref="U224" si="376">U225+U226</f>
        <v>0</v>
      </c>
      <c r="V224" s="308">
        <f t="shared" ref="V224" si="377">V225+V226</f>
        <v>0</v>
      </c>
      <c r="W224" s="308">
        <f t="shared" ref="W224" si="378">W225+W226</f>
        <v>0</v>
      </c>
      <c r="X224" s="308">
        <f t="shared" ref="X224" si="379">X225+X226</f>
        <v>0</v>
      </c>
      <c r="Y224" s="308">
        <f t="shared" ref="Y224" si="380">Y225+Y226</f>
        <v>0</v>
      </c>
      <c r="Z224" s="308">
        <f t="shared" ref="Z224" si="381">Z225+Z226</f>
        <v>0</v>
      </c>
      <c r="AA224" s="308">
        <f t="shared" ref="AA224" si="382">AA225+AA226</f>
        <v>0</v>
      </c>
      <c r="AB224" s="308">
        <f t="shared" ref="AB224" si="383">AB225+AB226</f>
        <v>0</v>
      </c>
      <c r="AC224" s="308">
        <f t="shared" ref="AC224" si="384">AC225+AC226</f>
        <v>0</v>
      </c>
      <c r="AD224" s="308">
        <f t="shared" ref="AD224" si="385">AD225+AD226</f>
        <v>0</v>
      </c>
      <c r="AE224" s="308">
        <f t="shared" ref="AE224" si="386">AE225+AE226</f>
        <v>0</v>
      </c>
      <c r="AF224" s="308">
        <f t="shared" ref="AF224" si="387">AF225+AF226</f>
        <v>0</v>
      </c>
      <c r="AG224" s="308">
        <f t="shared" ref="AG224" si="388">AG225+AG226</f>
        <v>0</v>
      </c>
      <c r="AH224" s="308">
        <f t="shared" ref="AH224" si="389">AH225+AH226</f>
        <v>0</v>
      </c>
      <c r="AI224" s="308">
        <f t="shared" ref="AI224" si="390">AI225+AI226</f>
        <v>0</v>
      </c>
      <c r="AJ224" s="308">
        <f t="shared" ref="AJ224" si="391">AJ225+AJ226</f>
        <v>0</v>
      </c>
      <c r="AK224" s="308">
        <f t="shared" ref="AK224" si="392">AK225+AK226</f>
        <v>0</v>
      </c>
      <c r="AL224" s="308">
        <f t="shared" ref="AL224" si="393">AL225+AL226</f>
        <v>0</v>
      </c>
      <c r="AM224" s="308">
        <f t="shared" ref="AM224" si="394">AM225+AM226</f>
        <v>0</v>
      </c>
      <c r="AN224" s="308">
        <f t="shared" ref="AN224" si="395">AN225+AN226</f>
        <v>0</v>
      </c>
      <c r="AO224" s="308"/>
    </row>
    <row r="225" spans="1:41" s="100" customFormat="1" ht="28.5" customHeight="1">
      <c r="A225" s="826"/>
      <c r="B225" s="42" t="s">
        <v>15</v>
      </c>
      <c r="C225" s="258"/>
      <c r="D225" s="258"/>
      <c r="E225" s="258"/>
      <c r="F225" s="259"/>
      <c r="G225" s="260"/>
      <c r="H225" s="261"/>
      <c r="I225" s="1008"/>
      <c r="J225" s="101"/>
      <c r="K225" s="262"/>
      <c r="L225" s="75">
        <v>1652.36</v>
      </c>
      <c r="M225" s="264"/>
      <c r="N225" s="264"/>
      <c r="O225" s="264"/>
      <c r="P225" s="86">
        <v>0</v>
      </c>
      <c r="Q225" s="86">
        <v>0</v>
      </c>
      <c r="R225" s="86">
        <v>0</v>
      </c>
      <c r="S225" s="86">
        <v>0</v>
      </c>
      <c r="T225" s="86">
        <v>0</v>
      </c>
      <c r="U225" s="86">
        <v>0</v>
      </c>
      <c r="V225" s="86">
        <v>0</v>
      </c>
      <c r="W225" s="86">
        <v>0</v>
      </c>
      <c r="X225" s="86">
        <v>0</v>
      </c>
      <c r="Y225" s="86">
        <v>0</v>
      </c>
      <c r="Z225" s="86">
        <v>0</v>
      </c>
      <c r="AA225" s="86">
        <v>0</v>
      </c>
      <c r="AB225" s="86">
        <v>0</v>
      </c>
      <c r="AC225" s="86">
        <v>0</v>
      </c>
      <c r="AD225" s="86">
        <v>0</v>
      </c>
      <c r="AE225" s="86">
        <v>0</v>
      </c>
      <c r="AF225" s="86">
        <v>0</v>
      </c>
      <c r="AG225" s="86">
        <v>0</v>
      </c>
      <c r="AH225" s="86">
        <v>0</v>
      </c>
      <c r="AI225" s="86">
        <v>0</v>
      </c>
      <c r="AJ225" s="86">
        <v>0</v>
      </c>
      <c r="AK225" s="86">
        <v>0</v>
      </c>
      <c r="AL225" s="86">
        <v>0</v>
      </c>
      <c r="AM225" s="86">
        <v>0</v>
      </c>
      <c r="AN225" s="86">
        <v>0</v>
      </c>
      <c r="AO225" s="419"/>
    </row>
    <row r="226" spans="1:41" s="100" customFormat="1" ht="28.5" customHeight="1">
      <c r="A226" s="877"/>
      <c r="B226" s="42" t="s">
        <v>16</v>
      </c>
      <c r="C226" s="258"/>
      <c r="D226" s="258"/>
      <c r="E226" s="258"/>
      <c r="F226" s="259"/>
      <c r="G226" s="260"/>
      <c r="H226" s="261"/>
      <c r="I226" s="1009"/>
      <c r="J226" s="101"/>
      <c r="K226" s="262"/>
      <c r="L226" s="75">
        <v>11107.23</v>
      </c>
      <c r="M226" s="264"/>
      <c r="N226" s="264"/>
      <c r="O226" s="264"/>
      <c r="P226" s="86">
        <v>0</v>
      </c>
      <c r="Q226" s="86">
        <v>0</v>
      </c>
      <c r="R226" s="86">
        <v>0</v>
      </c>
      <c r="S226" s="86">
        <v>0</v>
      </c>
      <c r="T226" s="86">
        <v>0</v>
      </c>
      <c r="U226" s="86">
        <v>0</v>
      </c>
      <c r="V226" s="86">
        <v>0</v>
      </c>
      <c r="W226" s="86">
        <v>0</v>
      </c>
      <c r="X226" s="86">
        <v>0</v>
      </c>
      <c r="Y226" s="86">
        <v>0</v>
      </c>
      <c r="Z226" s="86">
        <v>0</v>
      </c>
      <c r="AA226" s="86">
        <v>0</v>
      </c>
      <c r="AB226" s="86">
        <v>0</v>
      </c>
      <c r="AC226" s="86">
        <v>0</v>
      </c>
      <c r="AD226" s="86">
        <v>0</v>
      </c>
      <c r="AE226" s="86">
        <v>0</v>
      </c>
      <c r="AF226" s="86">
        <v>0</v>
      </c>
      <c r="AG226" s="86">
        <v>0</v>
      </c>
      <c r="AH226" s="86">
        <v>0</v>
      </c>
      <c r="AI226" s="86">
        <v>0</v>
      </c>
      <c r="AJ226" s="86">
        <v>0</v>
      </c>
      <c r="AK226" s="86">
        <v>0</v>
      </c>
      <c r="AL226" s="86">
        <v>0</v>
      </c>
      <c r="AM226" s="86">
        <v>0</v>
      </c>
      <c r="AN226" s="86">
        <v>0</v>
      </c>
      <c r="AO226" s="419"/>
    </row>
    <row r="227" spans="1:41" s="100" customFormat="1" ht="28.5" hidden="1" customHeight="1">
      <c r="A227" s="747"/>
      <c r="B227" s="257"/>
      <c r="C227" s="258"/>
      <c r="D227" s="258"/>
      <c r="E227" s="258"/>
      <c r="F227" s="259"/>
      <c r="G227" s="260"/>
      <c r="H227" s="261"/>
      <c r="I227" s="376"/>
      <c r="J227" s="101"/>
      <c r="K227" s="262"/>
      <c r="L227" s="263"/>
      <c r="M227" s="264"/>
      <c r="N227" s="264"/>
      <c r="O227" s="264"/>
      <c r="P227" s="264"/>
      <c r="Q227" s="264"/>
      <c r="R227" s="264"/>
      <c r="S227" s="264"/>
      <c r="T227" s="264"/>
      <c r="U227" s="264"/>
      <c r="V227" s="264"/>
      <c r="W227" s="264"/>
      <c r="X227" s="264"/>
      <c r="Y227" s="264"/>
      <c r="Z227" s="264"/>
      <c r="AA227" s="264"/>
      <c r="AB227" s="264"/>
      <c r="AC227" s="264"/>
      <c r="AD227" s="264"/>
      <c r="AE227" s="264"/>
      <c r="AF227" s="264"/>
      <c r="AG227" s="264"/>
      <c r="AH227" s="264"/>
      <c r="AI227" s="264"/>
      <c r="AJ227" s="264"/>
      <c r="AK227" s="264"/>
      <c r="AL227" s="264"/>
      <c r="AM227" s="264"/>
      <c r="AN227" s="264"/>
      <c r="AO227" s="419"/>
    </row>
    <row r="228" spans="1:41" ht="54" customHeight="1">
      <c r="A228" s="881" t="s">
        <v>24</v>
      </c>
      <c r="B228" s="889" t="s">
        <v>211</v>
      </c>
      <c r="C228" s="890"/>
      <c r="D228" s="890"/>
      <c r="E228" s="890"/>
      <c r="F228" s="890"/>
      <c r="G228" s="890"/>
      <c r="H228" s="891"/>
      <c r="I228" s="23" t="s">
        <v>19</v>
      </c>
      <c r="J228" s="49">
        <v>0</v>
      </c>
      <c r="K228" s="49">
        <v>0</v>
      </c>
      <c r="L228" s="22">
        <v>0</v>
      </c>
      <c r="M228" s="47">
        <v>0</v>
      </c>
      <c r="N228" s="47">
        <v>0</v>
      </c>
      <c r="O228" s="47">
        <v>1</v>
      </c>
      <c r="P228" s="47">
        <v>0</v>
      </c>
      <c r="Q228" s="47">
        <v>0</v>
      </c>
      <c r="R228" s="47">
        <v>0</v>
      </c>
      <c r="S228" s="47">
        <v>0</v>
      </c>
      <c r="T228" s="47">
        <v>0</v>
      </c>
      <c r="U228" s="47">
        <v>0</v>
      </c>
      <c r="V228" s="47">
        <v>0</v>
      </c>
      <c r="W228" s="47">
        <v>0</v>
      </c>
      <c r="X228" s="47">
        <v>0</v>
      </c>
      <c r="Y228" s="47">
        <v>0</v>
      </c>
      <c r="Z228" s="47">
        <v>0</v>
      </c>
      <c r="AA228" s="47">
        <v>0</v>
      </c>
      <c r="AB228" s="47">
        <v>0</v>
      </c>
      <c r="AC228" s="47">
        <v>0</v>
      </c>
      <c r="AD228" s="47">
        <v>0</v>
      </c>
      <c r="AE228" s="47">
        <v>0</v>
      </c>
      <c r="AF228" s="47">
        <v>0</v>
      </c>
      <c r="AG228" s="47">
        <v>0</v>
      </c>
      <c r="AH228" s="47">
        <v>0</v>
      </c>
      <c r="AI228" s="47">
        <v>0</v>
      </c>
      <c r="AJ228" s="47">
        <v>0</v>
      </c>
      <c r="AK228" s="47">
        <v>0</v>
      </c>
      <c r="AL228" s="47">
        <v>0</v>
      </c>
      <c r="AM228" s="47">
        <v>0</v>
      </c>
      <c r="AN228" s="47">
        <v>0</v>
      </c>
      <c r="AO228" s="403"/>
    </row>
    <row r="229" spans="1:41" ht="49.5" customHeight="1">
      <c r="A229" s="881"/>
      <c r="B229" s="892"/>
      <c r="C229" s="893"/>
      <c r="D229" s="893"/>
      <c r="E229" s="893"/>
      <c r="F229" s="893"/>
      <c r="G229" s="893"/>
      <c r="H229" s="894"/>
      <c r="I229" s="23" t="s">
        <v>20</v>
      </c>
      <c r="J229" s="49">
        <f>J232</f>
        <v>6379.79</v>
      </c>
      <c r="K229" s="49">
        <f>K232</f>
        <v>0</v>
      </c>
      <c r="L229" s="47">
        <f>L232+L237+L243+L253</f>
        <v>91268.12000000001</v>
      </c>
      <c r="M229" s="47">
        <f t="shared" ref="M229:X229" si="396">M232+M237+M243+M253</f>
        <v>4269.0300000000007</v>
      </c>
      <c r="N229" s="47">
        <f t="shared" si="396"/>
        <v>5370.84</v>
      </c>
      <c r="O229" s="47">
        <f t="shared" si="396"/>
        <v>3372.5</v>
      </c>
      <c r="P229" s="47">
        <f t="shared" si="396"/>
        <v>0</v>
      </c>
      <c r="Q229" s="47">
        <f t="shared" si="396"/>
        <v>5077.973</v>
      </c>
      <c r="R229" s="47">
        <f t="shared" si="396"/>
        <v>0</v>
      </c>
      <c r="S229" s="47">
        <f t="shared" si="396"/>
        <v>0</v>
      </c>
      <c r="T229" s="47">
        <f t="shared" si="396"/>
        <v>0</v>
      </c>
      <c r="U229" s="47">
        <f t="shared" si="396"/>
        <v>0</v>
      </c>
      <c r="V229" s="47">
        <f t="shared" si="396"/>
        <v>0</v>
      </c>
      <c r="W229" s="47">
        <f t="shared" si="396"/>
        <v>0</v>
      </c>
      <c r="X229" s="47">
        <f t="shared" si="396"/>
        <v>0</v>
      </c>
      <c r="Y229" s="47">
        <f t="shared" ref="Y229:AJ229" si="397">Y232+Y237+Y243</f>
        <v>0</v>
      </c>
      <c r="Z229" s="47">
        <f t="shared" si="397"/>
        <v>5804.1530000000002</v>
      </c>
      <c r="AA229" s="47">
        <f t="shared" si="397"/>
        <v>0</v>
      </c>
      <c r="AB229" s="47">
        <f t="shared" ref="AB229:AD229" si="398">AB232+AB237+AB243</f>
        <v>0</v>
      </c>
      <c r="AC229" s="47">
        <f t="shared" si="398"/>
        <v>0</v>
      </c>
      <c r="AD229" s="47">
        <f t="shared" si="398"/>
        <v>0</v>
      </c>
      <c r="AE229" s="47">
        <f t="shared" si="397"/>
        <v>0</v>
      </c>
      <c r="AF229" s="47">
        <f t="shared" ref="AF229" si="399">AF232+AF237+AF243</f>
        <v>0</v>
      </c>
      <c r="AG229" s="47">
        <f t="shared" ref="AG229:AH229" si="400">AG232+AG237+AG243</f>
        <v>0</v>
      </c>
      <c r="AH229" s="47">
        <f t="shared" si="400"/>
        <v>0</v>
      </c>
      <c r="AI229" s="47">
        <f t="shared" ref="AI229" si="401">AI232+AI237+AI243</f>
        <v>0</v>
      </c>
      <c r="AJ229" s="47">
        <f t="shared" si="397"/>
        <v>-5077.973</v>
      </c>
      <c r="AK229" s="47">
        <f t="shared" ref="AK229:AN229" si="402">AK232</f>
        <v>-5077.973</v>
      </c>
      <c r="AL229" s="47" t="e">
        <f t="shared" si="402"/>
        <v>#DIV/0!</v>
      </c>
      <c r="AM229" s="47">
        <f t="shared" si="402"/>
        <v>0</v>
      </c>
      <c r="AN229" s="47">
        <f t="shared" si="402"/>
        <v>0</v>
      </c>
      <c r="AO229" s="403"/>
    </row>
    <row r="230" spans="1:41" ht="42" customHeight="1">
      <c r="A230" s="881"/>
      <c r="B230" s="892"/>
      <c r="C230" s="893"/>
      <c r="D230" s="893"/>
      <c r="E230" s="893"/>
      <c r="F230" s="893"/>
      <c r="G230" s="893"/>
      <c r="H230" s="894"/>
      <c r="I230" s="15" t="s">
        <v>10</v>
      </c>
      <c r="J230" s="49">
        <v>0</v>
      </c>
      <c r="K230" s="49">
        <v>0</v>
      </c>
      <c r="L230" s="22">
        <f>L249+L251</f>
        <v>1650.1</v>
      </c>
      <c r="M230" s="22">
        <f t="shared" ref="M230:Y230" si="403">M249+M251</f>
        <v>1650.1</v>
      </c>
      <c r="N230" s="22">
        <f t="shared" si="403"/>
        <v>0</v>
      </c>
      <c r="O230" s="22">
        <f t="shared" si="403"/>
        <v>0</v>
      </c>
      <c r="P230" s="22">
        <f t="shared" si="403"/>
        <v>0</v>
      </c>
      <c r="Q230" s="22">
        <f t="shared" si="403"/>
        <v>0</v>
      </c>
      <c r="R230" s="22">
        <f t="shared" si="403"/>
        <v>0</v>
      </c>
      <c r="S230" s="22">
        <f t="shared" si="403"/>
        <v>0</v>
      </c>
      <c r="T230" s="22">
        <f t="shared" si="403"/>
        <v>0</v>
      </c>
      <c r="U230" s="22">
        <f t="shared" si="403"/>
        <v>0</v>
      </c>
      <c r="V230" s="22">
        <f t="shared" si="403"/>
        <v>0</v>
      </c>
      <c r="W230" s="22">
        <f t="shared" si="403"/>
        <v>0</v>
      </c>
      <c r="X230" s="22">
        <f t="shared" si="403"/>
        <v>0</v>
      </c>
      <c r="Y230" s="22">
        <f t="shared" si="403"/>
        <v>0</v>
      </c>
      <c r="Z230" s="22">
        <f t="shared" ref="Z230:AE230" si="404">Z249+Z251</f>
        <v>0</v>
      </c>
      <c r="AA230" s="22">
        <f t="shared" si="404"/>
        <v>0</v>
      </c>
      <c r="AB230" s="22">
        <f t="shared" ref="AB230:AD230" si="405">AB249+AB251</f>
        <v>0</v>
      </c>
      <c r="AC230" s="22">
        <f t="shared" si="405"/>
        <v>0</v>
      </c>
      <c r="AD230" s="22">
        <f t="shared" si="405"/>
        <v>0</v>
      </c>
      <c r="AE230" s="22">
        <f t="shared" si="404"/>
        <v>0</v>
      </c>
      <c r="AF230" s="22">
        <f t="shared" ref="AF230" si="406">AF249+AF251</f>
        <v>0</v>
      </c>
      <c r="AG230" s="22">
        <f t="shared" ref="AG230:AH230" si="407">AG249+AG251</f>
        <v>0</v>
      </c>
      <c r="AH230" s="22">
        <f t="shared" si="407"/>
        <v>0</v>
      </c>
      <c r="AI230" s="22">
        <f t="shared" ref="AI230" si="408">AI249+AI251</f>
        <v>0</v>
      </c>
      <c r="AJ230" s="22">
        <v>0</v>
      </c>
      <c r="AK230" s="22">
        <v>0</v>
      </c>
      <c r="AL230" s="22">
        <v>0</v>
      </c>
      <c r="AM230" s="22">
        <v>0</v>
      </c>
      <c r="AN230" s="22">
        <v>0</v>
      </c>
      <c r="AO230" s="404"/>
    </row>
    <row r="231" spans="1:41" ht="25.5">
      <c r="A231" s="881"/>
      <c r="B231" s="895"/>
      <c r="C231" s="896"/>
      <c r="D231" s="896"/>
      <c r="E231" s="896"/>
      <c r="F231" s="896"/>
      <c r="G231" s="896"/>
      <c r="H231" s="897"/>
      <c r="I231" s="15" t="s">
        <v>9</v>
      </c>
      <c r="J231" s="49">
        <v>0</v>
      </c>
      <c r="K231" s="49">
        <v>0</v>
      </c>
      <c r="L231" s="22">
        <v>0</v>
      </c>
      <c r="M231" s="22">
        <v>0</v>
      </c>
      <c r="N231" s="22">
        <v>0</v>
      </c>
      <c r="O231" s="22">
        <v>1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  <c r="V231" s="22">
        <v>0</v>
      </c>
      <c r="W231" s="22">
        <v>0</v>
      </c>
      <c r="X231" s="22">
        <v>0</v>
      </c>
      <c r="Y231" s="22">
        <v>0</v>
      </c>
      <c r="Z231" s="22">
        <v>0</v>
      </c>
      <c r="AA231" s="22">
        <v>0</v>
      </c>
      <c r="AB231" s="22">
        <v>0</v>
      </c>
      <c r="AC231" s="22">
        <v>0</v>
      </c>
      <c r="AD231" s="22">
        <v>0</v>
      </c>
      <c r="AE231" s="22">
        <v>0</v>
      </c>
      <c r="AF231" s="22">
        <v>0</v>
      </c>
      <c r="AG231" s="22">
        <v>0</v>
      </c>
      <c r="AH231" s="22">
        <v>0</v>
      </c>
      <c r="AI231" s="22">
        <v>0</v>
      </c>
      <c r="AJ231" s="22">
        <v>0</v>
      </c>
      <c r="AK231" s="22">
        <v>0</v>
      </c>
      <c r="AL231" s="22">
        <v>0</v>
      </c>
      <c r="AM231" s="22">
        <v>0</v>
      </c>
      <c r="AN231" s="22">
        <v>0</v>
      </c>
      <c r="AO231" s="404"/>
    </row>
    <row r="232" spans="1:41" ht="55.5" customHeight="1">
      <c r="A232" s="825" t="s">
        <v>30</v>
      </c>
      <c r="B232" s="80" t="s">
        <v>365</v>
      </c>
      <c r="C232" s="815">
        <v>300</v>
      </c>
      <c r="D232" s="815">
        <v>570</v>
      </c>
      <c r="E232" s="815"/>
      <c r="F232" s="815"/>
      <c r="G232" s="2"/>
      <c r="H232" s="2"/>
      <c r="I232" s="837" t="s">
        <v>20</v>
      </c>
      <c r="J232" s="912">
        <v>6379.79</v>
      </c>
      <c r="K232" s="3">
        <v>0</v>
      </c>
      <c r="L232" s="82">
        <f t="shared" ref="L232:AG232" si="409">L233+L236</f>
        <v>84120.950000000012</v>
      </c>
      <c r="M232" s="82">
        <f t="shared" si="409"/>
        <v>0</v>
      </c>
      <c r="N232" s="82">
        <f t="shared" si="409"/>
        <v>5370.84</v>
      </c>
      <c r="O232" s="82">
        <f t="shared" si="409"/>
        <v>3372.5</v>
      </c>
      <c r="P232" s="82">
        <f t="shared" si="409"/>
        <v>0</v>
      </c>
      <c r="Q232" s="82">
        <f t="shared" si="409"/>
        <v>5077.973</v>
      </c>
      <c r="R232" s="82">
        <f t="shared" si="409"/>
        <v>0</v>
      </c>
      <c r="S232" s="82">
        <f t="shared" si="409"/>
        <v>0</v>
      </c>
      <c r="T232" s="82">
        <f t="shared" si="409"/>
        <v>0</v>
      </c>
      <c r="U232" s="82">
        <f t="shared" si="409"/>
        <v>0</v>
      </c>
      <c r="V232" s="82">
        <f t="shared" si="409"/>
        <v>0</v>
      </c>
      <c r="W232" s="82">
        <f t="shared" si="409"/>
        <v>0</v>
      </c>
      <c r="X232" s="82">
        <f t="shared" si="409"/>
        <v>0</v>
      </c>
      <c r="Y232" s="82">
        <f t="shared" si="409"/>
        <v>0</v>
      </c>
      <c r="Z232" s="82">
        <f t="shared" si="409"/>
        <v>5804.1530000000002</v>
      </c>
      <c r="AA232" s="82">
        <f t="shared" si="409"/>
        <v>0</v>
      </c>
      <c r="AB232" s="82">
        <f t="shared" si="409"/>
        <v>0</v>
      </c>
      <c r="AC232" s="82">
        <f t="shared" ref="AC232:AD232" si="410">AC233+AC236</f>
        <v>0</v>
      </c>
      <c r="AD232" s="82">
        <f t="shared" si="410"/>
        <v>0</v>
      </c>
      <c r="AE232" s="82">
        <f t="shared" si="409"/>
        <v>0</v>
      </c>
      <c r="AF232" s="82">
        <f t="shared" si="409"/>
        <v>0</v>
      </c>
      <c r="AG232" s="82">
        <f t="shared" si="409"/>
        <v>0</v>
      </c>
      <c r="AH232" s="82">
        <f t="shared" ref="AH232:AI232" si="411">AH233+AH236</f>
        <v>0</v>
      </c>
      <c r="AI232" s="82">
        <f t="shared" si="411"/>
        <v>0</v>
      </c>
      <c r="AJ232" s="82">
        <f>P232-Q232</f>
        <v>-5077.973</v>
      </c>
      <c r="AK232" s="82">
        <f>AJ232</f>
        <v>-5077.973</v>
      </c>
      <c r="AL232" s="82" t="e">
        <f>ROUND((Q232*100%/P232*100),2)</f>
        <v>#DIV/0!</v>
      </c>
      <c r="AM232" s="82">
        <f>AM233+AM236</f>
        <v>0</v>
      </c>
      <c r="AN232" s="82">
        <f>AN233+AN236</f>
        <v>0</v>
      </c>
      <c r="AO232" s="411" t="s">
        <v>251</v>
      </c>
    </row>
    <row r="233" spans="1:41">
      <c r="A233" s="826"/>
      <c r="B233" s="1" t="s">
        <v>15</v>
      </c>
      <c r="C233" s="816"/>
      <c r="D233" s="816"/>
      <c r="E233" s="816"/>
      <c r="F233" s="816"/>
      <c r="G233" s="39">
        <v>2019</v>
      </c>
      <c r="H233" s="39">
        <v>2019</v>
      </c>
      <c r="I233" s="838"/>
      <c r="J233" s="913"/>
      <c r="K233" s="3"/>
      <c r="L233" s="47">
        <v>5653.46</v>
      </c>
      <c r="M233" s="50">
        <v>0</v>
      </c>
      <c r="N233" s="50">
        <v>5370.84</v>
      </c>
      <c r="O233" s="50">
        <v>0</v>
      </c>
      <c r="P233" s="86">
        <v>0</v>
      </c>
      <c r="Q233" s="86">
        <f>SUM(Q234:Q235)</f>
        <v>5077.973</v>
      </c>
      <c r="R233" s="86">
        <v>0</v>
      </c>
      <c r="S233" s="86">
        <v>0</v>
      </c>
      <c r="T233" s="86">
        <v>0</v>
      </c>
      <c r="U233" s="86">
        <v>0</v>
      </c>
      <c r="V233" s="86">
        <v>0</v>
      </c>
      <c r="W233" s="86">
        <v>0</v>
      </c>
      <c r="X233" s="86">
        <v>0</v>
      </c>
      <c r="Y233" s="86">
        <v>0</v>
      </c>
      <c r="Z233" s="86">
        <f>SUM(Z234:Z235)</f>
        <v>5804.1530000000002</v>
      </c>
      <c r="AA233" s="86">
        <v>0</v>
      </c>
      <c r="AB233" s="86">
        <v>0</v>
      </c>
      <c r="AC233" s="86">
        <v>0</v>
      </c>
      <c r="AD233" s="86">
        <v>0</v>
      </c>
      <c r="AE233" s="86">
        <v>0</v>
      </c>
      <c r="AF233" s="86">
        <v>0</v>
      </c>
      <c r="AG233" s="86">
        <v>0</v>
      </c>
      <c r="AH233" s="86">
        <v>0</v>
      </c>
      <c r="AI233" s="86">
        <v>0</v>
      </c>
      <c r="AJ233" s="86">
        <v>0</v>
      </c>
      <c r="AK233" s="86">
        <v>0</v>
      </c>
      <c r="AL233" s="86">
        <v>0</v>
      </c>
      <c r="AM233" s="86">
        <v>0</v>
      </c>
      <c r="AN233" s="86">
        <v>0</v>
      </c>
      <c r="AO233" s="420"/>
    </row>
    <row r="234" spans="1:41" s="100" customFormat="1" ht="25.5" hidden="1">
      <c r="A234" s="826"/>
      <c r="B234" s="786" t="s">
        <v>360</v>
      </c>
      <c r="C234" s="816"/>
      <c r="D234" s="816"/>
      <c r="E234" s="816"/>
      <c r="F234" s="816"/>
      <c r="G234" s="107"/>
      <c r="H234" s="107"/>
      <c r="I234" s="838"/>
      <c r="J234" s="913"/>
      <c r="K234" s="98"/>
      <c r="L234" s="99"/>
      <c r="M234" s="268"/>
      <c r="N234" s="268"/>
      <c r="O234" s="268"/>
      <c r="P234" s="264">
        <v>0</v>
      </c>
      <c r="Q234" s="264">
        <v>4173.82</v>
      </c>
      <c r="R234" s="264">
        <v>0</v>
      </c>
      <c r="S234" s="264">
        <v>0</v>
      </c>
      <c r="T234" s="264">
        <v>0</v>
      </c>
      <c r="U234" s="264">
        <v>0</v>
      </c>
      <c r="V234" s="264">
        <v>0</v>
      </c>
      <c r="W234" s="264">
        <v>0</v>
      </c>
      <c r="X234" s="264">
        <v>0</v>
      </c>
      <c r="Y234" s="264">
        <v>0</v>
      </c>
      <c r="Z234" s="264">
        <v>4900</v>
      </c>
      <c r="AA234" s="264">
        <v>0</v>
      </c>
      <c r="AB234" s="264">
        <v>0</v>
      </c>
      <c r="AC234" s="264">
        <v>0</v>
      </c>
      <c r="AD234" s="264">
        <v>0</v>
      </c>
      <c r="AE234" s="264">
        <v>0</v>
      </c>
      <c r="AF234" s="264">
        <v>0</v>
      </c>
      <c r="AG234" s="264">
        <v>0</v>
      </c>
      <c r="AH234" s="264">
        <v>0</v>
      </c>
      <c r="AI234" s="264">
        <v>0</v>
      </c>
      <c r="AJ234" s="264">
        <v>0</v>
      </c>
      <c r="AK234" s="264">
        <v>0</v>
      </c>
      <c r="AL234" s="264">
        <v>0</v>
      </c>
      <c r="AM234" s="264">
        <v>0</v>
      </c>
      <c r="AN234" s="264">
        <v>0</v>
      </c>
      <c r="AO234" s="421"/>
    </row>
    <row r="235" spans="1:41" s="273" customFormat="1" hidden="1">
      <c r="A235" s="826"/>
      <c r="B235" s="95" t="s">
        <v>353</v>
      </c>
      <c r="C235" s="816"/>
      <c r="D235" s="816"/>
      <c r="E235" s="816"/>
      <c r="F235" s="816"/>
      <c r="G235" s="107"/>
      <c r="H235" s="107"/>
      <c r="I235" s="838"/>
      <c r="J235" s="913"/>
      <c r="K235" s="98"/>
      <c r="L235" s="99"/>
      <c r="M235" s="268"/>
      <c r="N235" s="268"/>
      <c r="O235" s="268"/>
      <c r="P235" s="50"/>
      <c r="Q235" s="268">
        <f>U235</f>
        <v>904.15300000000002</v>
      </c>
      <c r="R235" s="268"/>
      <c r="S235" s="268"/>
      <c r="T235" s="268">
        <f>U235</f>
        <v>904.15300000000002</v>
      </c>
      <c r="U235" s="268">
        <v>904.15300000000002</v>
      </c>
      <c r="V235" s="268"/>
      <c r="W235" s="268"/>
      <c r="X235" s="268"/>
      <c r="Y235" s="268"/>
      <c r="Z235" s="268">
        <f>AB235</f>
        <v>904.15300000000002</v>
      </c>
      <c r="AA235" s="268"/>
      <c r="AB235" s="268">
        <v>904.15300000000002</v>
      </c>
      <c r="AC235" s="268"/>
      <c r="AD235" s="268"/>
      <c r="AE235" s="268">
        <f>SUM(AF235:AF235)</f>
        <v>0</v>
      </c>
      <c r="AF235" s="268"/>
      <c r="AG235" s="268"/>
      <c r="AH235" s="268"/>
      <c r="AI235" s="268"/>
      <c r="AJ235" s="268"/>
      <c r="AK235" s="268"/>
      <c r="AL235" s="268"/>
      <c r="AM235" s="268"/>
      <c r="AN235" s="268"/>
      <c r="AO235" s="421"/>
    </row>
    <row r="236" spans="1:41" ht="15.75" customHeight="1">
      <c r="A236" s="827"/>
      <c r="B236" s="2" t="s">
        <v>16</v>
      </c>
      <c r="C236" s="900"/>
      <c r="D236" s="900"/>
      <c r="E236" s="900"/>
      <c r="F236" s="900"/>
      <c r="G236" s="39">
        <v>2021</v>
      </c>
      <c r="H236" s="39">
        <v>2021</v>
      </c>
      <c r="I236" s="840"/>
      <c r="J236" s="914"/>
      <c r="K236" s="3"/>
      <c r="L236" s="47">
        <v>78467.490000000005</v>
      </c>
      <c r="M236" s="50">
        <v>0</v>
      </c>
      <c r="N236" s="50">
        <v>0</v>
      </c>
      <c r="O236" s="50">
        <v>3372.5</v>
      </c>
      <c r="P236" s="50">
        <v>0</v>
      </c>
      <c r="Q236" s="50">
        <v>0</v>
      </c>
      <c r="R236" s="50">
        <v>0</v>
      </c>
      <c r="S236" s="50">
        <v>0</v>
      </c>
      <c r="T236" s="50">
        <v>0</v>
      </c>
      <c r="U236" s="50">
        <v>0</v>
      </c>
      <c r="V236" s="50">
        <v>0</v>
      </c>
      <c r="W236" s="50">
        <v>0</v>
      </c>
      <c r="X236" s="50">
        <v>0</v>
      </c>
      <c r="Y236" s="50">
        <v>0</v>
      </c>
      <c r="Z236" s="50">
        <v>0</v>
      </c>
      <c r="AA236" s="50">
        <v>0</v>
      </c>
      <c r="AB236" s="50">
        <v>0</v>
      </c>
      <c r="AC236" s="50">
        <v>0</v>
      </c>
      <c r="AD236" s="50">
        <v>0</v>
      </c>
      <c r="AE236" s="50">
        <v>0</v>
      </c>
      <c r="AF236" s="50">
        <v>0</v>
      </c>
      <c r="AG236" s="50">
        <v>0</v>
      </c>
      <c r="AH236" s="50">
        <v>0</v>
      </c>
      <c r="AI236" s="50">
        <v>0</v>
      </c>
      <c r="AJ236" s="50">
        <v>0</v>
      </c>
      <c r="AK236" s="50">
        <v>0</v>
      </c>
      <c r="AL236" s="50">
        <v>0</v>
      </c>
      <c r="AM236" s="50">
        <v>0</v>
      </c>
      <c r="AN236" s="50">
        <v>0</v>
      </c>
      <c r="AO236" s="420"/>
    </row>
    <row r="237" spans="1:41" ht="120" customHeight="1">
      <c r="A237" s="825" t="s">
        <v>179</v>
      </c>
      <c r="B237" s="80" t="s">
        <v>180</v>
      </c>
      <c r="C237" s="143"/>
      <c r="D237" s="143"/>
      <c r="E237" s="143"/>
      <c r="F237" s="143"/>
      <c r="G237" s="2"/>
      <c r="H237" s="2"/>
      <c r="I237" s="837" t="s">
        <v>20</v>
      </c>
      <c r="J237" s="285"/>
      <c r="K237" s="3"/>
      <c r="L237" s="82">
        <f>L238</f>
        <v>1639</v>
      </c>
      <c r="M237" s="82">
        <f>M238</f>
        <v>1639</v>
      </c>
      <c r="N237" s="82">
        <f t="shared" ref="N237:AN237" si="412">N238</f>
        <v>0</v>
      </c>
      <c r="O237" s="82">
        <f t="shared" si="412"/>
        <v>0</v>
      </c>
      <c r="P237" s="82">
        <f t="shared" si="412"/>
        <v>0</v>
      </c>
      <c r="Q237" s="82">
        <f t="shared" si="412"/>
        <v>0</v>
      </c>
      <c r="R237" s="82">
        <f t="shared" si="412"/>
        <v>0</v>
      </c>
      <c r="S237" s="82">
        <f t="shared" si="412"/>
        <v>0</v>
      </c>
      <c r="T237" s="82">
        <f t="shared" si="412"/>
        <v>0</v>
      </c>
      <c r="U237" s="82">
        <f t="shared" si="412"/>
        <v>0</v>
      </c>
      <c r="V237" s="82">
        <f t="shared" si="412"/>
        <v>0</v>
      </c>
      <c r="W237" s="82">
        <f t="shared" si="412"/>
        <v>0</v>
      </c>
      <c r="X237" s="82">
        <f t="shared" si="412"/>
        <v>0</v>
      </c>
      <c r="Y237" s="82">
        <f t="shared" si="412"/>
        <v>0</v>
      </c>
      <c r="Z237" s="82">
        <f t="shared" si="412"/>
        <v>0</v>
      </c>
      <c r="AA237" s="82">
        <f t="shared" si="412"/>
        <v>0</v>
      </c>
      <c r="AB237" s="82">
        <f t="shared" si="412"/>
        <v>0</v>
      </c>
      <c r="AC237" s="82">
        <f t="shared" si="412"/>
        <v>0</v>
      </c>
      <c r="AD237" s="82">
        <f t="shared" si="412"/>
        <v>0</v>
      </c>
      <c r="AE237" s="82">
        <f t="shared" si="412"/>
        <v>0</v>
      </c>
      <c r="AF237" s="82">
        <f t="shared" si="412"/>
        <v>0</v>
      </c>
      <c r="AG237" s="82">
        <f t="shared" si="412"/>
        <v>0</v>
      </c>
      <c r="AH237" s="82">
        <f t="shared" si="412"/>
        <v>0</v>
      </c>
      <c r="AI237" s="82">
        <f t="shared" si="412"/>
        <v>0</v>
      </c>
      <c r="AJ237" s="82">
        <f t="shared" si="412"/>
        <v>0</v>
      </c>
      <c r="AK237" s="82">
        <f t="shared" si="412"/>
        <v>0</v>
      </c>
      <c r="AL237" s="82">
        <f t="shared" si="412"/>
        <v>0</v>
      </c>
      <c r="AM237" s="82">
        <f t="shared" si="412"/>
        <v>0</v>
      </c>
      <c r="AN237" s="82">
        <f t="shared" si="412"/>
        <v>0</v>
      </c>
      <c r="AO237" s="411" t="s">
        <v>264</v>
      </c>
    </row>
    <row r="238" spans="1:41" ht="15.75" customHeight="1">
      <c r="A238" s="827"/>
      <c r="B238" s="42" t="s">
        <v>15</v>
      </c>
      <c r="C238" s="143"/>
      <c r="D238" s="143"/>
      <c r="E238" s="143"/>
      <c r="F238" s="143"/>
      <c r="G238" s="320"/>
      <c r="H238" s="321"/>
      <c r="I238" s="840"/>
      <c r="J238" s="285"/>
      <c r="K238" s="325"/>
      <c r="L238" s="47">
        <v>1639</v>
      </c>
      <c r="M238" s="47">
        <v>1639</v>
      </c>
      <c r="N238" s="47">
        <v>0</v>
      </c>
      <c r="O238" s="47">
        <v>0</v>
      </c>
      <c r="P238" s="47">
        <v>0</v>
      </c>
      <c r="Q238" s="50">
        <f>SUM(Q239:Q242)</f>
        <v>0</v>
      </c>
      <c r="R238" s="50">
        <f t="shared" ref="R238:AG238" si="413">SUM(R239:R242)</f>
        <v>0</v>
      </c>
      <c r="S238" s="50">
        <f t="shared" si="413"/>
        <v>0</v>
      </c>
      <c r="T238" s="50">
        <f t="shared" si="413"/>
        <v>0</v>
      </c>
      <c r="U238" s="50">
        <f t="shared" si="413"/>
        <v>0</v>
      </c>
      <c r="V238" s="50">
        <f t="shared" si="413"/>
        <v>0</v>
      </c>
      <c r="W238" s="50">
        <f t="shared" si="413"/>
        <v>0</v>
      </c>
      <c r="X238" s="47">
        <v>0</v>
      </c>
      <c r="Y238" s="50">
        <f t="shared" si="413"/>
        <v>0</v>
      </c>
      <c r="Z238" s="50">
        <f t="shared" si="413"/>
        <v>0</v>
      </c>
      <c r="AA238" s="50">
        <f t="shared" si="413"/>
        <v>0</v>
      </c>
      <c r="AB238" s="50">
        <f t="shared" ref="AB238:AD238" si="414">SUM(AB239:AB242)</f>
        <v>0</v>
      </c>
      <c r="AC238" s="50">
        <f t="shared" si="414"/>
        <v>0</v>
      </c>
      <c r="AD238" s="50">
        <f t="shared" si="414"/>
        <v>0</v>
      </c>
      <c r="AE238" s="50">
        <f t="shared" si="413"/>
        <v>0</v>
      </c>
      <c r="AF238" s="50">
        <f t="shared" si="413"/>
        <v>0</v>
      </c>
      <c r="AG238" s="50">
        <f t="shared" si="413"/>
        <v>0</v>
      </c>
      <c r="AH238" s="50">
        <f t="shared" ref="AH238:AI238" si="415">SUM(AH239:AH242)</f>
        <v>0</v>
      </c>
      <c r="AI238" s="50">
        <f t="shared" si="415"/>
        <v>0</v>
      </c>
      <c r="AJ238" s="50">
        <f>SUM(AJ239:AJ242)</f>
        <v>0</v>
      </c>
      <c r="AK238" s="50">
        <f t="shared" ref="AK238" si="416">SUM(AK239:AK242)</f>
        <v>0</v>
      </c>
      <c r="AL238" s="50">
        <f t="shared" ref="AL238" si="417">SUM(AL239:AL242)</f>
        <v>0</v>
      </c>
      <c r="AM238" s="50">
        <f t="shared" ref="AM238" si="418">SUM(AM239:AM242)</f>
        <v>0</v>
      </c>
      <c r="AN238" s="50">
        <f t="shared" ref="AN238" si="419">SUM(AN239:AN242)</f>
        <v>0</v>
      </c>
      <c r="AO238" s="420"/>
    </row>
    <row r="239" spans="1:41" s="100" customFormat="1" ht="15.75" hidden="1" customHeight="1">
      <c r="A239" s="374"/>
      <c r="B239" s="257" t="s">
        <v>239</v>
      </c>
      <c r="C239" s="377"/>
      <c r="D239" s="377"/>
      <c r="E239" s="377"/>
      <c r="F239" s="377"/>
      <c r="G239" s="371"/>
      <c r="H239" s="372"/>
      <c r="I239" s="378"/>
      <c r="J239" s="379"/>
      <c r="K239" s="380"/>
      <c r="L239" s="99"/>
      <c r="M239" s="99"/>
      <c r="N239" s="99"/>
      <c r="O239" s="99"/>
      <c r="P239" s="47"/>
      <c r="Q239" s="268">
        <f>Y239</f>
        <v>0</v>
      </c>
      <c r="R239" s="268"/>
      <c r="S239" s="268"/>
      <c r="T239" s="268"/>
      <c r="U239" s="268"/>
      <c r="V239" s="268"/>
      <c r="W239" s="268"/>
      <c r="X239" s="268">
        <v>0</v>
      </c>
      <c r="Y239" s="268">
        <v>0</v>
      </c>
      <c r="Z239" s="268">
        <v>0</v>
      </c>
      <c r="AA239" s="268">
        <v>0</v>
      </c>
      <c r="AB239" s="268"/>
      <c r="AC239" s="268"/>
      <c r="AD239" s="268"/>
      <c r="AE239" s="268"/>
      <c r="AF239" s="268"/>
      <c r="AG239" s="268"/>
      <c r="AH239" s="268"/>
      <c r="AI239" s="268"/>
      <c r="AJ239" s="268"/>
      <c r="AK239" s="268"/>
      <c r="AL239" s="268"/>
      <c r="AM239" s="268"/>
      <c r="AN239" s="268"/>
      <c r="AO239" s="421"/>
    </row>
    <row r="240" spans="1:41" s="100" customFormat="1" ht="15.75" hidden="1" customHeight="1">
      <c r="A240" s="374"/>
      <c r="B240" s="257" t="s">
        <v>240</v>
      </c>
      <c r="C240" s="377"/>
      <c r="D240" s="377"/>
      <c r="E240" s="377"/>
      <c r="F240" s="377"/>
      <c r="G240" s="371"/>
      <c r="H240" s="372"/>
      <c r="I240" s="378"/>
      <c r="J240" s="379"/>
      <c r="K240" s="380"/>
      <c r="L240" s="99"/>
      <c r="M240" s="99"/>
      <c r="N240" s="99"/>
      <c r="O240" s="99"/>
      <c r="P240" s="47"/>
      <c r="Q240" s="268">
        <f t="shared" ref="Q240:Q242" si="420">Y240</f>
        <v>0</v>
      </c>
      <c r="R240" s="268"/>
      <c r="S240" s="268"/>
      <c r="T240" s="268"/>
      <c r="U240" s="268"/>
      <c r="V240" s="268"/>
      <c r="W240" s="268"/>
      <c r="X240" s="268">
        <v>0</v>
      </c>
      <c r="Y240" s="268">
        <v>0</v>
      </c>
      <c r="Z240" s="268">
        <v>0</v>
      </c>
      <c r="AA240" s="268">
        <v>0</v>
      </c>
      <c r="AB240" s="268"/>
      <c r="AC240" s="268"/>
      <c r="AD240" s="268"/>
      <c r="AE240" s="268"/>
      <c r="AF240" s="268"/>
      <c r="AG240" s="268"/>
      <c r="AH240" s="268"/>
      <c r="AI240" s="268"/>
      <c r="AJ240" s="268"/>
      <c r="AK240" s="268"/>
      <c r="AL240" s="268"/>
      <c r="AM240" s="268"/>
      <c r="AN240" s="268"/>
      <c r="AO240" s="421"/>
    </row>
    <row r="241" spans="1:41" s="100" customFormat="1" ht="15.75" hidden="1" customHeight="1">
      <c r="A241" s="374"/>
      <c r="B241" s="257" t="s">
        <v>241</v>
      </c>
      <c r="C241" s="377"/>
      <c r="D241" s="377"/>
      <c r="E241" s="377"/>
      <c r="F241" s="377"/>
      <c r="G241" s="371"/>
      <c r="H241" s="372"/>
      <c r="I241" s="378"/>
      <c r="J241" s="379"/>
      <c r="K241" s="380"/>
      <c r="L241" s="99"/>
      <c r="M241" s="99"/>
      <c r="N241" s="99"/>
      <c r="O241" s="99"/>
      <c r="P241" s="47"/>
      <c r="Q241" s="268">
        <f t="shared" si="420"/>
        <v>0</v>
      </c>
      <c r="R241" s="268"/>
      <c r="S241" s="268"/>
      <c r="T241" s="268"/>
      <c r="U241" s="268"/>
      <c r="V241" s="268"/>
      <c r="W241" s="268"/>
      <c r="X241" s="268">
        <v>0</v>
      </c>
      <c r="Y241" s="268">
        <v>0</v>
      </c>
      <c r="Z241" s="268">
        <v>0</v>
      </c>
      <c r="AA241" s="268">
        <v>0</v>
      </c>
      <c r="AB241" s="268"/>
      <c r="AC241" s="268"/>
      <c r="AD241" s="268"/>
      <c r="AE241" s="268"/>
      <c r="AF241" s="268"/>
      <c r="AG241" s="268"/>
      <c r="AH241" s="268"/>
      <c r="AI241" s="268"/>
      <c r="AJ241" s="268"/>
      <c r="AK241" s="268"/>
      <c r="AL241" s="268"/>
      <c r="AM241" s="268"/>
      <c r="AN241" s="268"/>
      <c r="AO241" s="421"/>
    </row>
    <row r="242" spans="1:41" s="100" customFormat="1" ht="15.75" hidden="1" customHeight="1">
      <c r="A242" s="374"/>
      <c r="B242" s="257" t="s">
        <v>242</v>
      </c>
      <c r="C242" s="377"/>
      <c r="D242" s="377"/>
      <c r="E242" s="377"/>
      <c r="F242" s="377"/>
      <c r="G242" s="371"/>
      <c r="H242" s="372"/>
      <c r="I242" s="378"/>
      <c r="J242" s="379"/>
      <c r="K242" s="380"/>
      <c r="L242" s="99"/>
      <c r="M242" s="99"/>
      <c r="N242" s="99"/>
      <c r="O242" s="99"/>
      <c r="P242" s="47"/>
      <c r="Q242" s="268">
        <f t="shared" si="420"/>
        <v>0</v>
      </c>
      <c r="R242" s="268"/>
      <c r="S242" s="268"/>
      <c r="T242" s="268"/>
      <c r="U242" s="268"/>
      <c r="V242" s="268"/>
      <c r="W242" s="268"/>
      <c r="X242" s="268">
        <v>0</v>
      </c>
      <c r="Y242" s="268">
        <v>0</v>
      </c>
      <c r="Z242" s="268">
        <v>0</v>
      </c>
      <c r="AA242" s="268">
        <v>0</v>
      </c>
      <c r="AB242" s="268"/>
      <c r="AC242" s="268"/>
      <c r="AD242" s="268"/>
      <c r="AE242" s="268"/>
      <c r="AF242" s="268"/>
      <c r="AG242" s="268"/>
      <c r="AH242" s="268"/>
      <c r="AI242" s="268"/>
      <c r="AJ242" s="268"/>
      <c r="AK242" s="268"/>
      <c r="AL242" s="268"/>
      <c r="AM242" s="268"/>
      <c r="AN242" s="268"/>
      <c r="AO242" s="421"/>
    </row>
    <row r="243" spans="1:41" ht="132.75" customHeight="1">
      <c r="A243" s="347" t="s">
        <v>181</v>
      </c>
      <c r="B243" s="80" t="s">
        <v>182</v>
      </c>
      <c r="C243" s="143"/>
      <c r="D243" s="143"/>
      <c r="E243" s="143"/>
      <c r="F243" s="143"/>
      <c r="G243" s="2"/>
      <c r="H243" s="2"/>
      <c r="I243" s="837" t="s">
        <v>20</v>
      </c>
      <c r="J243" s="285"/>
      <c r="K243" s="3"/>
      <c r="L243" s="82">
        <f>L244</f>
        <v>2630.02</v>
      </c>
      <c r="M243" s="82">
        <f>M244</f>
        <v>2630.03</v>
      </c>
      <c r="N243" s="82">
        <f t="shared" ref="N243:AN243" si="421">N244</f>
        <v>0</v>
      </c>
      <c r="O243" s="82">
        <f t="shared" si="421"/>
        <v>0</v>
      </c>
      <c r="P243" s="82">
        <f t="shared" si="421"/>
        <v>0</v>
      </c>
      <c r="Q243" s="82">
        <f t="shared" si="421"/>
        <v>0</v>
      </c>
      <c r="R243" s="82">
        <f t="shared" si="421"/>
        <v>0</v>
      </c>
      <c r="S243" s="82">
        <f t="shared" si="421"/>
        <v>0</v>
      </c>
      <c r="T243" s="82">
        <f t="shared" si="421"/>
        <v>0</v>
      </c>
      <c r="U243" s="82">
        <f t="shared" si="421"/>
        <v>0</v>
      </c>
      <c r="V243" s="82">
        <f t="shared" si="421"/>
        <v>0</v>
      </c>
      <c r="W243" s="82">
        <f t="shared" si="421"/>
        <v>0</v>
      </c>
      <c r="X243" s="82">
        <f t="shared" si="421"/>
        <v>0</v>
      </c>
      <c r="Y243" s="82">
        <f t="shared" si="421"/>
        <v>0</v>
      </c>
      <c r="Z243" s="82">
        <f t="shared" si="421"/>
        <v>0</v>
      </c>
      <c r="AA243" s="82">
        <f t="shared" si="421"/>
        <v>0</v>
      </c>
      <c r="AB243" s="82">
        <f t="shared" si="421"/>
        <v>0</v>
      </c>
      <c r="AC243" s="82">
        <f t="shared" si="421"/>
        <v>0</v>
      </c>
      <c r="AD243" s="82">
        <f t="shared" si="421"/>
        <v>0</v>
      </c>
      <c r="AE243" s="82">
        <f t="shared" si="421"/>
        <v>0</v>
      </c>
      <c r="AF243" s="82">
        <f t="shared" si="421"/>
        <v>0</v>
      </c>
      <c r="AG243" s="82">
        <f t="shared" si="421"/>
        <v>0</v>
      </c>
      <c r="AH243" s="82">
        <f t="shared" si="421"/>
        <v>0</v>
      </c>
      <c r="AI243" s="82">
        <f t="shared" si="421"/>
        <v>0</v>
      </c>
      <c r="AJ243" s="82">
        <f t="shared" si="421"/>
        <v>0</v>
      </c>
      <c r="AK243" s="82">
        <f t="shared" si="421"/>
        <v>0</v>
      </c>
      <c r="AL243" s="82">
        <f t="shared" si="421"/>
        <v>0</v>
      </c>
      <c r="AM243" s="82">
        <f t="shared" si="421"/>
        <v>0</v>
      </c>
      <c r="AN243" s="82">
        <f t="shared" si="421"/>
        <v>0</v>
      </c>
      <c r="AO243" s="411" t="s">
        <v>264</v>
      </c>
    </row>
    <row r="244" spans="1:41" ht="15.75" customHeight="1">
      <c r="A244" s="346"/>
      <c r="B244" s="42" t="s">
        <v>15</v>
      </c>
      <c r="C244" s="143"/>
      <c r="D244" s="143"/>
      <c r="E244" s="143"/>
      <c r="F244" s="143"/>
      <c r="G244" s="320"/>
      <c r="H244" s="321"/>
      <c r="I244" s="840"/>
      <c r="J244" s="285"/>
      <c r="K244" s="325"/>
      <c r="L244" s="47">
        <v>2630.02</v>
      </c>
      <c r="M244" s="47">
        <v>2630.03</v>
      </c>
      <c r="N244" s="47">
        <v>0</v>
      </c>
      <c r="O244" s="47">
        <v>0</v>
      </c>
      <c r="P244" s="47">
        <v>0</v>
      </c>
      <c r="Q244" s="50">
        <f>SUM(Q245:Q248)</f>
        <v>0</v>
      </c>
      <c r="R244" s="50">
        <f t="shared" ref="R244" si="422">SUM(R245:R248)</f>
        <v>0</v>
      </c>
      <c r="S244" s="50">
        <f t="shared" ref="S244" si="423">SUM(S245:S248)</f>
        <v>0</v>
      </c>
      <c r="T244" s="50">
        <f t="shared" ref="T244" si="424">SUM(T245:T248)</f>
        <v>0</v>
      </c>
      <c r="U244" s="50">
        <f t="shared" ref="U244" si="425">SUM(U245:U248)</f>
        <v>0</v>
      </c>
      <c r="V244" s="50">
        <f t="shared" ref="V244" si="426">SUM(V245:V248)</f>
        <v>0</v>
      </c>
      <c r="W244" s="50">
        <f t="shared" ref="W244" si="427">SUM(W245:W248)</f>
        <v>0</v>
      </c>
      <c r="X244" s="47">
        <v>0</v>
      </c>
      <c r="Y244" s="50">
        <f t="shared" ref="Y244" si="428">SUM(Y245:Y248)</f>
        <v>0</v>
      </c>
      <c r="Z244" s="50">
        <f t="shared" ref="Z244" si="429">SUM(Z245:Z248)</f>
        <v>0</v>
      </c>
      <c r="AA244" s="50">
        <f t="shared" ref="AA244:AB244" si="430">SUM(AA245:AA248)</f>
        <v>0</v>
      </c>
      <c r="AB244" s="50">
        <f t="shared" si="430"/>
        <v>0</v>
      </c>
      <c r="AC244" s="50">
        <f t="shared" ref="AC244:AD244" si="431">SUM(AC245:AC248)</f>
        <v>0</v>
      </c>
      <c r="AD244" s="50">
        <f t="shared" si="431"/>
        <v>0</v>
      </c>
      <c r="AE244" s="50">
        <f t="shared" ref="AE244:AG244" si="432">SUM(AE245:AE248)</f>
        <v>0</v>
      </c>
      <c r="AF244" s="50">
        <f t="shared" si="432"/>
        <v>0</v>
      </c>
      <c r="AG244" s="50">
        <f t="shared" si="432"/>
        <v>0</v>
      </c>
      <c r="AH244" s="50">
        <f t="shared" ref="AH244:AI244" si="433">SUM(AH245:AH248)</f>
        <v>0</v>
      </c>
      <c r="AI244" s="50">
        <f t="shared" si="433"/>
        <v>0</v>
      </c>
      <c r="AJ244" s="50">
        <v>0</v>
      </c>
      <c r="AK244" s="50">
        <v>0</v>
      </c>
      <c r="AL244" s="50">
        <v>0</v>
      </c>
      <c r="AM244" s="50">
        <v>0</v>
      </c>
      <c r="AN244" s="50">
        <v>0</v>
      </c>
      <c r="AO244" s="420"/>
    </row>
    <row r="245" spans="1:41" s="100" customFormat="1" ht="15.75" hidden="1" customHeight="1">
      <c r="A245" s="374"/>
      <c r="B245" s="257" t="s">
        <v>243</v>
      </c>
      <c r="C245" s="377"/>
      <c r="D245" s="377"/>
      <c r="E245" s="377"/>
      <c r="F245" s="377"/>
      <c r="G245" s="371"/>
      <c r="H245" s="372"/>
      <c r="I245" s="378"/>
      <c r="J245" s="379"/>
      <c r="K245" s="380"/>
      <c r="L245" s="99"/>
      <c r="M245" s="99"/>
      <c r="N245" s="99"/>
      <c r="O245" s="99"/>
      <c r="P245" s="47"/>
      <c r="Q245" s="268">
        <f>Y245</f>
        <v>0</v>
      </c>
      <c r="R245" s="268"/>
      <c r="S245" s="268"/>
      <c r="T245" s="268"/>
      <c r="U245" s="268"/>
      <c r="V245" s="268"/>
      <c r="W245" s="268"/>
      <c r="X245" s="268">
        <v>0</v>
      </c>
      <c r="Y245" s="268">
        <v>0</v>
      </c>
      <c r="Z245" s="268">
        <v>0</v>
      </c>
      <c r="AA245" s="268">
        <v>0</v>
      </c>
      <c r="AB245" s="268"/>
      <c r="AC245" s="268"/>
      <c r="AD245" s="268"/>
      <c r="AE245" s="268"/>
      <c r="AF245" s="268"/>
      <c r="AG245" s="268"/>
      <c r="AH245" s="268"/>
      <c r="AI245" s="268"/>
      <c r="AJ245" s="268"/>
      <c r="AK245" s="268"/>
      <c r="AL245" s="268"/>
      <c r="AM245" s="268"/>
      <c r="AN245" s="268"/>
      <c r="AO245" s="421"/>
    </row>
    <row r="246" spans="1:41" s="100" customFormat="1" ht="15.75" hidden="1" customHeight="1">
      <c r="A246" s="374"/>
      <c r="B246" s="257" t="s">
        <v>244</v>
      </c>
      <c r="C246" s="377"/>
      <c r="D246" s="377"/>
      <c r="E246" s="377"/>
      <c r="F246" s="377"/>
      <c r="G246" s="371"/>
      <c r="H246" s="372"/>
      <c r="I246" s="378"/>
      <c r="J246" s="379"/>
      <c r="K246" s="380"/>
      <c r="L246" s="99"/>
      <c r="M246" s="99"/>
      <c r="N246" s="99"/>
      <c r="O246" s="99"/>
      <c r="P246" s="47"/>
      <c r="Q246" s="268">
        <f t="shared" ref="Q246:Q248" si="434">Y246</f>
        <v>0</v>
      </c>
      <c r="R246" s="268"/>
      <c r="S246" s="268"/>
      <c r="T246" s="268"/>
      <c r="U246" s="268"/>
      <c r="V246" s="268"/>
      <c r="W246" s="268"/>
      <c r="X246" s="268">
        <v>0</v>
      </c>
      <c r="Y246" s="268">
        <v>0</v>
      </c>
      <c r="Z246" s="268">
        <v>0</v>
      </c>
      <c r="AA246" s="268">
        <v>0</v>
      </c>
      <c r="AB246" s="268"/>
      <c r="AC246" s="268"/>
      <c r="AD246" s="268"/>
      <c r="AE246" s="268"/>
      <c r="AF246" s="268"/>
      <c r="AG246" s="268"/>
      <c r="AH246" s="268"/>
      <c r="AI246" s="268"/>
      <c r="AJ246" s="268"/>
      <c r="AK246" s="268"/>
      <c r="AL246" s="268"/>
      <c r="AM246" s="268"/>
      <c r="AN246" s="268"/>
      <c r="AO246" s="421"/>
    </row>
    <row r="247" spans="1:41" s="100" customFormat="1" ht="15.75" hidden="1" customHeight="1">
      <c r="A247" s="374"/>
      <c r="B247" s="257" t="s">
        <v>239</v>
      </c>
      <c r="C247" s="377"/>
      <c r="D247" s="377"/>
      <c r="E247" s="377"/>
      <c r="F247" s="377"/>
      <c r="G247" s="371"/>
      <c r="H247" s="372"/>
      <c r="I247" s="378"/>
      <c r="J247" s="379"/>
      <c r="K247" s="380"/>
      <c r="L247" s="99"/>
      <c r="M247" s="99"/>
      <c r="N247" s="99"/>
      <c r="O247" s="99"/>
      <c r="P247" s="47"/>
      <c r="Q247" s="268">
        <f t="shared" si="434"/>
        <v>0</v>
      </c>
      <c r="R247" s="268"/>
      <c r="S247" s="268"/>
      <c r="T247" s="268"/>
      <c r="U247" s="268"/>
      <c r="V247" s="268"/>
      <c r="W247" s="268"/>
      <c r="X247" s="268">
        <v>0</v>
      </c>
      <c r="Y247" s="268">
        <v>0</v>
      </c>
      <c r="Z247" s="268">
        <v>0</v>
      </c>
      <c r="AA247" s="268">
        <v>0</v>
      </c>
      <c r="AB247" s="268"/>
      <c r="AC247" s="268"/>
      <c r="AD247" s="268"/>
      <c r="AE247" s="268"/>
      <c r="AF247" s="268"/>
      <c r="AG247" s="268"/>
      <c r="AH247" s="268"/>
      <c r="AI247" s="268"/>
      <c r="AJ247" s="268"/>
      <c r="AK247" s="268"/>
      <c r="AL247" s="268"/>
      <c r="AM247" s="268"/>
      <c r="AN247" s="268"/>
      <c r="AO247" s="421"/>
    </row>
    <row r="248" spans="1:41" s="100" customFormat="1" ht="15.75" hidden="1" customHeight="1">
      <c r="A248" s="374"/>
      <c r="B248" s="257" t="s">
        <v>242</v>
      </c>
      <c r="C248" s="377"/>
      <c r="D248" s="377"/>
      <c r="E248" s="377"/>
      <c r="F248" s="377"/>
      <c r="G248" s="371"/>
      <c r="H248" s="372"/>
      <c r="I248" s="378"/>
      <c r="J248" s="379"/>
      <c r="K248" s="380"/>
      <c r="L248" s="99"/>
      <c r="M248" s="99"/>
      <c r="N248" s="99"/>
      <c r="O248" s="99"/>
      <c r="P248" s="47"/>
      <c r="Q248" s="268">
        <f t="shared" si="434"/>
        <v>0</v>
      </c>
      <c r="R248" s="268"/>
      <c r="S248" s="268"/>
      <c r="T248" s="268"/>
      <c r="U248" s="268"/>
      <c r="V248" s="268"/>
      <c r="W248" s="268"/>
      <c r="X248" s="268">
        <v>0</v>
      </c>
      <c r="Y248" s="268">
        <v>0</v>
      </c>
      <c r="Z248" s="268">
        <v>0</v>
      </c>
      <c r="AA248" s="268">
        <v>0</v>
      </c>
      <c r="AB248" s="268"/>
      <c r="AC248" s="268"/>
      <c r="AD248" s="268"/>
      <c r="AE248" s="268"/>
      <c r="AF248" s="268"/>
      <c r="AG248" s="268"/>
      <c r="AH248" s="268"/>
      <c r="AI248" s="268"/>
      <c r="AJ248" s="268"/>
      <c r="AK248" s="268"/>
      <c r="AL248" s="268"/>
      <c r="AM248" s="268"/>
      <c r="AN248" s="268"/>
      <c r="AO248" s="421"/>
    </row>
    <row r="249" spans="1:41" ht="156.75" customHeight="1">
      <c r="A249" s="347" t="s">
        <v>183</v>
      </c>
      <c r="B249" s="80" t="s">
        <v>185</v>
      </c>
      <c r="C249" s="143"/>
      <c r="D249" s="143"/>
      <c r="E249" s="143"/>
      <c r="F249" s="143"/>
      <c r="G249" s="2"/>
      <c r="H249" s="2"/>
      <c r="I249" s="837" t="s">
        <v>186</v>
      </c>
      <c r="J249" s="285"/>
      <c r="K249" s="3"/>
      <c r="L249" s="82">
        <f>L250</f>
        <v>403.33</v>
      </c>
      <c r="M249" s="82">
        <f>M250</f>
        <v>403.33</v>
      </c>
      <c r="N249" s="82">
        <f t="shared" ref="N249:AN249" si="435">N250</f>
        <v>0</v>
      </c>
      <c r="O249" s="82">
        <f t="shared" si="435"/>
        <v>0</v>
      </c>
      <c r="P249" s="82">
        <f t="shared" si="435"/>
        <v>0</v>
      </c>
      <c r="Q249" s="82">
        <f t="shared" si="435"/>
        <v>0</v>
      </c>
      <c r="R249" s="82">
        <f t="shared" si="435"/>
        <v>0</v>
      </c>
      <c r="S249" s="82">
        <f t="shared" si="435"/>
        <v>0</v>
      </c>
      <c r="T249" s="82">
        <f t="shared" si="435"/>
        <v>0</v>
      </c>
      <c r="U249" s="82">
        <f t="shared" si="435"/>
        <v>0</v>
      </c>
      <c r="V249" s="82">
        <f t="shared" si="435"/>
        <v>0</v>
      </c>
      <c r="W249" s="82">
        <f t="shared" si="435"/>
        <v>0</v>
      </c>
      <c r="X249" s="82">
        <f t="shared" si="435"/>
        <v>0</v>
      </c>
      <c r="Y249" s="82">
        <f t="shared" si="435"/>
        <v>0</v>
      </c>
      <c r="Z249" s="82">
        <f t="shared" si="435"/>
        <v>0</v>
      </c>
      <c r="AA249" s="82">
        <f t="shared" si="435"/>
        <v>0</v>
      </c>
      <c r="AB249" s="82">
        <f t="shared" si="435"/>
        <v>0</v>
      </c>
      <c r="AC249" s="82">
        <f t="shared" si="435"/>
        <v>0</v>
      </c>
      <c r="AD249" s="82">
        <f t="shared" si="435"/>
        <v>0</v>
      </c>
      <c r="AE249" s="82">
        <f t="shared" si="435"/>
        <v>0</v>
      </c>
      <c r="AF249" s="82">
        <f t="shared" si="435"/>
        <v>0</v>
      </c>
      <c r="AG249" s="82">
        <f t="shared" si="435"/>
        <v>0</v>
      </c>
      <c r="AH249" s="82">
        <f t="shared" si="435"/>
        <v>0</v>
      </c>
      <c r="AI249" s="82">
        <f t="shared" si="435"/>
        <v>0</v>
      </c>
      <c r="AJ249" s="82">
        <f t="shared" si="435"/>
        <v>0</v>
      </c>
      <c r="AK249" s="82">
        <f t="shared" si="435"/>
        <v>0</v>
      </c>
      <c r="AL249" s="82">
        <f t="shared" si="435"/>
        <v>0</v>
      </c>
      <c r="AM249" s="82">
        <f t="shared" si="435"/>
        <v>0</v>
      </c>
      <c r="AN249" s="82">
        <f t="shared" si="435"/>
        <v>0</v>
      </c>
      <c r="AO249" s="433" t="s">
        <v>212</v>
      </c>
    </row>
    <row r="250" spans="1:41" ht="15.75" customHeight="1">
      <c r="A250" s="346"/>
      <c r="B250" s="42" t="s">
        <v>15</v>
      </c>
      <c r="C250" s="143"/>
      <c r="D250" s="143"/>
      <c r="E250" s="143"/>
      <c r="F250" s="143"/>
      <c r="G250" s="320"/>
      <c r="H250" s="321"/>
      <c r="I250" s="840"/>
      <c r="J250" s="285"/>
      <c r="K250" s="325"/>
      <c r="L250" s="47">
        <v>403.33</v>
      </c>
      <c r="M250" s="47">
        <v>403.33</v>
      </c>
      <c r="N250" s="47">
        <v>0</v>
      </c>
      <c r="O250" s="50">
        <v>0</v>
      </c>
      <c r="P250" s="50">
        <v>0</v>
      </c>
      <c r="Q250" s="50">
        <v>0</v>
      </c>
      <c r="R250" s="50">
        <v>0</v>
      </c>
      <c r="S250" s="50">
        <v>0</v>
      </c>
      <c r="T250" s="50">
        <v>0</v>
      </c>
      <c r="U250" s="50">
        <v>0</v>
      </c>
      <c r="V250" s="50">
        <v>0</v>
      </c>
      <c r="W250" s="50">
        <v>0</v>
      </c>
      <c r="X250" s="50">
        <v>0</v>
      </c>
      <c r="Y250" s="50">
        <v>0</v>
      </c>
      <c r="Z250" s="50">
        <v>0</v>
      </c>
      <c r="AA250" s="50">
        <v>0</v>
      </c>
      <c r="AB250" s="50">
        <v>0</v>
      </c>
      <c r="AC250" s="50">
        <v>0</v>
      </c>
      <c r="AD250" s="50">
        <v>0</v>
      </c>
      <c r="AE250" s="50">
        <v>0</v>
      </c>
      <c r="AF250" s="50">
        <v>0</v>
      </c>
      <c r="AG250" s="50">
        <v>0</v>
      </c>
      <c r="AH250" s="50">
        <v>0</v>
      </c>
      <c r="AI250" s="50">
        <v>0</v>
      </c>
      <c r="AJ250" s="50">
        <v>0</v>
      </c>
      <c r="AK250" s="50">
        <v>0</v>
      </c>
      <c r="AL250" s="50">
        <v>0</v>
      </c>
      <c r="AM250" s="50">
        <v>0</v>
      </c>
      <c r="AN250" s="50">
        <v>0</v>
      </c>
      <c r="AO250" s="436"/>
    </row>
    <row r="251" spans="1:41" ht="63.75" customHeight="1">
      <c r="A251" s="347" t="s">
        <v>184</v>
      </c>
      <c r="B251" s="80" t="s">
        <v>187</v>
      </c>
      <c r="C251" s="143"/>
      <c r="D251" s="143"/>
      <c r="E251" s="143"/>
      <c r="F251" s="143"/>
      <c r="G251" s="2"/>
      <c r="H251" s="2"/>
      <c r="I251" s="837" t="s">
        <v>186</v>
      </c>
      <c r="J251" s="285"/>
      <c r="K251" s="3"/>
      <c r="L251" s="82">
        <f>L252</f>
        <v>1246.77</v>
      </c>
      <c r="M251" s="82">
        <f>M252</f>
        <v>1246.77</v>
      </c>
      <c r="N251" s="82">
        <f t="shared" ref="N251:AN251" si="436">N252</f>
        <v>0</v>
      </c>
      <c r="O251" s="82">
        <f t="shared" si="436"/>
        <v>0</v>
      </c>
      <c r="P251" s="82">
        <f t="shared" si="436"/>
        <v>0</v>
      </c>
      <c r="Q251" s="82">
        <f t="shared" si="436"/>
        <v>0</v>
      </c>
      <c r="R251" s="82">
        <f t="shared" si="436"/>
        <v>0</v>
      </c>
      <c r="S251" s="82">
        <f t="shared" si="436"/>
        <v>0</v>
      </c>
      <c r="T251" s="82">
        <f t="shared" si="436"/>
        <v>0</v>
      </c>
      <c r="U251" s="82">
        <f t="shared" si="436"/>
        <v>0</v>
      </c>
      <c r="V251" s="82">
        <f t="shared" si="436"/>
        <v>0</v>
      </c>
      <c r="W251" s="82">
        <f t="shared" si="436"/>
        <v>0</v>
      </c>
      <c r="X251" s="82">
        <f t="shared" si="436"/>
        <v>0</v>
      </c>
      <c r="Y251" s="82">
        <f t="shared" si="436"/>
        <v>0</v>
      </c>
      <c r="Z251" s="82">
        <f t="shared" si="436"/>
        <v>0</v>
      </c>
      <c r="AA251" s="82">
        <f t="shared" si="436"/>
        <v>0</v>
      </c>
      <c r="AB251" s="82">
        <f t="shared" si="436"/>
        <v>0</v>
      </c>
      <c r="AC251" s="82">
        <f t="shared" si="436"/>
        <v>0</v>
      </c>
      <c r="AD251" s="82">
        <f t="shared" si="436"/>
        <v>0</v>
      </c>
      <c r="AE251" s="82">
        <f t="shared" si="436"/>
        <v>0</v>
      </c>
      <c r="AF251" s="82">
        <f t="shared" si="436"/>
        <v>0</v>
      </c>
      <c r="AG251" s="82">
        <f t="shared" si="436"/>
        <v>0</v>
      </c>
      <c r="AH251" s="82">
        <f t="shared" si="436"/>
        <v>0</v>
      </c>
      <c r="AI251" s="82">
        <f t="shared" si="436"/>
        <v>0</v>
      </c>
      <c r="AJ251" s="82">
        <f t="shared" si="436"/>
        <v>0</v>
      </c>
      <c r="AK251" s="82">
        <f t="shared" si="436"/>
        <v>0</v>
      </c>
      <c r="AL251" s="82">
        <f t="shared" si="436"/>
        <v>0</v>
      </c>
      <c r="AM251" s="82">
        <f t="shared" si="436"/>
        <v>0</v>
      </c>
      <c r="AN251" s="82">
        <f t="shared" si="436"/>
        <v>0</v>
      </c>
      <c r="AO251" s="433" t="s">
        <v>212</v>
      </c>
    </row>
    <row r="252" spans="1:41" ht="15.75" customHeight="1">
      <c r="A252" s="346"/>
      <c r="B252" s="42" t="s">
        <v>15</v>
      </c>
      <c r="C252" s="143"/>
      <c r="D252" s="143"/>
      <c r="E252" s="143"/>
      <c r="F252" s="143"/>
      <c r="G252" s="320"/>
      <c r="H252" s="321"/>
      <c r="I252" s="840"/>
      <c r="J252" s="285"/>
      <c r="K252" s="325"/>
      <c r="L252" s="47">
        <v>1246.77</v>
      </c>
      <c r="M252" s="47">
        <v>1246.77</v>
      </c>
      <c r="N252" s="50">
        <v>0</v>
      </c>
      <c r="O252" s="50">
        <v>0</v>
      </c>
      <c r="P252" s="47">
        <v>0</v>
      </c>
      <c r="Q252" s="50">
        <v>0</v>
      </c>
      <c r="R252" s="50">
        <v>0</v>
      </c>
      <c r="S252" s="50">
        <v>0</v>
      </c>
      <c r="T252" s="50">
        <v>0</v>
      </c>
      <c r="U252" s="50">
        <v>0</v>
      </c>
      <c r="V252" s="50">
        <v>0</v>
      </c>
      <c r="W252" s="50">
        <v>0</v>
      </c>
      <c r="X252" s="47">
        <v>0</v>
      </c>
      <c r="Y252" s="50">
        <v>0</v>
      </c>
      <c r="Z252" s="50">
        <v>0</v>
      </c>
      <c r="AA252" s="50">
        <v>0</v>
      </c>
      <c r="AB252" s="50">
        <v>0</v>
      </c>
      <c r="AC252" s="50">
        <v>0</v>
      </c>
      <c r="AD252" s="50">
        <v>0</v>
      </c>
      <c r="AE252" s="50">
        <v>0</v>
      </c>
      <c r="AF252" s="50">
        <v>0</v>
      </c>
      <c r="AG252" s="50">
        <v>0</v>
      </c>
      <c r="AH252" s="50">
        <v>0</v>
      </c>
      <c r="AI252" s="50">
        <v>0</v>
      </c>
      <c r="AJ252" s="50">
        <v>0</v>
      </c>
      <c r="AK252" s="50">
        <v>0</v>
      </c>
      <c r="AL252" s="50">
        <v>0</v>
      </c>
      <c r="AM252" s="50">
        <v>0</v>
      </c>
      <c r="AN252" s="50">
        <v>0</v>
      </c>
      <c r="AO252" s="420"/>
    </row>
    <row r="253" spans="1:41" ht="71.25" customHeight="1">
      <c r="A253" s="753" t="s">
        <v>406</v>
      </c>
      <c r="B253" s="80" t="s">
        <v>407</v>
      </c>
      <c r="C253" s="143"/>
      <c r="D253" s="143"/>
      <c r="E253" s="143"/>
      <c r="F253" s="143"/>
      <c r="G253" s="320"/>
      <c r="H253" s="321"/>
      <c r="I253" s="837" t="s">
        <v>408</v>
      </c>
      <c r="J253" s="752"/>
      <c r="K253" s="325"/>
      <c r="L253" s="82">
        <f>L254</f>
        <v>2878.15</v>
      </c>
      <c r="M253" s="82">
        <f t="shared" ref="M253:AO253" si="437">M254</f>
        <v>0</v>
      </c>
      <c r="N253" s="82">
        <f t="shared" si="437"/>
        <v>0</v>
      </c>
      <c r="O253" s="82">
        <f t="shared" si="437"/>
        <v>0</v>
      </c>
      <c r="P253" s="82">
        <f t="shared" si="437"/>
        <v>0</v>
      </c>
      <c r="Q253" s="82">
        <f t="shared" si="437"/>
        <v>0</v>
      </c>
      <c r="R253" s="82">
        <f t="shared" si="437"/>
        <v>0</v>
      </c>
      <c r="S253" s="82">
        <f t="shared" si="437"/>
        <v>0</v>
      </c>
      <c r="T253" s="82">
        <f t="shared" si="437"/>
        <v>0</v>
      </c>
      <c r="U253" s="82">
        <f t="shared" si="437"/>
        <v>0</v>
      </c>
      <c r="V253" s="82">
        <f t="shared" si="437"/>
        <v>0</v>
      </c>
      <c r="W253" s="82">
        <f t="shared" si="437"/>
        <v>0</v>
      </c>
      <c r="X253" s="82">
        <f t="shared" si="437"/>
        <v>0</v>
      </c>
      <c r="Y253" s="82">
        <f t="shared" si="437"/>
        <v>0</v>
      </c>
      <c r="Z253" s="82">
        <f t="shared" si="437"/>
        <v>0</v>
      </c>
      <c r="AA253" s="82">
        <f t="shared" si="437"/>
        <v>0</v>
      </c>
      <c r="AB253" s="82">
        <f t="shared" si="437"/>
        <v>0</v>
      </c>
      <c r="AC253" s="82">
        <f t="shared" si="437"/>
        <v>0</v>
      </c>
      <c r="AD253" s="82">
        <f t="shared" si="437"/>
        <v>0</v>
      </c>
      <c r="AE253" s="82">
        <f t="shared" si="437"/>
        <v>0</v>
      </c>
      <c r="AF253" s="82">
        <f t="shared" si="437"/>
        <v>0</v>
      </c>
      <c r="AG253" s="82">
        <f t="shared" si="437"/>
        <v>0</v>
      </c>
      <c r="AH253" s="82">
        <f t="shared" si="437"/>
        <v>0</v>
      </c>
      <c r="AI253" s="82">
        <f t="shared" si="437"/>
        <v>0</v>
      </c>
      <c r="AJ253" s="82">
        <f t="shared" si="437"/>
        <v>0</v>
      </c>
      <c r="AK253" s="82">
        <f t="shared" si="437"/>
        <v>0</v>
      </c>
      <c r="AL253" s="82">
        <f t="shared" si="437"/>
        <v>0</v>
      </c>
      <c r="AM253" s="82">
        <f t="shared" si="437"/>
        <v>0</v>
      </c>
      <c r="AN253" s="82">
        <f t="shared" si="437"/>
        <v>0</v>
      </c>
      <c r="AO253" s="82">
        <f t="shared" si="437"/>
        <v>0</v>
      </c>
    </row>
    <row r="254" spans="1:41" ht="15.75">
      <c r="A254" s="755"/>
      <c r="B254" s="42" t="s">
        <v>16</v>
      </c>
      <c r="C254" s="143"/>
      <c r="D254" s="143"/>
      <c r="E254" s="143"/>
      <c r="F254" s="143"/>
      <c r="G254" s="320"/>
      <c r="H254" s="321"/>
      <c r="I254" s="840"/>
      <c r="J254" s="752"/>
      <c r="K254" s="325"/>
      <c r="L254" s="47">
        <v>2878.15</v>
      </c>
      <c r="M254" s="47"/>
      <c r="N254" s="50"/>
      <c r="O254" s="50"/>
      <c r="P254" s="47">
        <v>0</v>
      </c>
      <c r="Q254" s="47">
        <v>0</v>
      </c>
      <c r="R254" s="47">
        <v>0</v>
      </c>
      <c r="S254" s="47">
        <v>0</v>
      </c>
      <c r="T254" s="47">
        <v>0</v>
      </c>
      <c r="U254" s="47">
        <v>0</v>
      </c>
      <c r="V254" s="47">
        <v>0</v>
      </c>
      <c r="W254" s="47">
        <v>0</v>
      </c>
      <c r="X254" s="47">
        <v>0</v>
      </c>
      <c r="Y254" s="47">
        <v>0</v>
      </c>
      <c r="Z254" s="47">
        <v>0</v>
      </c>
      <c r="AA254" s="47">
        <v>0</v>
      </c>
      <c r="AB254" s="47">
        <v>0</v>
      </c>
      <c r="AC254" s="47">
        <v>0</v>
      </c>
      <c r="AD254" s="47">
        <v>0</v>
      </c>
      <c r="AE254" s="47">
        <v>0</v>
      </c>
      <c r="AF254" s="47">
        <v>0</v>
      </c>
      <c r="AG254" s="47">
        <v>0</v>
      </c>
      <c r="AH254" s="47">
        <v>0</v>
      </c>
      <c r="AI254" s="47">
        <v>0</v>
      </c>
      <c r="AJ254" s="47">
        <v>0</v>
      </c>
      <c r="AK254" s="47">
        <v>0</v>
      </c>
      <c r="AL254" s="47">
        <v>0</v>
      </c>
      <c r="AM254" s="47">
        <v>0</v>
      </c>
      <c r="AN254" s="47">
        <v>0</v>
      </c>
      <c r="AO254" s="420"/>
    </row>
    <row r="255" spans="1:41" ht="51">
      <c r="A255" s="753" t="s">
        <v>31</v>
      </c>
      <c r="B255" s="889" t="s">
        <v>409</v>
      </c>
      <c r="C255" s="890"/>
      <c r="D255" s="890"/>
      <c r="E255" s="890"/>
      <c r="F255" s="890"/>
      <c r="G255" s="890"/>
      <c r="H255" s="891"/>
      <c r="I255" s="15" t="s">
        <v>19</v>
      </c>
      <c r="J255" s="752"/>
      <c r="K255" s="325"/>
      <c r="L255" s="47">
        <v>0</v>
      </c>
      <c r="M255" s="47"/>
      <c r="N255" s="50"/>
      <c r="O255" s="50"/>
      <c r="P255" s="47">
        <v>0</v>
      </c>
      <c r="Q255" s="47">
        <v>0</v>
      </c>
      <c r="R255" s="47">
        <v>0</v>
      </c>
      <c r="S255" s="47">
        <v>0</v>
      </c>
      <c r="T255" s="47">
        <v>0</v>
      </c>
      <c r="U255" s="47">
        <v>0</v>
      </c>
      <c r="V255" s="47">
        <v>0</v>
      </c>
      <c r="W255" s="47">
        <v>0</v>
      </c>
      <c r="X255" s="47">
        <v>0</v>
      </c>
      <c r="Y255" s="47">
        <v>0</v>
      </c>
      <c r="Z255" s="47">
        <v>0</v>
      </c>
      <c r="AA255" s="47">
        <v>0</v>
      </c>
      <c r="AB255" s="47">
        <v>0</v>
      </c>
      <c r="AC255" s="47">
        <v>0</v>
      </c>
      <c r="AD255" s="47">
        <v>0</v>
      </c>
      <c r="AE255" s="47">
        <v>0</v>
      </c>
      <c r="AF255" s="47">
        <v>0</v>
      </c>
      <c r="AG255" s="47">
        <v>0</v>
      </c>
      <c r="AH255" s="47">
        <v>0</v>
      </c>
      <c r="AI255" s="47">
        <v>0</v>
      </c>
      <c r="AJ255" s="47">
        <v>0</v>
      </c>
      <c r="AK255" s="47">
        <v>0</v>
      </c>
      <c r="AL255" s="47">
        <v>0</v>
      </c>
      <c r="AM255" s="47">
        <v>0</v>
      </c>
      <c r="AN255" s="47">
        <v>0</v>
      </c>
      <c r="AO255" s="420"/>
    </row>
    <row r="256" spans="1:41" ht="38.25">
      <c r="A256" s="755"/>
      <c r="B256" s="892"/>
      <c r="C256" s="893"/>
      <c r="D256" s="893"/>
      <c r="E256" s="893"/>
      <c r="F256" s="893"/>
      <c r="G256" s="893"/>
      <c r="H256" s="894"/>
      <c r="I256" s="15" t="s">
        <v>20</v>
      </c>
      <c r="J256" s="752"/>
      <c r="K256" s="325"/>
      <c r="L256" s="47">
        <v>0</v>
      </c>
      <c r="M256" s="47"/>
      <c r="N256" s="50"/>
      <c r="O256" s="50"/>
      <c r="P256" s="47">
        <v>0</v>
      </c>
      <c r="Q256" s="50">
        <f>Q260</f>
        <v>13.5</v>
      </c>
      <c r="R256" s="50">
        <f t="shared" ref="R256:AN256" si="438">R260</f>
        <v>0</v>
      </c>
      <c r="S256" s="50">
        <f t="shared" si="438"/>
        <v>0</v>
      </c>
      <c r="T256" s="50">
        <f t="shared" si="438"/>
        <v>0</v>
      </c>
      <c r="U256" s="50">
        <f t="shared" si="438"/>
        <v>0</v>
      </c>
      <c r="V256" s="50">
        <f t="shared" si="438"/>
        <v>0</v>
      </c>
      <c r="W256" s="50">
        <f t="shared" si="438"/>
        <v>0</v>
      </c>
      <c r="X256" s="50">
        <f t="shared" si="438"/>
        <v>0</v>
      </c>
      <c r="Y256" s="50">
        <f t="shared" si="438"/>
        <v>13.5</v>
      </c>
      <c r="Z256" s="50">
        <f t="shared" si="438"/>
        <v>13.5</v>
      </c>
      <c r="AA256" s="50">
        <f t="shared" si="438"/>
        <v>0</v>
      </c>
      <c r="AB256" s="50">
        <f t="shared" si="438"/>
        <v>0</v>
      </c>
      <c r="AC256" s="50">
        <f t="shared" si="438"/>
        <v>0</v>
      </c>
      <c r="AD256" s="50">
        <f t="shared" si="438"/>
        <v>13.5</v>
      </c>
      <c r="AE256" s="50">
        <f t="shared" si="438"/>
        <v>0</v>
      </c>
      <c r="AF256" s="50">
        <f t="shared" si="438"/>
        <v>0</v>
      </c>
      <c r="AG256" s="50">
        <f t="shared" si="438"/>
        <v>0</v>
      </c>
      <c r="AH256" s="50">
        <f t="shared" si="438"/>
        <v>0</v>
      </c>
      <c r="AI256" s="50">
        <f t="shared" si="438"/>
        <v>0</v>
      </c>
      <c r="AJ256" s="50">
        <f t="shared" si="438"/>
        <v>0</v>
      </c>
      <c r="AK256" s="50">
        <f t="shared" si="438"/>
        <v>0</v>
      </c>
      <c r="AL256" s="50">
        <f t="shared" si="438"/>
        <v>0</v>
      </c>
      <c r="AM256" s="50">
        <f t="shared" si="438"/>
        <v>0</v>
      </c>
      <c r="AN256" s="50">
        <f t="shared" si="438"/>
        <v>0</v>
      </c>
      <c r="AO256" s="420"/>
    </row>
    <row r="257" spans="1:41" ht="25.5">
      <c r="A257" s="755"/>
      <c r="B257" s="892"/>
      <c r="C257" s="893"/>
      <c r="D257" s="893"/>
      <c r="E257" s="893"/>
      <c r="F257" s="893"/>
      <c r="G257" s="893"/>
      <c r="H257" s="894"/>
      <c r="I257" s="15" t="s">
        <v>10</v>
      </c>
      <c r="J257" s="752"/>
      <c r="K257" s="325"/>
      <c r="L257" s="47">
        <f>L259</f>
        <v>128000</v>
      </c>
      <c r="M257" s="47">
        <f t="shared" ref="M257:X257" si="439">M259</f>
        <v>0</v>
      </c>
      <c r="N257" s="47">
        <f t="shared" si="439"/>
        <v>0</v>
      </c>
      <c r="O257" s="47">
        <f t="shared" si="439"/>
        <v>0</v>
      </c>
      <c r="P257" s="47">
        <f t="shared" si="439"/>
        <v>0</v>
      </c>
      <c r="Q257" s="47">
        <f>Q262+Q264</f>
        <v>0</v>
      </c>
      <c r="R257" s="47">
        <f t="shared" si="439"/>
        <v>0</v>
      </c>
      <c r="S257" s="47">
        <f t="shared" si="439"/>
        <v>0</v>
      </c>
      <c r="T257" s="47">
        <f t="shared" si="439"/>
        <v>0</v>
      </c>
      <c r="U257" s="47">
        <f t="shared" si="439"/>
        <v>0</v>
      </c>
      <c r="V257" s="47">
        <f t="shared" si="439"/>
        <v>0</v>
      </c>
      <c r="W257" s="47">
        <f t="shared" si="439"/>
        <v>0</v>
      </c>
      <c r="X257" s="47">
        <f t="shared" si="439"/>
        <v>0</v>
      </c>
      <c r="Y257" s="47">
        <v>0</v>
      </c>
      <c r="Z257" s="47">
        <v>0</v>
      </c>
      <c r="AA257" s="47">
        <v>0</v>
      </c>
      <c r="AB257" s="47">
        <v>0</v>
      </c>
      <c r="AC257" s="47">
        <v>0</v>
      </c>
      <c r="AD257" s="47">
        <v>0</v>
      </c>
      <c r="AE257" s="47">
        <v>0</v>
      </c>
      <c r="AF257" s="47">
        <v>0</v>
      </c>
      <c r="AG257" s="47">
        <v>0</v>
      </c>
      <c r="AH257" s="47">
        <v>0</v>
      </c>
      <c r="AI257" s="47">
        <v>0</v>
      </c>
      <c r="AJ257" s="47">
        <v>0</v>
      </c>
      <c r="AK257" s="47">
        <v>0</v>
      </c>
      <c r="AL257" s="47">
        <v>0</v>
      </c>
      <c r="AM257" s="47">
        <v>0</v>
      </c>
      <c r="AN257" s="47">
        <v>0</v>
      </c>
      <c r="AO257" s="420"/>
    </row>
    <row r="258" spans="1:41" ht="25.5">
      <c r="A258" s="755"/>
      <c r="B258" s="895"/>
      <c r="C258" s="896"/>
      <c r="D258" s="896"/>
      <c r="E258" s="896"/>
      <c r="F258" s="896"/>
      <c r="G258" s="896"/>
      <c r="H258" s="897"/>
      <c r="I258" s="15" t="s">
        <v>9</v>
      </c>
      <c r="J258" s="752"/>
      <c r="K258" s="325"/>
      <c r="L258" s="47">
        <v>0</v>
      </c>
      <c r="M258" s="47">
        <v>0</v>
      </c>
      <c r="N258" s="47">
        <v>0</v>
      </c>
      <c r="O258" s="47">
        <v>0</v>
      </c>
      <c r="P258" s="47">
        <v>0</v>
      </c>
      <c r="Q258" s="47">
        <v>0</v>
      </c>
      <c r="R258" s="47">
        <v>0</v>
      </c>
      <c r="S258" s="47">
        <v>0</v>
      </c>
      <c r="T258" s="47">
        <v>0</v>
      </c>
      <c r="U258" s="47">
        <v>0</v>
      </c>
      <c r="V258" s="47">
        <v>0</v>
      </c>
      <c r="W258" s="47">
        <v>0</v>
      </c>
      <c r="X258" s="47">
        <v>0</v>
      </c>
      <c r="Y258" s="47">
        <v>0</v>
      </c>
      <c r="Z258" s="47">
        <v>0</v>
      </c>
      <c r="AA258" s="47">
        <v>0</v>
      </c>
      <c r="AB258" s="47">
        <v>0</v>
      </c>
      <c r="AC258" s="47">
        <v>0</v>
      </c>
      <c r="AD258" s="47">
        <v>0</v>
      </c>
      <c r="AE258" s="47">
        <v>0</v>
      </c>
      <c r="AF258" s="47">
        <v>0</v>
      </c>
      <c r="AG258" s="47">
        <v>0</v>
      </c>
      <c r="AH258" s="47">
        <v>0</v>
      </c>
      <c r="AI258" s="47">
        <v>0</v>
      </c>
      <c r="AJ258" s="47">
        <v>0</v>
      </c>
      <c r="AK258" s="47">
        <v>0</v>
      </c>
      <c r="AL258" s="47">
        <v>0</v>
      </c>
      <c r="AM258" s="47">
        <v>0</v>
      </c>
      <c r="AN258" s="47">
        <v>0</v>
      </c>
      <c r="AO258" s="420"/>
    </row>
    <row r="259" spans="1:41" ht="78" customHeight="1">
      <c r="A259" s="753" t="s">
        <v>50</v>
      </c>
      <c r="B259" s="87" t="s">
        <v>410</v>
      </c>
      <c r="C259" s="143"/>
      <c r="D259" s="143"/>
      <c r="E259" s="143"/>
      <c r="F259" s="143"/>
      <c r="G259" s="320"/>
      <c r="H259" s="321"/>
      <c r="I259" s="769" t="s">
        <v>411</v>
      </c>
      <c r="J259" s="752"/>
      <c r="K259" s="325"/>
      <c r="L259" s="82">
        <f>L263+L264</f>
        <v>128000</v>
      </c>
      <c r="M259" s="82">
        <f t="shared" ref="M259:AN259" si="440">M263+M264</f>
        <v>0</v>
      </c>
      <c r="N259" s="82">
        <f t="shared" si="440"/>
        <v>0</v>
      </c>
      <c r="O259" s="82">
        <f t="shared" si="440"/>
        <v>0</v>
      </c>
      <c r="P259" s="82">
        <f t="shared" si="440"/>
        <v>0</v>
      </c>
      <c r="Q259" s="82">
        <f>Q260</f>
        <v>13.5</v>
      </c>
      <c r="R259" s="82">
        <f t="shared" ref="R259:AJ259" si="441">R260</f>
        <v>0</v>
      </c>
      <c r="S259" s="82">
        <f t="shared" si="441"/>
        <v>0</v>
      </c>
      <c r="T259" s="82">
        <f t="shared" si="441"/>
        <v>0</v>
      </c>
      <c r="U259" s="82">
        <f t="shared" si="441"/>
        <v>0</v>
      </c>
      <c r="V259" s="82">
        <f t="shared" si="441"/>
        <v>0</v>
      </c>
      <c r="W259" s="82">
        <f t="shared" si="441"/>
        <v>0</v>
      </c>
      <c r="X259" s="82">
        <f t="shared" si="441"/>
        <v>0</v>
      </c>
      <c r="Y259" s="82">
        <f t="shared" si="441"/>
        <v>13.5</v>
      </c>
      <c r="Z259" s="82">
        <f t="shared" si="441"/>
        <v>13.5</v>
      </c>
      <c r="AA259" s="82">
        <f t="shared" si="441"/>
        <v>0</v>
      </c>
      <c r="AB259" s="82">
        <f t="shared" si="441"/>
        <v>0</v>
      </c>
      <c r="AC259" s="82">
        <f t="shared" si="441"/>
        <v>0</v>
      </c>
      <c r="AD259" s="82">
        <f t="shared" si="441"/>
        <v>13.5</v>
      </c>
      <c r="AE259" s="82">
        <f t="shared" si="441"/>
        <v>0</v>
      </c>
      <c r="AF259" s="82">
        <f t="shared" si="441"/>
        <v>0</v>
      </c>
      <c r="AG259" s="82">
        <f t="shared" si="441"/>
        <v>0</v>
      </c>
      <c r="AH259" s="82">
        <f t="shared" si="441"/>
        <v>0</v>
      </c>
      <c r="AI259" s="82">
        <f t="shared" si="441"/>
        <v>0</v>
      </c>
      <c r="AJ259" s="82">
        <f t="shared" si="441"/>
        <v>0</v>
      </c>
      <c r="AK259" s="82">
        <f t="shared" si="440"/>
        <v>0</v>
      </c>
      <c r="AL259" s="82">
        <f t="shared" si="440"/>
        <v>0</v>
      </c>
      <c r="AM259" s="82">
        <f t="shared" si="440"/>
        <v>0</v>
      </c>
      <c r="AN259" s="82">
        <f t="shared" si="440"/>
        <v>0</v>
      </c>
      <c r="AO259" s="82"/>
    </row>
    <row r="260" spans="1:41" s="292" customFormat="1" ht="38.25">
      <c r="A260" s="770"/>
      <c r="B260" s="783" t="s">
        <v>15</v>
      </c>
      <c r="C260" s="349"/>
      <c r="D260" s="349"/>
      <c r="E260" s="349"/>
      <c r="F260" s="349"/>
      <c r="G260" s="320"/>
      <c r="H260" s="321"/>
      <c r="I260" s="15" t="s">
        <v>20</v>
      </c>
      <c r="J260" s="784"/>
      <c r="K260" s="785"/>
      <c r="L260" s="295">
        <v>0</v>
      </c>
      <c r="M260" s="4"/>
      <c r="N260" s="4"/>
      <c r="O260" s="4"/>
      <c r="P260" s="4"/>
      <c r="Q260" s="4">
        <f>Q261</f>
        <v>13.5</v>
      </c>
      <c r="R260" s="4">
        <f t="shared" ref="R260:AJ260" si="442">R261</f>
        <v>0</v>
      </c>
      <c r="S260" s="4">
        <f t="shared" si="442"/>
        <v>0</v>
      </c>
      <c r="T260" s="4">
        <f t="shared" si="442"/>
        <v>0</v>
      </c>
      <c r="U260" s="4">
        <f t="shared" si="442"/>
        <v>0</v>
      </c>
      <c r="V260" s="4">
        <f t="shared" si="442"/>
        <v>0</v>
      </c>
      <c r="W260" s="4">
        <f t="shared" si="442"/>
        <v>0</v>
      </c>
      <c r="X260" s="4">
        <f t="shared" si="442"/>
        <v>0</v>
      </c>
      <c r="Y260" s="4">
        <f t="shared" si="442"/>
        <v>13.5</v>
      </c>
      <c r="Z260" s="4">
        <f t="shared" si="442"/>
        <v>13.5</v>
      </c>
      <c r="AA260" s="4">
        <f t="shared" si="442"/>
        <v>0</v>
      </c>
      <c r="AB260" s="4">
        <f t="shared" si="442"/>
        <v>0</v>
      </c>
      <c r="AC260" s="4">
        <f t="shared" si="442"/>
        <v>0</v>
      </c>
      <c r="AD260" s="4">
        <f t="shared" si="442"/>
        <v>13.5</v>
      </c>
      <c r="AE260" s="4">
        <f t="shared" si="442"/>
        <v>0</v>
      </c>
      <c r="AF260" s="4">
        <f t="shared" si="442"/>
        <v>0</v>
      </c>
      <c r="AG260" s="4">
        <f t="shared" si="442"/>
        <v>0</v>
      </c>
      <c r="AH260" s="4">
        <f t="shared" si="442"/>
        <v>0</v>
      </c>
      <c r="AI260" s="4">
        <f t="shared" si="442"/>
        <v>0</v>
      </c>
      <c r="AJ260" s="4">
        <f t="shared" si="442"/>
        <v>0</v>
      </c>
      <c r="AK260" s="4"/>
      <c r="AL260" s="4"/>
      <c r="AM260" s="4"/>
      <c r="AN260" s="4"/>
      <c r="AO260" s="4"/>
    </row>
    <row r="261" spans="1:41" s="100" customFormat="1" ht="14.25" hidden="1" customHeight="1">
      <c r="A261" s="770"/>
      <c r="B261" s="773" t="s">
        <v>432</v>
      </c>
      <c r="C261" s="143"/>
      <c r="D261" s="143"/>
      <c r="E261" s="143"/>
      <c r="F261" s="143"/>
      <c r="G261" s="508"/>
      <c r="H261" s="508"/>
      <c r="I261" s="771"/>
      <c r="J261" s="695"/>
      <c r="K261" s="376"/>
      <c r="L261" s="263"/>
      <c r="M261" s="275"/>
      <c r="N261" s="275"/>
      <c r="O261" s="275"/>
      <c r="P261" s="275"/>
      <c r="Q261" s="275">
        <v>13.5</v>
      </c>
      <c r="R261" s="275"/>
      <c r="S261" s="275"/>
      <c r="T261" s="275"/>
      <c r="U261" s="275"/>
      <c r="V261" s="275"/>
      <c r="W261" s="275"/>
      <c r="X261" s="275"/>
      <c r="Y261" s="275">
        <v>13.5</v>
      </c>
      <c r="Z261" s="275">
        <f>AD261</f>
        <v>13.5</v>
      </c>
      <c r="AA261" s="275"/>
      <c r="AB261" s="275"/>
      <c r="AC261" s="275"/>
      <c r="AD261" s="275">
        <v>13.5</v>
      </c>
      <c r="AE261" s="275"/>
      <c r="AF261" s="275"/>
      <c r="AG261" s="275"/>
      <c r="AH261" s="275"/>
      <c r="AI261" s="275"/>
      <c r="AJ261" s="275"/>
      <c r="AK261" s="275"/>
      <c r="AL261" s="275"/>
      <c r="AM261" s="275"/>
      <c r="AN261" s="275"/>
      <c r="AO261" s="509"/>
    </row>
    <row r="262" spans="1:41" s="292" customFormat="1" ht="15.75">
      <c r="A262" s="770"/>
      <c r="B262" s="783" t="s">
        <v>15</v>
      </c>
      <c r="C262" s="143"/>
      <c r="D262" s="143"/>
      <c r="E262" s="143"/>
      <c r="F262" s="143"/>
      <c r="G262" s="320"/>
      <c r="H262" s="321"/>
      <c r="I262" s="837" t="s">
        <v>411</v>
      </c>
      <c r="J262" s="772"/>
      <c r="K262" s="782"/>
      <c r="L262" s="498"/>
      <c r="M262" s="325"/>
      <c r="N262" s="325"/>
      <c r="O262" s="325"/>
      <c r="P262" s="325"/>
      <c r="Q262" s="325"/>
      <c r="R262" s="325"/>
      <c r="S262" s="325"/>
      <c r="T262" s="325"/>
      <c r="U262" s="325"/>
      <c r="V262" s="325"/>
      <c r="W262" s="325"/>
      <c r="X262" s="325"/>
      <c r="Y262" s="325"/>
      <c r="Z262" s="325"/>
      <c r="AA262" s="325"/>
      <c r="AB262" s="325"/>
      <c r="AC262" s="325"/>
      <c r="AD262" s="325"/>
      <c r="AE262" s="325"/>
      <c r="AF262" s="325"/>
      <c r="AG262" s="325"/>
      <c r="AH262" s="325"/>
      <c r="AI262" s="325"/>
      <c r="AJ262" s="325"/>
      <c r="AK262" s="325"/>
      <c r="AL262" s="325"/>
      <c r="AM262" s="325"/>
      <c r="AN262" s="325"/>
      <c r="AO262" s="325"/>
    </row>
    <row r="263" spans="1:41" s="100" customFormat="1" ht="14.25" hidden="1" customHeight="1">
      <c r="A263" s="755"/>
      <c r="B263" s="773" t="s">
        <v>432</v>
      </c>
      <c r="C263" s="143"/>
      <c r="D263" s="143"/>
      <c r="E263" s="143"/>
      <c r="F263" s="143"/>
      <c r="G263" s="508"/>
      <c r="H263" s="508"/>
      <c r="I263" s="1011"/>
      <c r="J263" s="695"/>
      <c r="K263" s="376"/>
      <c r="L263" s="263"/>
      <c r="M263" s="275"/>
      <c r="N263" s="275"/>
      <c r="O263" s="275"/>
      <c r="P263" s="275"/>
      <c r="Q263" s="275"/>
      <c r="R263" s="275"/>
      <c r="S263" s="275"/>
      <c r="T263" s="275"/>
      <c r="U263" s="275"/>
      <c r="V263" s="275"/>
      <c r="W263" s="275"/>
      <c r="X263" s="275"/>
      <c r="Y263" s="275"/>
      <c r="Z263" s="275"/>
      <c r="AA263" s="275"/>
      <c r="AB263" s="275"/>
      <c r="AC263" s="275"/>
      <c r="AD263" s="275"/>
      <c r="AE263" s="275"/>
      <c r="AF263" s="275"/>
      <c r="AG263" s="275"/>
      <c r="AH263" s="275"/>
      <c r="AI263" s="275"/>
      <c r="AJ263" s="275"/>
      <c r="AK263" s="275"/>
      <c r="AL263" s="275"/>
      <c r="AM263" s="275"/>
      <c r="AN263" s="275"/>
      <c r="AO263" s="509"/>
    </row>
    <row r="264" spans="1:41" ht="15.75">
      <c r="A264" s="755"/>
      <c r="B264" s="42" t="s">
        <v>16</v>
      </c>
      <c r="C264" s="143"/>
      <c r="D264" s="143"/>
      <c r="E264" s="143"/>
      <c r="F264" s="143"/>
      <c r="G264" s="320"/>
      <c r="H264" s="321"/>
      <c r="I264" s="839"/>
      <c r="J264" s="752"/>
      <c r="K264" s="325"/>
      <c r="L264" s="47">
        <v>128000</v>
      </c>
      <c r="M264" s="47"/>
      <c r="N264" s="50"/>
      <c r="O264" s="50"/>
      <c r="P264" s="47">
        <v>0</v>
      </c>
      <c r="Q264" s="50"/>
      <c r="R264" s="50"/>
      <c r="S264" s="50"/>
      <c r="T264" s="50"/>
      <c r="U264" s="50"/>
      <c r="V264" s="50"/>
      <c r="W264" s="50"/>
      <c r="X264" s="47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420"/>
    </row>
    <row r="265" spans="1:41" ht="15.75" hidden="1">
      <c r="A265" s="755"/>
      <c r="B265" s="42"/>
      <c r="C265" s="143"/>
      <c r="D265" s="143"/>
      <c r="E265" s="143"/>
      <c r="F265" s="143"/>
      <c r="G265" s="320"/>
      <c r="H265" s="321"/>
      <c r="I265" s="751"/>
      <c r="J265" s="752"/>
      <c r="K265" s="325"/>
      <c r="L265" s="47"/>
      <c r="M265" s="47"/>
      <c r="N265" s="50"/>
      <c r="O265" s="50"/>
      <c r="P265" s="47"/>
      <c r="Q265" s="50"/>
      <c r="R265" s="50"/>
      <c r="S265" s="50"/>
      <c r="T265" s="50"/>
      <c r="U265" s="50"/>
      <c r="V265" s="50"/>
      <c r="W265" s="50"/>
      <c r="X265" s="47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420"/>
    </row>
    <row r="266" spans="1:41" ht="54" customHeight="1">
      <c r="A266" s="833" t="s">
        <v>139</v>
      </c>
      <c r="B266" s="889" t="s">
        <v>213</v>
      </c>
      <c r="C266" s="890"/>
      <c r="D266" s="890"/>
      <c r="E266" s="890"/>
      <c r="F266" s="890"/>
      <c r="G266" s="890"/>
      <c r="H266" s="891"/>
      <c r="I266" s="15" t="s">
        <v>19</v>
      </c>
      <c r="J266" s="43">
        <v>0</v>
      </c>
      <c r="K266" s="43">
        <v>0</v>
      </c>
      <c r="L266" s="16">
        <f t="shared" ref="L266:L269" si="443">M266+N266+O266</f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  <c r="S266" s="22">
        <v>0</v>
      </c>
      <c r="T266" s="22">
        <v>0</v>
      </c>
      <c r="U266" s="22">
        <v>0</v>
      </c>
      <c r="V266" s="22">
        <v>0</v>
      </c>
      <c r="W266" s="22">
        <v>0</v>
      </c>
      <c r="X266" s="22">
        <v>0</v>
      </c>
      <c r="Y266" s="22">
        <v>0</v>
      </c>
      <c r="Z266" s="22">
        <v>0</v>
      </c>
      <c r="AA266" s="22">
        <v>0</v>
      </c>
      <c r="AB266" s="22">
        <v>0</v>
      </c>
      <c r="AC266" s="22">
        <v>0</v>
      </c>
      <c r="AD266" s="22">
        <v>0</v>
      </c>
      <c r="AE266" s="22">
        <v>0</v>
      </c>
      <c r="AF266" s="22">
        <v>0</v>
      </c>
      <c r="AG266" s="22">
        <v>0</v>
      </c>
      <c r="AH266" s="22">
        <v>0</v>
      </c>
      <c r="AI266" s="22">
        <v>0</v>
      </c>
      <c r="AJ266" s="22">
        <v>0</v>
      </c>
      <c r="AK266" s="22">
        <v>0</v>
      </c>
      <c r="AL266" s="22">
        <v>0</v>
      </c>
      <c r="AM266" s="22">
        <v>0</v>
      </c>
      <c r="AN266" s="22">
        <v>0</v>
      </c>
      <c r="AO266" s="404"/>
    </row>
    <row r="267" spans="1:41" ht="39.75" customHeight="1">
      <c r="A267" s="834"/>
      <c r="B267" s="892"/>
      <c r="C267" s="893"/>
      <c r="D267" s="893"/>
      <c r="E267" s="893"/>
      <c r="F267" s="893"/>
      <c r="G267" s="893"/>
      <c r="H267" s="894"/>
      <c r="I267" s="15" t="s">
        <v>20</v>
      </c>
      <c r="J267" s="43">
        <f>K267+L267</f>
        <v>7510.2399999999989</v>
      </c>
      <c r="K267" s="43">
        <f>K270+K290+K293+K304</f>
        <v>0</v>
      </c>
      <c r="L267" s="16">
        <f>L270+L274</f>
        <v>7510.2399999999989</v>
      </c>
      <c r="M267" s="16">
        <f t="shared" ref="M267:AI267" si="444">M270+M274</f>
        <v>0</v>
      </c>
      <c r="N267" s="16">
        <f t="shared" si="444"/>
        <v>2081.9299999999998</v>
      </c>
      <c r="O267" s="16">
        <f t="shared" si="444"/>
        <v>4372.5</v>
      </c>
      <c r="P267" s="22">
        <f>P270+P274</f>
        <v>4614.8599999999997</v>
      </c>
      <c r="Q267" s="22">
        <f t="shared" si="444"/>
        <v>47.701999999999998</v>
      </c>
      <c r="R267" s="22">
        <f t="shared" si="444"/>
        <v>0</v>
      </c>
      <c r="S267" s="22">
        <f t="shared" si="444"/>
        <v>0</v>
      </c>
      <c r="T267" s="22">
        <f t="shared" si="444"/>
        <v>0</v>
      </c>
      <c r="U267" s="22">
        <f t="shared" si="444"/>
        <v>0</v>
      </c>
      <c r="V267" s="22">
        <f t="shared" si="444"/>
        <v>0</v>
      </c>
      <c r="W267" s="22">
        <f t="shared" si="444"/>
        <v>0</v>
      </c>
      <c r="X267" s="22">
        <f t="shared" si="444"/>
        <v>45</v>
      </c>
      <c r="Y267" s="22">
        <f t="shared" si="444"/>
        <v>47.701999999999998</v>
      </c>
      <c r="Z267" s="22">
        <f t="shared" si="444"/>
        <v>47.701999999999998</v>
      </c>
      <c r="AA267" s="22">
        <f t="shared" si="444"/>
        <v>0</v>
      </c>
      <c r="AB267" s="22">
        <f t="shared" si="444"/>
        <v>0</v>
      </c>
      <c r="AC267" s="22">
        <f t="shared" si="444"/>
        <v>0</v>
      </c>
      <c r="AD267" s="22">
        <f t="shared" si="444"/>
        <v>47.701999999999998</v>
      </c>
      <c r="AE267" s="22">
        <f t="shared" si="444"/>
        <v>0</v>
      </c>
      <c r="AF267" s="22">
        <f t="shared" si="444"/>
        <v>0</v>
      </c>
      <c r="AG267" s="22">
        <f t="shared" si="444"/>
        <v>0</v>
      </c>
      <c r="AH267" s="22">
        <f t="shared" si="444"/>
        <v>0</v>
      </c>
      <c r="AI267" s="22">
        <f t="shared" si="444"/>
        <v>0</v>
      </c>
      <c r="AJ267" s="22">
        <f>AJ270+AJ290+AJ293+AJ304+AJ306</f>
        <v>-36487.747000000003</v>
      </c>
      <c r="AK267" s="22">
        <f>AK270+AK290+AK293+AK304+AK306</f>
        <v>-36487.747000000003</v>
      </c>
      <c r="AL267" s="22">
        <f>AL270+AL290+AL293+AL304+AL306</f>
        <v>1984.9</v>
      </c>
      <c r="AM267" s="22">
        <f>AM270+AM290+AM293+AM304+AM306</f>
        <v>0</v>
      </c>
      <c r="AN267" s="22">
        <f>AN270+AN290+AN293+AN304+AN306</f>
        <v>0</v>
      </c>
      <c r="AO267" s="404"/>
    </row>
    <row r="268" spans="1:41" ht="26.25" customHeight="1">
      <c r="A268" s="834"/>
      <c r="B268" s="892"/>
      <c r="C268" s="893"/>
      <c r="D268" s="893"/>
      <c r="E268" s="893"/>
      <c r="F268" s="893"/>
      <c r="G268" s="893"/>
      <c r="H268" s="894"/>
      <c r="I268" s="15" t="s">
        <v>10</v>
      </c>
      <c r="J268" s="43">
        <v>0</v>
      </c>
      <c r="K268" s="43">
        <v>0</v>
      </c>
      <c r="L268" s="16">
        <f t="shared" si="443"/>
        <v>0</v>
      </c>
      <c r="M268" s="22">
        <v>0</v>
      </c>
      <c r="N268" s="22">
        <v>0</v>
      </c>
      <c r="O268" s="22">
        <v>0</v>
      </c>
      <c r="P268" s="22">
        <v>0</v>
      </c>
      <c r="Q268" s="22">
        <f t="shared" ref="Q268:AI268" si="445">Q298</f>
        <v>0</v>
      </c>
      <c r="R268" s="22">
        <f t="shared" si="445"/>
        <v>0</v>
      </c>
      <c r="S268" s="22">
        <f t="shared" si="445"/>
        <v>0</v>
      </c>
      <c r="T268" s="22">
        <f t="shared" si="445"/>
        <v>0</v>
      </c>
      <c r="U268" s="22">
        <f t="shared" si="445"/>
        <v>0</v>
      </c>
      <c r="V268" s="22">
        <f t="shared" si="445"/>
        <v>0</v>
      </c>
      <c r="W268" s="22">
        <f t="shared" si="445"/>
        <v>0</v>
      </c>
      <c r="X268" s="22">
        <f t="shared" si="445"/>
        <v>0</v>
      </c>
      <c r="Y268" s="22">
        <f t="shared" si="445"/>
        <v>0</v>
      </c>
      <c r="Z268" s="22">
        <f t="shared" si="445"/>
        <v>0</v>
      </c>
      <c r="AA268" s="22">
        <f t="shared" si="445"/>
        <v>0</v>
      </c>
      <c r="AB268" s="22">
        <f t="shared" si="445"/>
        <v>0</v>
      </c>
      <c r="AC268" s="22">
        <f t="shared" si="445"/>
        <v>0</v>
      </c>
      <c r="AD268" s="22">
        <f t="shared" si="445"/>
        <v>0</v>
      </c>
      <c r="AE268" s="22">
        <f t="shared" si="445"/>
        <v>0</v>
      </c>
      <c r="AF268" s="22">
        <f t="shared" si="445"/>
        <v>0</v>
      </c>
      <c r="AG268" s="22">
        <f t="shared" si="445"/>
        <v>0</v>
      </c>
      <c r="AH268" s="22">
        <f t="shared" si="445"/>
        <v>0</v>
      </c>
      <c r="AI268" s="22">
        <f t="shared" si="445"/>
        <v>0</v>
      </c>
      <c r="AJ268" s="22">
        <v>0</v>
      </c>
      <c r="AK268" s="22">
        <v>0</v>
      </c>
      <c r="AL268" s="22">
        <v>0</v>
      </c>
      <c r="AM268" s="22">
        <v>0</v>
      </c>
      <c r="AN268" s="22">
        <v>0</v>
      </c>
      <c r="AO268" s="404"/>
    </row>
    <row r="269" spans="1:41" ht="25.5">
      <c r="A269" s="835"/>
      <c r="B269" s="895"/>
      <c r="C269" s="896"/>
      <c r="D269" s="896"/>
      <c r="E269" s="896"/>
      <c r="F269" s="896"/>
      <c r="G269" s="896"/>
      <c r="H269" s="897"/>
      <c r="I269" s="15" t="s">
        <v>9</v>
      </c>
      <c r="J269" s="43">
        <v>0</v>
      </c>
      <c r="K269" s="43">
        <v>0</v>
      </c>
      <c r="L269" s="16">
        <f t="shared" si="443"/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0</v>
      </c>
      <c r="R269" s="22">
        <v>0</v>
      </c>
      <c r="S269" s="22">
        <v>0</v>
      </c>
      <c r="T269" s="22">
        <v>0</v>
      </c>
      <c r="U269" s="22">
        <v>0</v>
      </c>
      <c r="V269" s="22">
        <v>0</v>
      </c>
      <c r="W269" s="22">
        <v>0</v>
      </c>
      <c r="X269" s="22">
        <v>0</v>
      </c>
      <c r="Y269" s="22">
        <v>0</v>
      </c>
      <c r="Z269" s="22">
        <v>0</v>
      </c>
      <c r="AA269" s="22">
        <v>0</v>
      </c>
      <c r="AB269" s="22">
        <v>0</v>
      </c>
      <c r="AC269" s="22">
        <v>0</v>
      </c>
      <c r="AD269" s="22">
        <v>0</v>
      </c>
      <c r="AE269" s="22">
        <v>0</v>
      </c>
      <c r="AF269" s="22">
        <v>0</v>
      </c>
      <c r="AG269" s="22">
        <v>0</v>
      </c>
      <c r="AH269" s="22">
        <v>0</v>
      </c>
      <c r="AI269" s="22">
        <v>0</v>
      </c>
      <c r="AJ269" s="22">
        <v>0</v>
      </c>
      <c r="AK269" s="22">
        <v>0</v>
      </c>
      <c r="AL269" s="22">
        <v>0</v>
      </c>
      <c r="AM269" s="22">
        <v>0</v>
      </c>
      <c r="AN269" s="22">
        <v>0</v>
      </c>
      <c r="AO269" s="404"/>
    </row>
    <row r="270" spans="1:41" ht="81" customHeight="1">
      <c r="A270" s="945" t="s">
        <v>189</v>
      </c>
      <c r="B270" s="87" t="s">
        <v>188</v>
      </c>
      <c r="C270" s="817"/>
      <c r="D270" s="815"/>
      <c r="E270" s="815"/>
      <c r="F270" s="898">
        <v>150000</v>
      </c>
      <c r="G270" s="820">
        <v>2019</v>
      </c>
      <c r="H270" s="820">
        <v>2019</v>
      </c>
      <c r="I270" s="820" t="s">
        <v>20</v>
      </c>
      <c r="J270" s="906">
        <v>4914.5600000000004</v>
      </c>
      <c r="K270" s="3"/>
      <c r="L270" s="82">
        <f>L273+L271</f>
        <v>6696.7899999999991</v>
      </c>
      <c r="M270" s="82">
        <f>M273+M271</f>
        <v>0</v>
      </c>
      <c r="N270" s="82">
        <f t="shared" ref="N270:P270" si="446">N273+N271</f>
        <v>2081.9299999999998</v>
      </c>
      <c r="O270" s="82">
        <f t="shared" si="446"/>
        <v>4372.5</v>
      </c>
      <c r="P270" s="82">
        <f t="shared" si="446"/>
        <v>4614.8599999999997</v>
      </c>
      <c r="Q270" s="82">
        <f>Q273+Q271</f>
        <v>45</v>
      </c>
      <c r="R270" s="82">
        <f t="shared" ref="R270:AH270" si="447">R273+R271</f>
        <v>0</v>
      </c>
      <c r="S270" s="82">
        <f t="shared" si="447"/>
        <v>0</v>
      </c>
      <c r="T270" s="82">
        <f t="shared" si="447"/>
        <v>0</v>
      </c>
      <c r="U270" s="82">
        <f t="shared" si="447"/>
        <v>0</v>
      </c>
      <c r="V270" s="82">
        <f t="shared" si="447"/>
        <v>0</v>
      </c>
      <c r="W270" s="82">
        <f t="shared" si="447"/>
        <v>0</v>
      </c>
      <c r="X270" s="82">
        <f t="shared" si="447"/>
        <v>45</v>
      </c>
      <c r="Y270" s="82">
        <f t="shared" si="447"/>
        <v>45</v>
      </c>
      <c r="Z270" s="82">
        <f t="shared" si="447"/>
        <v>45</v>
      </c>
      <c r="AA270" s="82">
        <f t="shared" si="447"/>
        <v>0</v>
      </c>
      <c r="AB270" s="82">
        <f t="shared" si="447"/>
        <v>0</v>
      </c>
      <c r="AC270" s="82">
        <f t="shared" ref="AC270:AD270" si="448">AC273+AC271</f>
        <v>0</v>
      </c>
      <c r="AD270" s="82">
        <f t="shared" si="448"/>
        <v>45</v>
      </c>
      <c r="AE270" s="82">
        <f t="shared" si="447"/>
        <v>0</v>
      </c>
      <c r="AF270" s="82">
        <f t="shared" si="447"/>
        <v>0</v>
      </c>
      <c r="AG270" s="82">
        <f t="shared" si="447"/>
        <v>0</v>
      </c>
      <c r="AH270" s="82">
        <f t="shared" si="447"/>
        <v>0</v>
      </c>
      <c r="AI270" s="82">
        <f t="shared" ref="AI270" si="449">AI273+AI271</f>
        <v>0</v>
      </c>
      <c r="AJ270" s="82">
        <f>P270-Q270</f>
        <v>4569.8599999999997</v>
      </c>
      <c r="AK270" s="82">
        <f>AJ270</f>
        <v>4569.8599999999997</v>
      </c>
      <c r="AL270" s="79">
        <f>ROUND((Q270*100%/P270*100),2)</f>
        <v>0.98</v>
      </c>
      <c r="AM270" s="82">
        <f t="shared" ref="AM270:AN270" si="450">AM273</f>
        <v>0</v>
      </c>
      <c r="AN270" s="82">
        <f t="shared" si="450"/>
        <v>0</v>
      </c>
      <c r="AO270" s="411"/>
    </row>
    <row r="271" spans="1:41" s="292" customFormat="1" ht="19.5" customHeight="1">
      <c r="A271" s="946"/>
      <c r="B271" s="1" t="s">
        <v>15</v>
      </c>
      <c r="C271" s="818"/>
      <c r="D271" s="816"/>
      <c r="E271" s="816"/>
      <c r="F271" s="899"/>
      <c r="G271" s="822"/>
      <c r="H271" s="822"/>
      <c r="I271" s="822"/>
      <c r="J271" s="907"/>
      <c r="K271" s="47"/>
      <c r="L271" s="47">
        <f>SUM(M271:O271)</f>
        <v>2081.9299999999998</v>
      </c>
      <c r="M271" s="4">
        <v>0</v>
      </c>
      <c r="N271" s="4">
        <v>2081.9299999999998</v>
      </c>
      <c r="O271" s="4">
        <f t="shared" ref="O271:AN271" si="451">O272</f>
        <v>0</v>
      </c>
      <c r="P271" s="4">
        <f t="shared" si="451"/>
        <v>0</v>
      </c>
      <c r="Q271" s="4">
        <f t="shared" si="451"/>
        <v>45</v>
      </c>
      <c r="R271" s="4">
        <f t="shared" si="451"/>
        <v>0</v>
      </c>
      <c r="S271" s="4">
        <f t="shared" si="451"/>
        <v>0</v>
      </c>
      <c r="T271" s="4">
        <f t="shared" si="451"/>
        <v>0</v>
      </c>
      <c r="U271" s="4">
        <f t="shared" si="451"/>
        <v>0</v>
      </c>
      <c r="V271" s="4">
        <f t="shared" si="451"/>
        <v>0</v>
      </c>
      <c r="W271" s="4">
        <f t="shared" si="451"/>
        <v>0</v>
      </c>
      <c r="X271" s="4">
        <f t="shared" si="451"/>
        <v>45</v>
      </c>
      <c r="Y271" s="4">
        <f t="shared" si="451"/>
        <v>45</v>
      </c>
      <c r="Z271" s="4">
        <f t="shared" si="451"/>
        <v>45</v>
      </c>
      <c r="AA271" s="4">
        <f t="shared" si="451"/>
        <v>0</v>
      </c>
      <c r="AB271" s="4">
        <f t="shared" si="451"/>
        <v>0</v>
      </c>
      <c r="AC271" s="4">
        <f t="shared" si="451"/>
        <v>0</v>
      </c>
      <c r="AD271" s="4">
        <f t="shared" si="451"/>
        <v>45</v>
      </c>
      <c r="AE271" s="4">
        <f t="shared" si="451"/>
        <v>0</v>
      </c>
      <c r="AF271" s="4">
        <f t="shared" si="451"/>
        <v>0</v>
      </c>
      <c r="AG271" s="4">
        <v>0</v>
      </c>
      <c r="AH271" s="4">
        <v>0</v>
      </c>
      <c r="AI271" s="4">
        <v>0</v>
      </c>
      <c r="AJ271" s="4">
        <f t="shared" si="451"/>
        <v>0</v>
      </c>
      <c r="AK271" s="4">
        <f t="shared" si="451"/>
        <v>0</v>
      </c>
      <c r="AL271" s="4">
        <f t="shared" si="451"/>
        <v>0</v>
      </c>
      <c r="AM271" s="4">
        <f t="shared" si="451"/>
        <v>0</v>
      </c>
      <c r="AN271" s="4">
        <f t="shared" si="451"/>
        <v>0</v>
      </c>
      <c r="AO271" s="407"/>
    </row>
    <row r="272" spans="1:41" s="273" customFormat="1" hidden="1">
      <c r="A272" s="946"/>
      <c r="B272" s="105" t="s">
        <v>258</v>
      </c>
      <c r="C272" s="818"/>
      <c r="D272" s="816"/>
      <c r="E272" s="816"/>
      <c r="F272" s="899"/>
      <c r="G272" s="822"/>
      <c r="H272" s="822"/>
      <c r="I272" s="822"/>
      <c r="J272" s="907"/>
      <c r="K272" s="98"/>
      <c r="L272" s="99">
        <f t="shared" ref="L272" si="452">SUM(M272:O272)</f>
        <v>0</v>
      </c>
      <c r="M272" s="275">
        <v>0</v>
      </c>
      <c r="N272" s="268"/>
      <c r="O272" s="268"/>
      <c r="P272" s="268">
        <f>R272+T272</f>
        <v>0</v>
      </c>
      <c r="Q272" s="268">
        <f>Y272</f>
        <v>45</v>
      </c>
      <c r="R272" s="268">
        <f>S272</f>
        <v>0</v>
      </c>
      <c r="S272" s="268">
        <v>0</v>
      </c>
      <c r="T272" s="268">
        <v>0</v>
      </c>
      <c r="U272" s="268">
        <v>0</v>
      </c>
      <c r="V272" s="268">
        <v>0</v>
      </c>
      <c r="W272" s="268">
        <v>0</v>
      </c>
      <c r="X272" s="268">
        <f>Y272</f>
        <v>45</v>
      </c>
      <c r="Y272" s="268">
        <v>45</v>
      </c>
      <c r="Z272" s="268">
        <f>AA272+AD272</f>
        <v>45</v>
      </c>
      <c r="AA272" s="268">
        <v>0</v>
      </c>
      <c r="AB272" s="268">
        <v>0</v>
      </c>
      <c r="AC272" s="268"/>
      <c r="AD272" s="268">
        <v>45</v>
      </c>
      <c r="AE272" s="268"/>
      <c r="AF272" s="268"/>
      <c r="AG272" s="268"/>
      <c r="AH272" s="268"/>
      <c r="AI272" s="268"/>
      <c r="AJ272" s="268"/>
      <c r="AK272" s="268"/>
      <c r="AL272" s="268"/>
      <c r="AM272" s="268"/>
      <c r="AN272" s="268"/>
      <c r="AO272" s="421"/>
    </row>
    <row r="273" spans="1:41" ht="18" customHeight="1">
      <c r="A273" s="947"/>
      <c r="B273" s="5" t="s">
        <v>16</v>
      </c>
      <c r="C273" s="819"/>
      <c r="D273" s="819"/>
      <c r="E273" s="816"/>
      <c r="F273" s="909"/>
      <c r="G273" s="822"/>
      <c r="H273" s="822"/>
      <c r="I273" s="822"/>
      <c r="J273" s="908"/>
      <c r="K273" s="47">
        <v>0</v>
      </c>
      <c r="L273" s="47">
        <v>4614.8599999999997</v>
      </c>
      <c r="M273" s="4">
        <v>0</v>
      </c>
      <c r="N273" s="4">
        <v>0</v>
      </c>
      <c r="O273" s="4">
        <v>4372.5</v>
      </c>
      <c r="P273" s="4">
        <v>4614.8599999999997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0</v>
      </c>
      <c r="AL273" s="4">
        <v>0</v>
      </c>
      <c r="AM273" s="4">
        <v>0</v>
      </c>
      <c r="AN273" s="4">
        <v>0</v>
      </c>
      <c r="AO273" s="407"/>
    </row>
    <row r="274" spans="1:41" ht="67.5" customHeight="1">
      <c r="A274" s="945" t="s">
        <v>190</v>
      </c>
      <c r="B274" s="87" t="s">
        <v>412</v>
      </c>
      <c r="C274" s="756"/>
      <c r="D274" s="756"/>
      <c r="E274" s="143"/>
      <c r="F274" s="757"/>
      <c r="G274" s="349"/>
      <c r="H274" s="350"/>
      <c r="I274" s="742"/>
      <c r="J274" s="750"/>
      <c r="K274" s="4"/>
      <c r="L274" s="82">
        <f>L275+L277</f>
        <v>813.45</v>
      </c>
      <c r="M274" s="82">
        <f t="shared" ref="M274:AN274" si="453">M275+M277</f>
        <v>0</v>
      </c>
      <c r="N274" s="82">
        <f t="shared" si="453"/>
        <v>0</v>
      </c>
      <c r="O274" s="82">
        <f t="shared" si="453"/>
        <v>0</v>
      </c>
      <c r="P274" s="82">
        <f t="shared" si="453"/>
        <v>0</v>
      </c>
      <c r="Q274" s="82">
        <f t="shared" si="453"/>
        <v>2.702</v>
      </c>
      <c r="R274" s="82">
        <f t="shared" si="453"/>
        <v>0</v>
      </c>
      <c r="S274" s="82">
        <f t="shared" si="453"/>
        <v>0</v>
      </c>
      <c r="T274" s="82">
        <f t="shared" si="453"/>
        <v>0</v>
      </c>
      <c r="U274" s="82">
        <f t="shared" si="453"/>
        <v>0</v>
      </c>
      <c r="V274" s="82">
        <f t="shared" si="453"/>
        <v>0</v>
      </c>
      <c r="W274" s="82">
        <f t="shared" si="453"/>
        <v>0</v>
      </c>
      <c r="X274" s="82">
        <f t="shared" si="453"/>
        <v>0</v>
      </c>
      <c r="Y274" s="82">
        <f t="shared" si="453"/>
        <v>2.702</v>
      </c>
      <c r="Z274" s="82">
        <f t="shared" si="453"/>
        <v>2.702</v>
      </c>
      <c r="AA274" s="82">
        <f t="shared" si="453"/>
        <v>0</v>
      </c>
      <c r="AB274" s="82">
        <f t="shared" si="453"/>
        <v>0</v>
      </c>
      <c r="AC274" s="82">
        <f t="shared" si="453"/>
        <v>0</v>
      </c>
      <c r="AD274" s="82">
        <f t="shared" si="453"/>
        <v>2.702</v>
      </c>
      <c r="AE274" s="82">
        <f t="shared" si="453"/>
        <v>0</v>
      </c>
      <c r="AF274" s="82">
        <f t="shared" si="453"/>
        <v>0</v>
      </c>
      <c r="AG274" s="82">
        <f t="shared" si="453"/>
        <v>0</v>
      </c>
      <c r="AH274" s="82">
        <f t="shared" si="453"/>
        <v>0</v>
      </c>
      <c r="AI274" s="82">
        <f t="shared" si="453"/>
        <v>0</v>
      </c>
      <c r="AJ274" s="82">
        <f t="shared" si="453"/>
        <v>0</v>
      </c>
      <c r="AK274" s="82">
        <f t="shared" si="453"/>
        <v>0</v>
      </c>
      <c r="AL274" s="82">
        <f t="shared" si="453"/>
        <v>0</v>
      </c>
      <c r="AM274" s="82">
        <f t="shared" si="453"/>
        <v>0</v>
      </c>
      <c r="AN274" s="82">
        <f t="shared" si="453"/>
        <v>0</v>
      </c>
      <c r="AO274" s="82"/>
    </row>
    <row r="275" spans="1:41" ht="18" customHeight="1">
      <c r="A275" s="934"/>
      <c r="B275" s="42" t="s">
        <v>15</v>
      </c>
      <c r="C275" s="756"/>
      <c r="D275" s="756"/>
      <c r="E275" s="143"/>
      <c r="F275" s="757"/>
      <c r="G275" s="349"/>
      <c r="H275" s="350"/>
      <c r="I275" s="742"/>
      <c r="J275" s="750"/>
      <c r="K275" s="4"/>
      <c r="L275" s="47">
        <v>2.7</v>
      </c>
      <c r="M275" s="4"/>
      <c r="N275" s="4"/>
      <c r="O275" s="4"/>
      <c r="P275" s="4">
        <v>0</v>
      </c>
      <c r="Q275" s="4">
        <f>Q276</f>
        <v>2.702</v>
      </c>
      <c r="R275" s="4"/>
      <c r="S275" s="4"/>
      <c r="T275" s="4"/>
      <c r="U275" s="4"/>
      <c r="V275" s="4"/>
      <c r="W275" s="4"/>
      <c r="X275" s="4">
        <v>0</v>
      </c>
      <c r="Y275" s="4">
        <f>Y276</f>
        <v>2.702</v>
      </c>
      <c r="Z275" s="4">
        <f t="shared" ref="Z275:AC275" si="454">Z276</f>
        <v>2.702</v>
      </c>
      <c r="AA275" s="4">
        <f t="shared" si="454"/>
        <v>0</v>
      </c>
      <c r="AB275" s="4">
        <f t="shared" si="454"/>
        <v>0</v>
      </c>
      <c r="AC275" s="4">
        <f t="shared" si="454"/>
        <v>0</v>
      </c>
      <c r="AD275" s="4">
        <f>AD276</f>
        <v>2.702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4">
        <v>0</v>
      </c>
      <c r="AL275" s="4">
        <v>0</v>
      </c>
      <c r="AM275" s="4">
        <v>0</v>
      </c>
      <c r="AN275" s="4">
        <v>0</v>
      </c>
      <c r="AO275" s="743"/>
    </row>
    <row r="276" spans="1:41" s="100" customFormat="1" ht="18" hidden="1" customHeight="1">
      <c r="A276" s="934"/>
      <c r="B276" s="257" t="s">
        <v>230</v>
      </c>
      <c r="C276" s="766"/>
      <c r="D276" s="766"/>
      <c r="E276" s="377"/>
      <c r="F276" s="767"/>
      <c r="G276" s="465"/>
      <c r="H276" s="466"/>
      <c r="I276" s="375"/>
      <c r="J276" s="768"/>
      <c r="K276" s="275"/>
      <c r="L276" s="99"/>
      <c r="M276" s="275"/>
      <c r="N276" s="275"/>
      <c r="O276" s="275"/>
      <c r="P276" s="275"/>
      <c r="Q276" s="275">
        <f>Y276</f>
        <v>2.702</v>
      </c>
      <c r="R276" s="275"/>
      <c r="S276" s="275"/>
      <c r="T276" s="275"/>
      <c r="U276" s="275"/>
      <c r="V276" s="275"/>
      <c r="W276" s="275"/>
      <c r="X276" s="275">
        <v>0</v>
      </c>
      <c r="Y276" s="275">
        <v>2.702</v>
      </c>
      <c r="Z276" s="275">
        <f>AD276</f>
        <v>2.702</v>
      </c>
      <c r="AA276" s="275"/>
      <c r="AB276" s="275"/>
      <c r="AC276" s="275"/>
      <c r="AD276" s="275">
        <v>2.702</v>
      </c>
      <c r="AE276" s="275"/>
      <c r="AF276" s="275"/>
      <c r="AG276" s="275"/>
      <c r="AH276" s="275"/>
      <c r="AI276" s="275"/>
      <c r="AJ276" s="275"/>
      <c r="AK276" s="275"/>
      <c r="AL276" s="275"/>
      <c r="AM276" s="275"/>
      <c r="AN276" s="275"/>
      <c r="AO276" s="509"/>
    </row>
    <row r="277" spans="1:41" ht="18" customHeight="1">
      <c r="A277" s="877"/>
      <c r="B277" s="42" t="s">
        <v>16</v>
      </c>
      <c r="C277" s="756"/>
      <c r="D277" s="756"/>
      <c r="E277" s="143"/>
      <c r="F277" s="757"/>
      <c r="G277" s="349"/>
      <c r="H277" s="350"/>
      <c r="I277" s="742"/>
      <c r="J277" s="750"/>
      <c r="K277" s="4"/>
      <c r="L277" s="47">
        <v>810.75</v>
      </c>
      <c r="M277" s="4"/>
      <c r="N277" s="4"/>
      <c r="O277" s="4"/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  <c r="AJ277" s="4">
        <v>0</v>
      </c>
      <c r="AK277" s="4">
        <v>0</v>
      </c>
      <c r="AL277" s="4">
        <v>0</v>
      </c>
      <c r="AM277" s="4">
        <v>0</v>
      </c>
      <c r="AN277" s="4">
        <v>0</v>
      </c>
      <c r="AO277" s="743"/>
    </row>
    <row r="278" spans="1:41" ht="54" customHeight="1">
      <c r="A278" s="833" t="s">
        <v>141</v>
      </c>
      <c r="B278" s="889" t="s">
        <v>214</v>
      </c>
      <c r="C278" s="890"/>
      <c r="D278" s="890"/>
      <c r="E278" s="890"/>
      <c r="F278" s="890"/>
      <c r="G278" s="890"/>
      <c r="H278" s="891"/>
      <c r="I278" s="15" t="s">
        <v>19</v>
      </c>
      <c r="J278" s="283">
        <v>0</v>
      </c>
      <c r="K278" s="283">
        <v>0</v>
      </c>
      <c r="L278" s="22">
        <f t="shared" ref="L278" si="455">M278+N278+O278</f>
        <v>0</v>
      </c>
      <c r="M278" s="22">
        <v>0</v>
      </c>
      <c r="N278" s="22">
        <v>0</v>
      </c>
      <c r="O278" s="22">
        <v>0</v>
      </c>
      <c r="P278" s="22">
        <v>0</v>
      </c>
      <c r="Q278" s="22">
        <v>0</v>
      </c>
      <c r="R278" s="22">
        <v>0</v>
      </c>
      <c r="S278" s="22">
        <v>0</v>
      </c>
      <c r="T278" s="22">
        <v>0</v>
      </c>
      <c r="U278" s="22">
        <v>0</v>
      </c>
      <c r="V278" s="22">
        <v>0</v>
      </c>
      <c r="W278" s="22">
        <v>0</v>
      </c>
      <c r="X278" s="22">
        <v>0</v>
      </c>
      <c r="Y278" s="22">
        <v>0</v>
      </c>
      <c r="Z278" s="22">
        <v>0</v>
      </c>
      <c r="AA278" s="22">
        <v>0</v>
      </c>
      <c r="AB278" s="22">
        <v>0</v>
      </c>
      <c r="AC278" s="22">
        <v>0</v>
      </c>
      <c r="AD278" s="22">
        <v>0</v>
      </c>
      <c r="AE278" s="22">
        <v>0</v>
      </c>
      <c r="AF278" s="22">
        <v>0</v>
      </c>
      <c r="AG278" s="22">
        <v>0</v>
      </c>
      <c r="AH278" s="22">
        <v>0</v>
      </c>
      <c r="AI278" s="22">
        <v>0</v>
      </c>
      <c r="AJ278" s="22">
        <v>0</v>
      </c>
      <c r="AK278" s="22">
        <v>0</v>
      </c>
      <c r="AL278" s="22">
        <v>0</v>
      </c>
      <c r="AM278" s="22">
        <v>0</v>
      </c>
      <c r="AN278" s="22">
        <v>0</v>
      </c>
      <c r="AO278" s="404"/>
    </row>
    <row r="279" spans="1:41" ht="39.75" customHeight="1">
      <c r="A279" s="834"/>
      <c r="B279" s="892"/>
      <c r="C279" s="893"/>
      <c r="D279" s="893"/>
      <c r="E279" s="893"/>
      <c r="F279" s="893"/>
      <c r="G279" s="893"/>
      <c r="H279" s="894"/>
      <c r="I279" s="15" t="s">
        <v>20</v>
      </c>
      <c r="J279" s="283" t="e">
        <f>K279+L279</f>
        <v>#REF!</v>
      </c>
      <c r="K279" s="283" t="e">
        <f>#REF!+K327+K354+K355</f>
        <v>#REF!</v>
      </c>
      <c r="L279" s="47">
        <f>L282+L285++L290+L294+L304+L306+L310+L315+L322+L327</f>
        <v>308590.09000000003</v>
      </c>
      <c r="M279" s="47">
        <f>M282+M285++M290+M294+M304+M306+M310+M315+M322+M327</f>
        <v>31936.59</v>
      </c>
      <c r="N279" s="47">
        <f>N282+N285++N290+N294+N304+N306+N310+N315+N322+N327</f>
        <v>80827.610000000015</v>
      </c>
      <c r="O279" s="47">
        <f>O282+O285++O290+O294+O304+O306+O310+O315+O322+O327</f>
        <v>46251.09</v>
      </c>
      <c r="P279" s="47">
        <f>P282+P285++P290+P294+P304+P306+P310+P315+P322+P327</f>
        <v>45117.23</v>
      </c>
      <c r="Q279" s="22">
        <f>Q282+Q285++Q290+Q294+Q304+Q306+Q310+Q315+Q322+Q327+Q301</f>
        <v>5917.2110000000002</v>
      </c>
      <c r="R279" s="22">
        <f t="shared" ref="R279:AI279" si="456">R282+R285++R290+R294+R304+R306+R310+R315+R322+R327+R301</f>
        <v>941.01400000000001</v>
      </c>
      <c r="S279" s="22">
        <f t="shared" si="456"/>
        <v>941.01400000000001</v>
      </c>
      <c r="T279" s="22">
        <f t="shared" si="456"/>
        <v>3400.56</v>
      </c>
      <c r="U279" s="22">
        <f t="shared" si="456"/>
        <v>3432.9600000000005</v>
      </c>
      <c r="V279" s="22">
        <f t="shared" si="456"/>
        <v>1315.81</v>
      </c>
      <c r="W279" s="22">
        <f t="shared" si="456"/>
        <v>1315.81</v>
      </c>
      <c r="X279" s="22">
        <f t="shared" si="456"/>
        <v>0</v>
      </c>
      <c r="Y279" s="22">
        <f t="shared" si="456"/>
        <v>227.42700000000002</v>
      </c>
      <c r="Z279" s="22">
        <f t="shared" si="456"/>
        <v>4094.819</v>
      </c>
      <c r="AA279" s="22">
        <f t="shared" si="456"/>
        <v>0</v>
      </c>
      <c r="AB279" s="22">
        <f t="shared" si="456"/>
        <v>2519.1820000000002</v>
      </c>
      <c r="AC279" s="22">
        <f t="shared" si="456"/>
        <v>1348.21</v>
      </c>
      <c r="AD279" s="22">
        <f t="shared" si="456"/>
        <v>227.42700000000002</v>
      </c>
      <c r="AE279" s="22">
        <f t="shared" si="456"/>
        <v>0</v>
      </c>
      <c r="AF279" s="22">
        <f t="shared" si="456"/>
        <v>0</v>
      </c>
      <c r="AG279" s="22">
        <f t="shared" si="456"/>
        <v>0</v>
      </c>
      <c r="AH279" s="22">
        <f t="shared" si="456"/>
        <v>0</v>
      </c>
      <c r="AI279" s="22">
        <f t="shared" si="456"/>
        <v>0</v>
      </c>
      <c r="AJ279" s="22">
        <f>AJ282+AJ285++AJ290+AJ294+AJ304+AJ306+AJ310+AJ315+AJ322+AJ327</f>
        <v>7214.1680000000006</v>
      </c>
      <c r="AK279" s="22">
        <f>AK282+AK285++AK290+AK294+AK304+AK306+AK310+AK315+AK322+AK327</f>
        <v>7214.1680000000006</v>
      </c>
      <c r="AL279" s="22">
        <f>AL282+AL285++AL290+AL294+AL304+AL306+AL310+AL315+AL322+AL327</f>
        <v>69.930000000000007</v>
      </c>
      <c r="AM279" s="22">
        <f>AM282+AM285++AM290+AM293+AM304+AM306+AM310+AM315+AM322+AM326</f>
        <v>0</v>
      </c>
      <c r="AN279" s="22">
        <f>AN282+AN285++AN290+AN293+AN304+AN306+AN310+AN315+AN322+AN326</f>
        <v>0</v>
      </c>
      <c r="AO279" s="404"/>
    </row>
    <row r="280" spans="1:41" ht="26.25" customHeight="1">
      <c r="A280" s="834"/>
      <c r="B280" s="892"/>
      <c r="C280" s="893"/>
      <c r="D280" s="893"/>
      <c r="E280" s="893"/>
      <c r="F280" s="893"/>
      <c r="G280" s="893"/>
      <c r="H280" s="894"/>
      <c r="I280" s="15" t="s">
        <v>10</v>
      </c>
      <c r="J280" s="283">
        <v>0</v>
      </c>
      <c r="K280" s="283">
        <v>0</v>
      </c>
      <c r="L280" s="22">
        <f t="shared" ref="L280:AL280" si="457">L298+L299+L331</f>
        <v>297742.64</v>
      </c>
      <c r="M280" s="22">
        <f t="shared" si="457"/>
        <v>295242.64</v>
      </c>
      <c r="N280" s="22">
        <f t="shared" si="457"/>
        <v>295242.64</v>
      </c>
      <c r="O280" s="22">
        <f t="shared" si="457"/>
        <v>295242.64</v>
      </c>
      <c r="P280" s="22">
        <f t="shared" si="457"/>
        <v>0</v>
      </c>
      <c r="Q280" s="22">
        <f t="shared" si="457"/>
        <v>222424.02035000001</v>
      </c>
      <c r="R280" s="22">
        <f t="shared" si="457"/>
        <v>21023.332999999999</v>
      </c>
      <c r="S280" s="22">
        <f t="shared" si="457"/>
        <v>21023.332999999999</v>
      </c>
      <c r="T280" s="22">
        <f t="shared" si="457"/>
        <v>32329.882999999998</v>
      </c>
      <c r="U280" s="22">
        <f t="shared" si="457"/>
        <v>32329.882999999998</v>
      </c>
      <c r="V280" s="22">
        <f t="shared" si="457"/>
        <v>110886.67535</v>
      </c>
      <c r="W280" s="22">
        <f t="shared" si="457"/>
        <v>110886.67535</v>
      </c>
      <c r="X280" s="22">
        <f t="shared" si="457"/>
        <v>0</v>
      </c>
      <c r="Y280" s="22">
        <f t="shared" si="457"/>
        <v>58184.128999999994</v>
      </c>
      <c r="Z280" s="22">
        <f t="shared" si="457"/>
        <v>204696.80111999999</v>
      </c>
      <c r="AA280" s="22">
        <f t="shared" si="457"/>
        <v>21023.332999999999</v>
      </c>
      <c r="AB280" s="22">
        <f t="shared" si="457"/>
        <v>38505.235000000001</v>
      </c>
      <c r="AC280" s="22">
        <f t="shared" si="457"/>
        <v>100291.97612000001</v>
      </c>
      <c r="AD280" s="22">
        <f t="shared" si="457"/>
        <v>44876.256999999998</v>
      </c>
      <c r="AE280" s="22">
        <f t="shared" si="457"/>
        <v>0</v>
      </c>
      <c r="AF280" s="22">
        <f t="shared" si="457"/>
        <v>0</v>
      </c>
      <c r="AG280" s="22">
        <f t="shared" si="457"/>
        <v>0</v>
      </c>
      <c r="AH280" s="22">
        <f t="shared" si="457"/>
        <v>0</v>
      </c>
      <c r="AI280" s="22">
        <f t="shared" si="457"/>
        <v>0</v>
      </c>
      <c r="AJ280" s="22">
        <f t="shared" si="457"/>
        <v>0</v>
      </c>
      <c r="AK280" s="22">
        <f t="shared" si="457"/>
        <v>0</v>
      </c>
      <c r="AL280" s="22">
        <f t="shared" si="457"/>
        <v>0</v>
      </c>
      <c r="AM280" s="22">
        <v>0</v>
      </c>
      <c r="AN280" s="22">
        <v>0</v>
      </c>
      <c r="AO280" s="404"/>
    </row>
    <row r="281" spans="1:41" ht="25.5">
      <c r="A281" s="835"/>
      <c r="B281" s="895"/>
      <c r="C281" s="896"/>
      <c r="D281" s="896"/>
      <c r="E281" s="896"/>
      <c r="F281" s="896"/>
      <c r="G281" s="896"/>
      <c r="H281" s="897"/>
      <c r="I281" s="15" t="s">
        <v>9</v>
      </c>
      <c r="J281" s="283">
        <v>0</v>
      </c>
      <c r="K281" s="283">
        <v>0</v>
      </c>
      <c r="L281" s="22">
        <f t="shared" ref="L281" si="458">M281+N281+O281</f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  <c r="S281" s="22">
        <v>0</v>
      </c>
      <c r="T281" s="22">
        <v>0</v>
      </c>
      <c r="U281" s="22">
        <v>0</v>
      </c>
      <c r="V281" s="22">
        <v>0</v>
      </c>
      <c r="W281" s="22">
        <v>0</v>
      </c>
      <c r="X281" s="22">
        <v>0</v>
      </c>
      <c r="Y281" s="22">
        <v>0</v>
      </c>
      <c r="Z281" s="22">
        <v>0</v>
      </c>
      <c r="AA281" s="22">
        <v>0</v>
      </c>
      <c r="AB281" s="22">
        <v>0</v>
      </c>
      <c r="AC281" s="22">
        <v>0</v>
      </c>
      <c r="AD281" s="22">
        <v>0</v>
      </c>
      <c r="AE281" s="22">
        <v>0</v>
      </c>
      <c r="AF281" s="22">
        <v>0</v>
      </c>
      <c r="AG281" s="22">
        <v>0</v>
      </c>
      <c r="AH281" s="22">
        <v>0</v>
      </c>
      <c r="AI281" s="22">
        <v>1</v>
      </c>
      <c r="AJ281" s="22">
        <v>0</v>
      </c>
      <c r="AK281" s="22">
        <v>0</v>
      </c>
      <c r="AL281" s="22">
        <v>0</v>
      </c>
      <c r="AM281" s="22">
        <v>0</v>
      </c>
      <c r="AN281" s="22">
        <v>0</v>
      </c>
      <c r="AO281" s="404"/>
    </row>
    <row r="282" spans="1:41" ht="55.5" customHeight="1">
      <c r="A282" s="825" t="s">
        <v>413</v>
      </c>
      <c r="B282" s="80" t="s">
        <v>89</v>
      </c>
      <c r="C282" s="143"/>
      <c r="D282" s="143"/>
      <c r="E282" s="143"/>
      <c r="F282" s="143"/>
      <c r="G282" s="2"/>
      <c r="H282" s="2"/>
      <c r="I282" s="837" t="s">
        <v>20</v>
      </c>
      <c r="J282" s="285"/>
      <c r="K282" s="3"/>
      <c r="L282" s="82">
        <f>L283</f>
        <v>5611.06</v>
      </c>
      <c r="M282" s="82">
        <f>M283</f>
        <v>0</v>
      </c>
      <c r="N282" s="82">
        <f t="shared" ref="N282:AN283" si="459">N283</f>
        <v>5037.4399999999996</v>
      </c>
      <c r="O282" s="82">
        <f t="shared" si="459"/>
        <v>0</v>
      </c>
      <c r="P282" s="82">
        <f t="shared" si="459"/>
        <v>157.59</v>
      </c>
      <c r="Q282" s="82">
        <f t="shared" si="459"/>
        <v>1315.81</v>
      </c>
      <c r="R282" s="82">
        <f t="shared" si="459"/>
        <v>0</v>
      </c>
      <c r="S282" s="82">
        <f t="shared" si="459"/>
        <v>0</v>
      </c>
      <c r="T282" s="82">
        <f t="shared" si="459"/>
        <v>0</v>
      </c>
      <c r="U282" s="82">
        <f t="shared" si="459"/>
        <v>0</v>
      </c>
      <c r="V282" s="82">
        <f t="shared" si="459"/>
        <v>1315.81</v>
      </c>
      <c r="W282" s="82">
        <f t="shared" si="459"/>
        <v>1315.81</v>
      </c>
      <c r="X282" s="82">
        <f t="shared" si="459"/>
        <v>0</v>
      </c>
      <c r="Y282" s="82">
        <f t="shared" si="459"/>
        <v>0</v>
      </c>
      <c r="Z282" s="82">
        <f t="shared" si="459"/>
        <v>1315.81</v>
      </c>
      <c r="AA282" s="82">
        <f t="shared" si="459"/>
        <v>0</v>
      </c>
      <c r="AB282" s="82">
        <f t="shared" si="459"/>
        <v>0</v>
      </c>
      <c r="AC282" s="82">
        <f t="shared" si="459"/>
        <v>1315.81</v>
      </c>
      <c r="AD282" s="82">
        <f t="shared" si="459"/>
        <v>0</v>
      </c>
      <c r="AE282" s="82">
        <f t="shared" si="459"/>
        <v>0</v>
      </c>
      <c r="AF282" s="82">
        <f t="shared" si="459"/>
        <v>0</v>
      </c>
      <c r="AG282" s="82">
        <f t="shared" si="459"/>
        <v>0</v>
      </c>
      <c r="AH282" s="82">
        <f t="shared" si="459"/>
        <v>0</v>
      </c>
      <c r="AI282" s="82">
        <f t="shared" si="459"/>
        <v>0</v>
      </c>
      <c r="AJ282" s="82">
        <f t="shared" si="459"/>
        <v>0</v>
      </c>
      <c r="AK282" s="82">
        <f t="shared" si="459"/>
        <v>0</v>
      </c>
      <c r="AL282" s="82">
        <f t="shared" si="459"/>
        <v>0</v>
      </c>
      <c r="AM282" s="82">
        <f t="shared" si="459"/>
        <v>0</v>
      </c>
      <c r="AN282" s="82">
        <f t="shared" si="459"/>
        <v>0</v>
      </c>
      <c r="AO282" s="411"/>
    </row>
    <row r="283" spans="1:41" ht="15.75" customHeight="1">
      <c r="A283" s="836"/>
      <c r="B283" s="47" t="s">
        <v>15</v>
      </c>
      <c r="C283" s="143"/>
      <c r="D283" s="143"/>
      <c r="E283" s="143"/>
      <c r="F283" s="143"/>
      <c r="G283" s="320"/>
      <c r="H283" s="321"/>
      <c r="I283" s="840"/>
      <c r="J283" s="285"/>
      <c r="K283" s="325"/>
      <c r="L283" s="47">
        <v>5611.06</v>
      </c>
      <c r="M283" s="50">
        <v>0</v>
      </c>
      <c r="N283" s="50">
        <v>5037.4399999999996</v>
      </c>
      <c r="O283" s="50">
        <v>0</v>
      </c>
      <c r="P283" s="50">
        <v>157.59</v>
      </c>
      <c r="Q283" s="47">
        <f>Q284</f>
        <v>1315.81</v>
      </c>
      <c r="R283" s="50">
        <f t="shared" si="459"/>
        <v>0</v>
      </c>
      <c r="S283" s="50">
        <f t="shared" si="459"/>
        <v>0</v>
      </c>
      <c r="T283" s="50">
        <f t="shared" si="459"/>
        <v>0</v>
      </c>
      <c r="U283" s="50">
        <f t="shared" si="459"/>
        <v>0</v>
      </c>
      <c r="V283" s="47">
        <f t="shared" si="459"/>
        <v>1315.81</v>
      </c>
      <c r="W283" s="47">
        <f t="shared" si="459"/>
        <v>1315.81</v>
      </c>
      <c r="X283" s="50">
        <f t="shared" si="459"/>
        <v>0</v>
      </c>
      <c r="Y283" s="50">
        <f t="shared" si="459"/>
        <v>0</v>
      </c>
      <c r="Z283" s="47">
        <f t="shared" si="459"/>
        <v>1315.81</v>
      </c>
      <c r="AA283" s="50">
        <f t="shared" si="459"/>
        <v>0</v>
      </c>
      <c r="AB283" s="50">
        <f t="shared" si="459"/>
        <v>0</v>
      </c>
      <c r="AC283" s="47">
        <f t="shared" si="459"/>
        <v>1315.81</v>
      </c>
      <c r="AD283" s="50">
        <f t="shared" si="459"/>
        <v>0</v>
      </c>
      <c r="AE283" s="50">
        <f t="shared" si="459"/>
        <v>0</v>
      </c>
      <c r="AF283" s="50">
        <f t="shared" si="459"/>
        <v>0</v>
      </c>
      <c r="AG283" s="50">
        <f t="shared" si="459"/>
        <v>0</v>
      </c>
      <c r="AH283" s="50">
        <f t="shared" si="459"/>
        <v>0</v>
      </c>
      <c r="AI283" s="50">
        <v>0</v>
      </c>
      <c r="AJ283" s="50">
        <v>0</v>
      </c>
      <c r="AK283" s="50">
        <v>0</v>
      </c>
      <c r="AL283" s="50">
        <v>0</v>
      </c>
      <c r="AM283" s="50">
        <v>0</v>
      </c>
      <c r="AN283" s="50">
        <v>0</v>
      </c>
      <c r="AO283" s="420"/>
    </row>
    <row r="284" spans="1:41" s="100" customFormat="1" ht="15.75" hidden="1" customHeight="1">
      <c r="A284" s="694"/>
      <c r="B284" s="99" t="s">
        <v>353</v>
      </c>
      <c r="C284" s="377"/>
      <c r="D284" s="377"/>
      <c r="E284" s="377"/>
      <c r="F284" s="377"/>
      <c r="G284" s="371"/>
      <c r="H284" s="372"/>
      <c r="I284" s="378"/>
      <c r="J284" s="379"/>
      <c r="K284" s="380"/>
      <c r="L284" s="99"/>
      <c r="M284" s="693"/>
      <c r="N284" s="693"/>
      <c r="O284" s="693"/>
      <c r="P284" s="693"/>
      <c r="Q284" s="693">
        <f>W284</f>
        <v>1315.81</v>
      </c>
      <c r="R284" s="693"/>
      <c r="S284" s="693"/>
      <c r="T284" s="693"/>
      <c r="U284" s="693"/>
      <c r="V284" s="693">
        <f>W284</f>
        <v>1315.81</v>
      </c>
      <c r="W284" s="693">
        <v>1315.81</v>
      </c>
      <c r="X284" s="693"/>
      <c r="Y284" s="693"/>
      <c r="Z284" s="693">
        <f>AC284</f>
        <v>1315.81</v>
      </c>
      <c r="AA284" s="693"/>
      <c r="AB284" s="693"/>
      <c r="AC284" s="693">
        <v>1315.81</v>
      </c>
      <c r="AD284" s="693"/>
      <c r="AE284" s="693"/>
      <c r="AF284" s="693"/>
      <c r="AG284" s="693"/>
      <c r="AH284" s="693"/>
      <c r="AI284" s="268"/>
      <c r="AJ284" s="268"/>
      <c r="AK284" s="268"/>
      <c r="AL284" s="268"/>
      <c r="AM284" s="268"/>
      <c r="AN284" s="268"/>
      <c r="AO284" s="421"/>
    </row>
    <row r="285" spans="1:41" ht="81" customHeight="1">
      <c r="A285" s="825" t="s">
        <v>414</v>
      </c>
      <c r="B285" s="80" t="s">
        <v>192</v>
      </c>
      <c r="C285" s="143"/>
      <c r="D285" s="143"/>
      <c r="E285" s="143"/>
      <c r="F285" s="143"/>
      <c r="G285" s="2"/>
      <c r="H285" s="2"/>
      <c r="I285" s="837" t="s">
        <v>20</v>
      </c>
      <c r="J285" s="285"/>
      <c r="K285" s="3"/>
      <c r="L285" s="82">
        <f>L286+L289</f>
        <v>107214.48999999999</v>
      </c>
      <c r="M285" s="82">
        <f t="shared" ref="M285:P285" si="460">M286+M289</f>
        <v>1825.11</v>
      </c>
      <c r="N285" s="82">
        <f t="shared" si="460"/>
        <v>57476.200000000004</v>
      </c>
      <c r="O285" s="82">
        <f t="shared" si="460"/>
        <v>0</v>
      </c>
      <c r="P285" s="82">
        <f t="shared" si="460"/>
        <v>30284.52</v>
      </c>
      <c r="Q285" s="82">
        <f t="shared" ref="Q285:AN285" si="461">Q286+Q289</f>
        <v>0</v>
      </c>
      <c r="R285" s="82">
        <f t="shared" si="461"/>
        <v>0</v>
      </c>
      <c r="S285" s="82">
        <f t="shared" si="461"/>
        <v>0</v>
      </c>
      <c r="T285" s="82">
        <f t="shared" si="461"/>
        <v>0</v>
      </c>
      <c r="U285" s="82">
        <f t="shared" si="461"/>
        <v>0</v>
      </c>
      <c r="V285" s="82">
        <f t="shared" si="461"/>
        <v>0</v>
      </c>
      <c r="W285" s="82">
        <f t="shared" si="461"/>
        <v>0</v>
      </c>
      <c r="X285" s="82">
        <f t="shared" si="461"/>
        <v>0</v>
      </c>
      <c r="Y285" s="82">
        <f t="shared" si="461"/>
        <v>0</v>
      </c>
      <c r="Z285" s="82">
        <f>Z286+Z289</f>
        <v>0</v>
      </c>
      <c r="AA285" s="82">
        <f t="shared" si="461"/>
        <v>0</v>
      </c>
      <c r="AB285" s="82">
        <f t="shared" ref="AB285:AC285" si="462">AB286+AB289</f>
        <v>0</v>
      </c>
      <c r="AC285" s="82">
        <f t="shared" si="462"/>
        <v>0</v>
      </c>
      <c r="AD285" s="82">
        <f t="shared" ref="AD285" si="463">AD286+AD289</f>
        <v>0</v>
      </c>
      <c r="AE285" s="82">
        <f t="shared" si="461"/>
        <v>0</v>
      </c>
      <c r="AF285" s="82">
        <f t="shared" si="461"/>
        <v>0</v>
      </c>
      <c r="AG285" s="82">
        <f t="shared" si="461"/>
        <v>0</v>
      </c>
      <c r="AH285" s="82">
        <f t="shared" si="461"/>
        <v>0</v>
      </c>
      <c r="AI285" s="82">
        <f t="shared" ref="AI285" si="464">AI286+AI289</f>
        <v>0</v>
      </c>
      <c r="AJ285" s="82">
        <f t="shared" si="461"/>
        <v>0</v>
      </c>
      <c r="AK285" s="82">
        <f t="shared" si="461"/>
        <v>0</v>
      </c>
      <c r="AL285" s="82">
        <f t="shared" si="461"/>
        <v>0</v>
      </c>
      <c r="AM285" s="82">
        <f t="shared" si="461"/>
        <v>0</v>
      </c>
      <c r="AN285" s="82">
        <f t="shared" si="461"/>
        <v>0</v>
      </c>
      <c r="AO285" s="411" t="s">
        <v>264</v>
      </c>
    </row>
    <row r="286" spans="1:41" ht="15.75" customHeight="1">
      <c r="A286" s="902"/>
      <c r="B286" s="47" t="s">
        <v>15</v>
      </c>
      <c r="C286" s="143"/>
      <c r="D286" s="143"/>
      <c r="E286" s="143"/>
      <c r="F286" s="143"/>
      <c r="G286" s="320"/>
      <c r="H286" s="321"/>
      <c r="I286" s="838"/>
      <c r="J286" s="285"/>
      <c r="K286" s="325"/>
      <c r="L286" s="47">
        <v>2401.5100000000002</v>
      </c>
      <c r="M286" s="47">
        <v>1825.11</v>
      </c>
      <c r="N286" s="47">
        <v>576.4</v>
      </c>
      <c r="O286" s="47">
        <v>0</v>
      </c>
      <c r="P286" s="47">
        <v>0</v>
      </c>
      <c r="Q286" s="47">
        <f>SUM(Q287:Q288)</f>
        <v>0</v>
      </c>
      <c r="R286" s="50">
        <f>SUM(R287:R288)</f>
        <v>0</v>
      </c>
      <c r="S286" s="50">
        <f t="shared" ref="S286:Y286" si="465">SUM(S287:S288)</f>
        <v>0</v>
      </c>
      <c r="T286" s="50">
        <f t="shared" si="465"/>
        <v>0</v>
      </c>
      <c r="U286" s="50">
        <f t="shared" si="465"/>
        <v>0</v>
      </c>
      <c r="V286" s="50">
        <f t="shared" si="465"/>
        <v>0</v>
      </c>
      <c r="W286" s="50">
        <f t="shared" si="465"/>
        <v>0</v>
      </c>
      <c r="X286" s="460">
        <f t="shared" si="465"/>
        <v>0</v>
      </c>
      <c r="Y286" s="460">
        <f t="shared" si="465"/>
        <v>0</v>
      </c>
      <c r="Z286" s="460">
        <f>Z287+Z288</f>
        <v>0</v>
      </c>
      <c r="AA286" s="50">
        <f t="shared" ref="AA286:AC286" si="466">AA287+AA288</f>
        <v>0</v>
      </c>
      <c r="AB286" s="50">
        <f t="shared" si="466"/>
        <v>0</v>
      </c>
      <c r="AC286" s="50">
        <f t="shared" si="466"/>
        <v>0</v>
      </c>
      <c r="AD286" s="50">
        <f t="shared" ref="AD286" si="467">AD287</f>
        <v>0</v>
      </c>
      <c r="AE286" s="50">
        <v>0</v>
      </c>
      <c r="AF286" s="50">
        <v>0</v>
      </c>
      <c r="AG286" s="50">
        <v>0</v>
      </c>
      <c r="AH286" s="50">
        <v>0</v>
      </c>
      <c r="AI286" s="50">
        <v>0</v>
      </c>
      <c r="AJ286" s="50">
        <v>0</v>
      </c>
      <c r="AK286" s="50">
        <v>0</v>
      </c>
      <c r="AL286" s="50">
        <v>0</v>
      </c>
      <c r="AM286" s="50">
        <v>0</v>
      </c>
      <c r="AN286" s="50">
        <v>0</v>
      </c>
      <c r="AO286" s="420"/>
    </row>
    <row r="287" spans="1:41" s="100" customFormat="1" ht="15.75" hidden="1" customHeight="1">
      <c r="A287" s="902"/>
      <c r="B287" s="464" t="s">
        <v>275</v>
      </c>
      <c r="C287" s="377"/>
      <c r="D287" s="377"/>
      <c r="E287" s="377"/>
      <c r="F287" s="377"/>
      <c r="G287" s="465"/>
      <c r="H287" s="466"/>
      <c r="I287" s="838"/>
      <c r="J287" s="379"/>
      <c r="K287" s="380"/>
      <c r="L287" s="99"/>
      <c r="M287" s="275"/>
      <c r="N287" s="275"/>
      <c r="O287" s="275"/>
      <c r="P287" s="275">
        <f>Q287</f>
        <v>0</v>
      </c>
      <c r="Q287" s="467">
        <f>S287+U287+W287</f>
        <v>0</v>
      </c>
      <c r="R287" s="467"/>
      <c r="S287" s="467"/>
      <c r="T287" s="467">
        <v>0</v>
      </c>
      <c r="U287" s="467">
        <v>0</v>
      </c>
      <c r="V287" s="467"/>
      <c r="W287" s="467"/>
      <c r="X287" s="467"/>
      <c r="Y287" s="467"/>
      <c r="Z287" s="467">
        <f>SUM(AA287:AD287)</f>
        <v>0</v>
      </c>
      <c r="AA287" s="467"/>
      <c r="AB287" s="467">
        <v>0</v>
      </c>
      <c r="AC287" s="467">
        <v>0</v>
      </c>
      <c r="AD287" s="467"/>
      <c r="AE287" s="467"/>
      <c r="AF287" s="467"/>
      <c r="AG287" s="467"/>
      <c r="AH287" s="467"/>
      <c r="AI287" s="467"/>
      <c r="AJ287" s="467"/>
      <c r="AK287" s="467"/>
      <c r="AL287" s="467"/>
      <c r="AM287" s="467"/>
      <c r="AN287" s="467"/>
      <c r="AO287" s="468"/>
    </row>
    <row r="288" spans="1:41" s="100" customFormat="1" ht="15.75" hidden="1" customHeight="1">
      <c r="A288" s="902"/>
      <c r="B288" s="464" t="s">
        <v>433</v>
      </c>
      <c r="C288" s="377"/>
      <c r="D288" s="377"/>
      <c r="E288" s="377"/>
      <c r="F288" s="377"/>
      <c r="G288" s="465"/>
      <c r="H288" s="466"/>
      <c r="I288" s="838"/>
      <c r="J288" s="379"/>
      <c r="K288" s="380"/>
      <c r="L288" s="99"/>
      <c r="M288" s="275"/>
      <c r="N288" s="275"/>
      <c r="O288" s="275"/>
      <c r="P288" s="275"/>
      <c r="Q288" s="510">
        <f>S288+U288+W288+Y288</f>
        <v>0</v>
      </c>
      <c r="R288" s="510"/>
      <c r="S288" s="510"/>
      <c r="T288" s="510"/>
      <c r="U288" s="510"/>
      <c r="V288" s="510">
        <f>W288</f>
        <v>0</v>
      </c>
      <c r="W288" s="510">
        <v>0</v>
      </c>
      <c r="X288" s="510">
        <f>Y288</f>
        <v>0</v>
      </c>
      <c r="Y288" s="510">
        <v>0</v>
      </c>
      <c r="Z288" s="510">
        <f>SUM(AA288:AD288)</f>
        <v>0</v>
      </c>
      <c r="AA288" s="510"/>
      <c r="AB288" s="510"/>
      <c r="AC288" s="510">
        <v>0</v>
      </c>
      <c r="AD288" s="467"/>
      <c r="AE288" s="467"/>
      <c r="AF288" s="467"/>
      <c r="AG288" s="467"/>
      <c r="AH288" s="467"/>
      <c r="AI288" s="467"/>
      <c r="AJ288" s="467"/>
      <c r="AK288" s="467"/>
      <c r="AL288" s="467"/>
      <c r="AM288" s="467"/>
      <c r="AN288" s="467"/>
      <c r="AO288" s="468"/>
    </row>
    <row r="289" spans="1:41" ht="15.75" customHeight="1">
      <c r="A289" s="836"/>
      <c r="B289" s="348" t="s">
        <v>32</v>
      </c>
      <c r="C289" s="143"/>
      <c r="D289" s="143"/>
      <c r="E289" s="143"/>
      <c r="F289" s="143"/>
      <c r="G289" s="349"/>
      <c r="H289" s="350"/>
      <c r="I289" s="839"/>
      <c r="J289" s="285"/>
      <c r="K289" s="325"/>
      <c r="L289" s="47">
        <v>104812.98</v>
      </c>
      <c r="M289" s="351">
        <v>0</v>
      </c>
      <c r="N289" s="47">
        <v>56899.8</v>
      </c>
      <c r="O289" s="351">
        <v>0</v>
      </c>
      <c r="P289" s="47">
        <v>30284.52</v>
      </c>
      <c r="Q289" s="47">
        <v>0</v>
      </c>
      <c r="R289" s="351">
        <v>0</v>
      </c>
      <c r="S289" s="351">
        <v>0</v>
      </c>
      <c r="T289" s="351">
        <v>0</v>
      </c>
      <c r="U289" s="351">
        <v>0</v>
      </c>
      <c r="V289" s="351">
        <v>0</v>
      </c>
      <c r="W289" s="351">
        <v>0</v>
      </c>
      <c r="X289" s="351">
        <v>0</v>
      </c>
      <c r="Y289" s="351">
        <v>0</v>
      </c>
      <c r="Z289" s="351">
        <v>0</v>
      </c>
      <c r="AA289" s="351">
        <v>0</v>
      </c>
      <c r="AB289" s="351">
        <v>0</v>
      </c>
      <c r="AC289" s="351">
        <v>0</v>
      </c>
      <c r="AD289" s="351">
        <v>0</v>
      </c>
      <c r="AE289" s="351">
        <v>0</v>
      </c>
      <c r="AF289" s="351">
        <v>0</v>
      </c>
      <c r="AG289" s="351">
        <v>0</v>
      </c>
      <c r="AH289" s="351">
        <v>0</v>
      </c>
      <c r="AI289" s="351">
        <v>0</v>
      </c>
      <c r="AJ289" s="351">
        <v>0</v>
      </c>
      <c r="AK289" s="351">
        <v>0</v>
      </c>
      <c r="AL289" s="351">
        <v>0</v>
      </c>
      <c r="AM289" s="351">
        <v>0</v>
      </c>
      <c r="AN289" s="351">
        <v>0</v>
      </c>
      <c r="AO289" s="423"/>
    </row>
    <row r="290" spans="1:41" ht="79.5" customHeight="1">
      <c r="A290" s="828" t="s">
        <v>421</v>
      </c>
      <c r="B290" s="80" t="s">
        <v>215</v>
      </c>
      <c r="C290" s="34"/>
      <c r="D290" s="34"/>
      <c r="E290" s="34">
        <v>300</v>
      </c>
      <c r="F290" s="34"/>
      <c r="G290" s="39">
        <v>2019</v>
      </c>
      <c r="H290" s="39">
        <v>2019</v>
      </c>
      <c r="I290" s="830" t="s">
        <v>20</v>
      </c>
      <c r="J290" s="53">
        <f>K290+L290</f>
        <v>27019.38</v>
      </c>
      <c r="K290" s="3">
        <v>0</v>
      </c>
      <c r="L290" s="82">
        <f>L291</f>
        <v>27019.38</v>
      </c>
      <c r="M290" s="82">
        <f>M291</f>
        <v>27019.38</v>
      </c>
      <c r="N290" s="79">
        <v>0</v>
      </c>
      <c r="O290" s="79">
        <v>0</v>
      </c>
      <c r="P290" s="79">
        <f>P291</f>
        <v>0</v>
      </c>
      <c r="Q290" s="79">
        <f>Q291</f>
        <v>0</v>
      </c>
      <c r="R290" s="79">
        <f t="shared" ref="R290:AN291" si="468">R291</f>
        <v>0</v>
      </c>
      <c r="S290" s="79">
        <f t="shared" si="468"/>
        <v>0</v>
      </c>
      <c r="T290" s="79">
        <f t="shared" si="468"/>
        <v>0</v>
      </c>
      <c r="U290" s="79">
        <f t="shared" si="468"/>
        <v>0</v>
      </c>
      <c r="V290" s="79">
        <f t="shared" si="468"/>
        <v>0</v>
      </c>
      <c r="W290" s="79">
        <f t="shared" si="468"/>
        <v>0</v>
      </c>
      <c r="X290" s="79">
        <f t="shared" si="468"/>
        <v>0</v>
      </c>
      <c r="Y290" s="79">
        <f t="shared" si="468"/>
        <v>0</v>
      </c>
      <c r="Z290" s="79">
        <f t="shared" si="468"/>
        <v>0</v>
      </c>
      <c r="AA290" s="79">
        <f t="shared" si="468"/>
        <v>0</v>
      </c>
      <c r="AB290" s="79">
        <f t="shared" si="468"/>
        <v>0</v>
      </c>
      <c r="AC290" s="79">
        <f t="shared" si="468"/>
        <v>0</v>
      </c>
      <c r="AD290" s="79">
        <f t="shared" si="468"/>
        <v>0</v>
      </c>
      <c r="AE290" s="79">
        <f t="shared" si="468"/>
        <v>0</v>
      </c>
      <c r="AF290" s="79">
        <f t="shared" si="468"/>
        <v>0</v>
      </c>
      <c r="AG290" s="79">
        <f t="shared" si="468"/>
        <v>0</v>
      </c>
      <c r="AH290" s="79">
        <f t="shared" si="468"/>
        <v>0</v>
      </c>
      <c r="AI290" s="79">
        <f t="shared" si="468"/>
        <v>0</v>
      </c>
      <c r="AJ290" s="79">
        <f t="shared" si="468"/>
        <v>0</v>
      </c>
      <c r="AK290" s="79">
        <f t="shared" si="468"/>
        <v>0</v>
      </c>
      <c r="AL290" s="79">
        <f t="shared" si="468"/>
        <v>0</v>
      </c>
      <c r="AM290" s="79">
        <f t="shared" si="468"/>
        <v>0</v>
      </c>
      <c r="AN290" s="79">
        <f t="shared" si="468"/>
        <v>0</v>
      </c>
      <c r="AO290" s="424" t="s">
        <v>282</v>
      </c>
    </row>
    <row r="291" spans="1:41" s="292" customFormat="1" ht="19.5" customHeight="1">
      <c r="A291" s="829"/>
      <c r="B291" s="1" t="s">
        <v>216</v>
      </c>
      <c r="C291" s="289"/>
      <c r="D291" s="289"/>
      <c r="E291" s="289"/>
      <c r="F291" s="289"/>
      <c r="G291" s="289"/>
      <c r="H291" s="289"/>
      <c r="I291" s="831"/>
      <c r="J291" s="6"/>
      <c r="K291" s="47"/>
      <c r="L291" s="47">
        <v>27019.38</v>
      </c>
      <c r="M291" s="47">
        <v>27019.38</v>
      </c>
      <c r="N291" s="47">
        <v>0</v>
      </c>
      <c r="O291" s="47">
        <v>0</v>
      </c>
      <c r="P291" s="4">
        <v>0</v>
      </c>
      <c r="Q291" s="4">
        <f>Q292</f>
        <v>0</v>
      </c>
      <c r="R291" s="4">
        <f t="shared" si="468"/>
        <v>0</v>
      </c>
      <c r="S291" s="4">
        <f t="shared" si="468"/>
        <v>0</v>
      </c>
      <c r="T291" s="4">
        <f t="shared" si="468"/>
        <v>0</v>
      </c>
      <c r="U291" s="4">
        <f t="shared" si="468"/>
        <v>0</v>
      </c>
      <c r="V291" s="4">
        <f t="shared" si="468"/>
        <v>0</v>
      </c>
      <c r="W291" s="4">
        <f t="shared" si="468"/>
        <v>0</v>
      </c>
      <c r="X291" s="4">
        <v>0</v>
      </c>
      <c r="Y291" s="4">
        <f>SUM(Y292:Y292)</f>
        <v>0</v>
      </c>
      <c r="Z291" s="4">
        <f t="shared" si="468"/>
        <v>0</v>
      </c>
      <c r="AA291" s="4">
        <f t="shared" si="468"/>
        <v>0</v>
      </c>
      <c r="AB291" s="4">
        <f t="shared" si="468"/>
        <v>0</v>
      </c>
      <c r="AC291" s="4">
        <f t="shared" si="468"/>
        <v>0</v>
      </c>
      <c r="AD291" s="4">
        <f>SUM(AD292:AD292)</f>
        <v>0</v>
      </c>
      <c r="AE291" s="4">
        <f>AE292</f>
        <v>0</v>
      </c>
      <c r="AF291" s="4">
        <f t="shared" si="468"/>
        <v>0</v>
      </c>
      <c r="AG291" s="4">
        <f t="shared" si="468"/>
        <v>0</v>
      </c>
      <c r="AH291" s="4">
        <f t="shared" si="468"/>
        <v>0</v>
      </c>
      <c r="AI291" s="4">
        <f t="shared" si="468"/>
        <v>0</v>
      </c>
      <c r="AJ291" s="4">
        <f t="shared" si="468"/>
        <v>0</v>
      </c>
      <c r="AK291" s="4">
        <f t="shared" si="468"/>
        <v>0</v>
      </c>
      <c r="AL291" s="4">
        <f t="shared" si="468"/>
        <v>0</v>
      </c>
      <c r="AM291" s="4">
        <f t="shared" si="468"/>
        <v>0</v>
      </c>
      <c r="AN291" s="4">
        <f t="shared" si="468"/>
        <v>0</v>
      </c>
      <c r="AO291" s="425"/>
    </row>
    <row r="292" spans="1:41" s="273" customFormat="1" ht="25.5" hidden="1">
      <c r="A292" s="274"/>
      <c r="B292" s="105" t="s">
        <v>261</v>
      </c>
      <c r="C292" s="107"/>
      <c r="D292" s="107"/>
      <c r="E292" s="107"/>
      <c r="F292" s="107"/>
      <c r="G292" s="107"/>
      <c r="H292" s="107"/>
      <c r="I292" s="105"/>
      <c r="J292" s="109"/>
      <c r="K292" s="99"/>
      <c r="L292" s="99"/>
      <c r="M292" s="275"/>
      <c r="N292" s="275"/>
      <c r="O292" s="275"/>
      <c r="P292" s="275">
        <f>Q292</f>
        <v>0</v>
      </c>
      <c r="Q292" s="275">
        <f>S292+U292+W292</f>
        <v>0</v>
      </c>
      <c r="R292" s="275">
        <f>S292</f>
        <v>0</v>
      </c>
      <c r="S292" s="275">
        <v>0</v>
      </c>
      <c r="T292" s="275">
        <v>0</v>
      </c>
      <c r="U292" s="275">
        <v>0</v>
      </c>
      <c r="V292" s="275">
        <f>W292</f>
        <v>0</v>
      </c>
      <c r="W292" s="275">
        <v>0</v>
      </c>
      <c r="X292" s="275">
        <v>0</v>
      </c>
      <c r="Y292" s="275">
        <v>0</v>
      </c>
      <c r="Z292" s="275">
        <f>SUM(AA292:AB292)</f>
        <v>0</v>
      </c>
      <c r="AA292" s="275">
        <v>0</v>
      </c>
      <c r="AB292" s="275">
        <v>0</v>
      </c>
      <c r="AC292" s="275">
        <v>0</v>
      </c>
      <c r="AD292" s="275"/>
      <c r="AE292" s="275">
        <f>SUM(AF292:AH292)</f>
        <v>0</v>
      </c>
      <c r="AF292" s="275"/>
      <c r="AG292" s="275">
        <v>0</v>
      </c>
      <c r="AH292" s="275">
        <v>0</v>
      </c>
      <c r="AI292" s="275"/>
      <c r="AJ292" s="99"/>
      <c r="AK292" s="99"/>
      <c r="AL292" s="99"/>
      <c r="AM292" s="275"/>
      <c r="AN292" s="275"/>
      <c r="AO292" s="426"/>
    </row>
    <row r="293" spans="1:41" ht="91.5" customHeight="1">
      <c r="A293" s="14" t="s">
        <v>422</v>
      </c>
      <c r="B293" s="80" t="s">
        <v>366</v>
      </c>
      <c r="C293" s="354">
        <v>63</v>
      </c>
      <c r="D293" s="354">
        <v>250</v>
      </c>
      <c r="E293" s="354">
        <v>250</v>
      </c>
      <c r="F293" s="354"/>
      <c r="G293" s="355">
        <v>2019</v>
      </c>
      <c r="H293" s="355">
        <v>2019</v>
      </c>
      <c r="I293" s="1"/>
      <c r="J293" s="356">
        <f>K293+L293</f>
        <v>36413.279999999999</v>
      </c>
      <c r="K293" s="357">
        <v>0</v>
      </c>
      <c r="L293" s="82">
        <f>L294+L298+L299</f>
        <v>36413.279999999999</v>
      </c>
      <c r="M293" s="82">
        <f>M294+M298+M299</f>
        <v>31392.57</v>
      </c>
      <c r="N293" s="82">
        <f>N294+N298+N299</f>
        <v>31392.57</v>
      </c>
      <c r="O293" s="82">
        <f>O294+O298+O299</f>
        <v>31392.57</v>
      </c>
      <c r="P293" s="82">
        <f>P294+P298+P299</f>
        <v>2520.71</v>
      </c>
      <c r="Q293" s="82">
        <f>Q294+Q299+Q301</f>
        <v>50008.887000000002</v>
      </c>
      <c r="R293" s="82">
        <f t="shared" ref="R293:AI293" si="469">R294+R299+R301</f>
        <v>165.78200000000001</v>
      </c>
      <c r="S293" s="82">
        <f t="shared" si="469"/>
        <v>165.78200000000001</v>
      </c>
      <c r="T293" s="82">
        <f t="shared" si="469"/>
        <v>2350</v>
      </c>
      <c r="U293" s="82">
        <f t="shared" si="469"/>
        <v>2350</v>
      </c>
      <c r="V293" s="82">
        <f t="shared" si="469"/>
        <v>34412.766000000003</v>
      </c>
      <c r="W293" s="82">
        <f t="shared" si="469"/>
        <v>34412.766000000003</v>
      </c>
      <c r="X293" s="82">
        <f t="shared" si="469"/>
        <v>0</v>
      </c>
      <c r="Y293" s="82">
        <f>Y294+Y299+Y301</f>
        <v>13080.339</v>
      </c>
      <c r="Z293" s="82">
        <f t="shared" si="469"/>
        <v>50008.887600000002</v>
      </c>
      <c r="AA293" s="82">
        <f t="shared" si="469"/>
        <v>0</v>
      </c>
      <c r="AB293" s="82">
        <f t="shared" si="469"/>
        <v>20492.5</v>
      </c>
      <c r="AC293" s="82">
        <f t="shared" si="469"/>
        <v>23834.847600000001</v>
      </c>
      <c r="AD293" s="82">
        <f t="shared" si="469"/>
        <v>5681.54</v>
      </c>
      <c r="AE293" s="82">
        <f t="shared" si="469"/>
        <v>0</v>
      </c>
      <c r="AF293" s="82">
        <f t="shared" si="469"/>
        <v>0</v>
      </c>
      <c r="AG293" s="82">
        <f t="shared" si="469"/>
        <v>0</v>
      </c>
      <c r="AH293" s="82">
        <f t="shared" si="469"/>
        <v>0</v>
      </c>
      <c r="AI293" s="82">
        <f t="shared" si="469"/>
        <v>0</v>
      </c>
      <c r="AJ293" s="82">
        <f>P293-Q293</f>
        <v>-47488.177000000003</v>
      </c>
      <c r="AK293" s="82">
        <f>AJ293</f>
        <v>-47488.177000000003</v>
      </c>
      <c r="AL293" s="79">
        <f>ROUND((Q293*100%/P293*100),2)</f>
        <v>1983.92</v>
      </c>
      <c r="AM293" s="82">
        <v>0</v>
      </c>
      <c r="AN293" s="82">
        <v>0</v>
      </c>
      <c r="AO293" s="411"/>
    </row>
    <row r="294" spans="1:41" s="292" customFormat="1" ht="33.75">
      <c r="A294" s="473"/>
      <c r="B294" s="47" t="s">
        <v>15</v>
      </c>
      <c r="C294" s="474"/>
      <c r="D294" s="474"/>
      <c r="E294" s="474"/>
      <c r="F294" s="474"/>
      <c r="G294" s="474"/>
      <c r="H294" s="474"/>
      <c r="I294" s="501" t="s">
        <v>20</v>
      </c>
      <c r="J294" s="476"/>
      <c r="K294" s="47"/>
      <c r="L294" s="47">
        <v>2520.71</v>
      </c>
      <c r="M294" s="4"/>
      <c r="N294" s="4">
        <v>0</v>
      </c>
      <c r="O294" s="4"/>
      <c r="P294" s="4">
        <v>2520.71</v>
      </c>
      <c r="Q294" s="4">
        <f>SUM(Q295:Q297)</f>
        <v>2515.7820000000002</v>
      </c>
      <c r="R294" s="4">
        <f>SUM(R297:R297)</f>
        <v>165.78200000000001</v>
      </c>
      <c r="S294" s="4">
        <f>SUM(S297:S297)</f>
        <v>165.78200000000001</v>
      </c>
      <c r="T294" s="4">
        <f t="shared" ref="T294:AB294" si="470">SUM(T295:T297)</f>
        <v>2350</v>
      </c>
      <c r="U294" s="4">
        <f t="shared" si="470"/>
        <v>2350</v>
      </c>
      <c r="V294" s="4">
        <f t="shared" si="470"/>
        <v>0</v>
      </c>
      <c r="W294" s="4">
        <f t="shared" si="470"/>
        <v>0</v>
      </c>
      <c r="X294" s="4">
        <f t="shared" si="470"/>
        <v>0</v>
      </c>
      <c r="Y294" s="4">
        <f t="shared" si="470"/>
        <v>0</v>
      </c>
      <c r="Z294" s="4">
        <f t="shared" si="470"/>
        <v>2515.7820000000002</v>
      </c>
      <c r="AA294" s="4">
        <f t="shared" si="470"/>
        <v>0</v>
      </c>
      <c r="AB294" s="4">
        <f t="shared" si="470"/>
        <v>2515.7820000000002</v>
      </c>
      <c r="AC294" s="4">
        <f t="shared" ref="AC294:AI294" si="471">SUM(AC297:AC297)</f>
        <v>0</v>
      </c>
      <c r="AD294" s="4">
        <f t="shared" si="471"/>
        <v>0</v>
      </c>
      <c r="AE294" s="4">
        <f t="shared" si="471"/>
        <v>0</v>
      </c>
      <c r="AF294" s="4">
        <f t="shared" si="471"/>
        <v>0</v>
      </c>
      <c r="AG294" s="4">
        <f t="shared" si="471"/>
        <v>0</v>
      </c>
      <c r="AH294" s="4">
        <f t="shared" si="471"/>
        <v>0</v>
      </c>
      <c r="AI294" s="4">
        <f t="shared" si="471"/>
        <v>0</v>
      </c>
      <c r="AJ294" s="47"/>
      <c r="AK294" s="47"/>
      <c r="AL294" s="47"/>
      <c r="AM294" s="4"/>
      <c r="AN294" s="4"/>
      <c r="AO294" s="472"/>
    </row>
    <row r="295" spans="1:41" s="273" customFormat="1" ht="15.75" hidden="1">
      <c r="A295" s="274"/>
      <c r="B295" s="105" t="s">
        <v>271</v>
      </c>
      <c r="C295" s="107"/>
      <c r="D295" s="107"/>
      <c r="E295" s="107"/>
      <c r="F295" s="107"/>
      <c r="G295" s="107"/>
      <c r="H295" s="107"/>
      <c r="I295" s="105"/>
      <c r="J295" s="109"/>
      <c r="K295" s="99"/>
      <c r="L295" s="99"/>
      <c r="M295" s="275"/>
      <c r="N295" s="275"/>
      <c r="O295" s="275"/>
      <c r="P295" s="275">
        <f>R295+T295</f>
        <v>0</v>
      </c>
      <c r="Q295" s="275">
        <f>Y295</f>
        <v>0</v>
      </c>
      <c r="R295" s="275"/>
      <c r="S295" s="275"/>
      <c r="T295" s="275">
        <f>U295</f>
        <v>0</v>
      </c>
      <c r="U295" s="275">
        <v>0</v>
      </c>
      <c r="V295" s="275"/>
      <c r="W295" s="275"/>
      <c r="X295" s="275"/>
      <c r="Y295" s="275">
        <v>0</v>
      </c>
      <c r="Z295" s="275">
        <f>AD295</f>
        <v>0</v>
      </c>
      <c r="AA295" s="275"/>
      <c r="AB295" s="275">
        <v>0</v>
      </c>
      <c r="AC295" s="275"/>
      <c r="AD295" s="275">
        <v>0</v>
      </c>
      <c r="AE295" s="275"/>
      <c r="AF295" s="275"/>
      <c r="AG295" s="275"/>
      <c r="AH295" s="275"/>
      <c r="AI295" s="275"/>
      <c r="AJ295" s="99"/>
      <c r="AK295" s="99"/>
      <c r="AL295" s="99"/>
      <c r="AM295" s="275"/>
      <c r="AN295" s="275"/>
      <c r="AO295" s="426"/>
    </row>
    <row r="296" spans="1:41" s="273" customFormat="1" ht="15.75" hidden="1">
      <c r="A296" s="511"/>
      <c r="B296" s="105" t="s">
        <v>355</v>
      </c>
      <c r="C296" s="107"/>
      <c r="D296" s="107"/>
      <c r="E296" s="107"/>
      <c r="F296" s="107"/>
      <c r="G296" s="107"/>
      <c r="H296" s="107"/>
      <c r="I296" s="95"/>
      <c r="J296" s="455"/>
      <c r="K296" s="99"/>
      <c r="L296" s="99"/>
      <c r="M296" s="275"/>
      <c r="N296" s="275"/>
      <c r="O296" s="275"/>
      <c r="P296" s="275"/>
      <c r="Q296" s="275">
        <f>U296</f>
        <v>2350</v>
      </c>
      <c r="R296" s="275"/>
      <c r="S296" s="275"/>
      <c r="T296" s="275">
        <f>U296</f>
        <v>2350</v>
      </c>
      <c r="U296" s="275">
        <v>2350</v>
      </c>
      <c r="V296" s="275"/>
      <c r="W296" s="275"/>
      <c r="X296" s="275"/>
      <c r="Y296" s="275">
        <v>0</v>
      </c>
      <c r="Z296" s="275">
        <f>AB296</f>
        <v>2350</v>
      </c>
      <c r="AA296" s="275"/>
      <c r="AB296" s="275">
        <v>2350</v>
      </c>
      <c r="AC296" s="275"/>
      <c r="AD296" s="275">
        <v>0</v>
      </c>
      <c r="AE296" s="275"/>
      <c r="AF296" s="275"/>
      <c r="AG296" s="275"/>
      <c r="AH296" s="275"/>
      <c r="AI296" s="275"/>
      <c r="AJ296" s="99"/>
      <c r="AK296" s="99"/>
      <c r="AL296" s="99"/>
      <c r="AM296" s="275"/>
      <c r="AN296" s="275"/>
      <c r="AO296" s="426"/>
    </row>
    <row r="297" spans="1:41" s="273" customFormat="1" ht="25.5" hidden="1">
      <c r="A297" s="511"/>
      <c r="B297" s="105" t="s">
        <v>337</v>
      </c>
      <c r="C297" s="107"/>
      <c r="D297" s="107"/>
      <c r="E297" s="107"/>
      <c r="F297" s="107"/>
      <c r="G297" s="107"/>
      <c r="H297" s="107"/>
      <c r="I297" s="95"/>
      <c r="J297" s="455"/>
      <c r="K297" s="99"/>
      <c r="L297" s="99"/>
      <c r="M297" s="275"/>
      <c r="N297" s="275"/>
      <c r="O297" s="275"/>
      <c r="P297" s="275"/>
      <c r="Q297" s="275">
        <f>S297</f>
        <v>165.78200000000001</v>
      </c>
      <c r="R297" s="275">
        <f>S297</f>
        <v>165.78200000000001</v>
      </c>
      <c r="S297" s="275">
        <v>165.78200000000001</v>
      </c>
      <c r="T297" s="275"/>
      <c r="U297" s="275"/>
      <c r="V297" s="275"/>
      <c r="W297" s="275"/>
      <c r="X297" s="275"/>
      <c r="Y297" s="275"/>
      <c r="Z297" s="275">
        <f>AB297</f>
        <v>165.78200000000001</v>
      </c>
      <c r="AA297" s="275">
        <v>0</v>
      </c>
      <c r="AB297" s="275">
        <v>165.78200000000001</v>
      </c>
      <c r="AC297" s="275"/>
      <c r="AD297" s="275"/>
      <c r="AE297" s="275"/>
      <c r="AF297" s="275"/>
      <c r="AG297" s="275"/>
      <c r="AH297" s="275"/>
      <c r="AI297" s="275"/>
      <c r="AJ297" s="99"/>
      <c r="AK297" s="99"/>
      <c r="AL297" s="99"/>
      <c r="AM297" s="275"/>
      <c r="AN297" s="275"/>
      <c r="AO297" s="426"/>
    </row>
    <row r="298" spans="1:41" s="292" customFormat="1" ht="15.75">
      <c r="A298" s="494"/>
      <c r="B298" s="1" t="s">
        <v>16</v>
      </c>
      <c r="C298" s="493"/>
      <c r="D298" s="493"/>
      <c r="E298" s="493"/>
      <c r="F298" s="493"/>
      <c r="G298" s="493"/>
      <c r="H298" s="493"/>
      <c r="I298" s="830" t="s">
        <v>10</v>
      </c>
      <c r="J298" s="476"/>
      <c r="K298" s="47"/>
      <c r="L298" s="47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7"/>
      <c r="AK298" s="47"/>
      <c r="AL298" s="47"/>
      <c r="AM298" s="4"/>
      <c r="AN298" s="4"/>
      <c r="AO298" s="425"/>
    </row>
    <row r="299" spans="1:41" s="292" customFormat="1" ht="15.75">
      <c r="A299" s="494"/>
      <c r="B299" s="1"/>
      <c r="C299" s="493"/>
      <c r="D299" s="493"/>
      <c r="E299" s="493"/>
      <c r="F299" s="493"/>
      <c r="G299" s="493"/>
      <c r="H299" s="493"/>
      <c r="I299" s="991"/>
      <c r="J299" s="476"/>
      <c r="K299" s="47"/>
      <c r="L299" s="47">
        <v>33892.57</v>
      </c>
      <c r="M299" s="47">
        <v>31392.57</v>
      </c>
      <c r="N299" s="47">
        <v>31392.57</v>
      </c>
      <c r="O299" s="47">
        <v>31392.57</v>
      </c>
      <c r="P299" s="47">
        <v>0</v>
      </c>
      <c r="Q299" s="4">
        <f>Q300</f>
        <v>47381.923000000003</v>
      </c>
      <c r="R299" s="4">
        <f t="shared" ref="R299:AD299" si="472">R300</f>
        <v>0</v>
      </c>
      <c r="S299" s="4">
        <f t="shared" si="472"/>
        <v>0</v>
      </c>
      <c r="T299" s="4">
        <f t="shared" si="472"/>
        <v>0</v>
      </c>
      <c r="U299" s="4">
        <f t="shared" si="472"/>
        <v>0</v>
      </c>
      <c r="V299" s="4">
        <f t="shared" si="472"/>
        <v>34412.766000000003</v>
      </c>
      <c r="W299" s="4">
        <f t="shared" si="472"/>
        <v>34412.766000000003</v>
      </c>
      <c r="X299" s="4">
        <f t="shared" si="472"/>
        <v>0</v>
      </c>
      <c r="Y299" s="4">
        <f t="shared" si="472"/>
        <v>12969.156999999999</v>
      </c>
      <c r="Z299" s="4">
        <f t="shared" si="472"/>
        <v>47381.923600000002</v>
      </c>
      <c r="AA299" s="4">
        <f t="shared" si="472"/>
        <v>0</v>
      </c>
      <c r="AB299" s="4">
        <f t="shared" si="472"/>
        <v>17976.718000000001</v>
      </c>
      <c r="AC299" s="4">
        <f t="shared" si="472"/>
        <v>23834.847600000001</v>
      </c>
      <c r="AD299" s="4">
        <f t="shared" si="472"/>
        <v>5570.3580000000002</v>
      </c>
      <c r="AE299" s="4">
        <f t="shared" ref="AE299:AJ299" si="473">SUM(AE300:AE303)</f>
        <v>0</v>
      </c>
      <c r="AF299" s="4">
        <f t="shared" si="473"/>
        <v>0</v>
      </c>
      <c r="AG299" s="4">
        <f t="shared" si="473"/>
        <v>0</v>
      </c>
      <c r="AH299" s="4">
        <f t="shared" si="473"/>
        <v>0</v>
      </c>
      <c r="AI299" s="4">
        <f t="shared" si="473"/>
        <v>0</v>
      </c>
      <c r="AJ299" s="4">
        <f t="shared" si="473"/>
        <v>0</v>
      </c>
      <c r="AK299" s="47"/>
      <c r="AL299" s="47"/>
      <c r="AM299" s="4"/>
      <c r="AN299" s="4"/>
      <c r="AO299" s="425"/>
    </row>
    <row r="300" spans="1:41" s="273" customFormat="1" ht="27" hidden="1" customHeight="1">
      <c r="A300" s="511"/>
      <c r="B300" s="105" t="s">
        <v>354</v>
      </c>
      <c r="C300" s="107"/>
      <c r="D300" s="107"/>
      <c r="E300" s="107"/>
      <c r="F300" s="107"/>
      <c r="G300" s="107"/>
      <c r="H300" s="107"/>
      <c r="I300" s="992"/>
      <c r="J300" s="455"/>
      <c r="K300" s="99"/>
      <c r="L300" s="99"/>
      <c r="M300" s="275"/>
      <c r="N300" s="275"/>
      <c r="O300" s="275"/>
      <c r="P300" s="275"/>
      <c r="Q300" s="275">
        <f>W300+Y300</f>
        <v>47381.923000000003</v>
      </c>
      <c r="R300" s="275"/>
      <c r="S300" s="275"/>
      <c r="T300" s="275"/>
      <c r="U300" s="275"/>
      <c r="V300" s="275">
        <f>W300</f>
        <v>34412.766000000003</v>
      </c>
      <c r="W300" s="275">
        <v>34412.766000000003</v>
      </c>
      <c r="X300" s="275"/>
      <c r="Y300" s="275">
        <v>12969.156999999999</v>
      </c>
      <c r="Z300" s="275">
        <f>AB300+AC300+AD300</f>
        <v>47381.923600000002</v>
      </c>
      <c r="AA300" s="275"/>
      <c r="AB300" s="275">
        <v>17976.718000000001</v>
      </c>
      <c r="AC300" s="275">
        <v>23834.847600000001</v>
      </c>
      <c r="AD300" s="275">
        <f>5570.358</f>
        <v>5570.3580000000002</v>
      </c>
      <c r="AE300" s="275"/>
      <c r="AF300" s="275"/>
      <c r="AG300" s="275"/>
      <c r="AH300" s="275"/>
      <c r="AI300" s="275"/>
      <c r="AJ300" s="99"/>
      <c r="AK300" s="99"/>
      <c r="AL300" s="99"/>
      <c r="AM300" s="275"/>
      <c r="AN300" s="275"/>
      <c r="AO300" s="426"/>
    </row>
    <row r="301" spans="1:41" s="292" customFormat="1" ht="27" customHeight="1">
      <c r="A301" s="778"/>
      <c r="B301" s="1" t="s">
        <v>16</v>
      </c>
      <c r="C301" s="776"/>
      <c r="D301" s="776"/>
      <c r="E301" s="776"/>
      <c r="F301" s="776"/>
      <c r="G301" s="776"/>
      <c r="H301" s="776"/>
      <c r="I301" s="501" t="s">
        <v>20</v>
      </c>
      <c r="J301" s="476"/>
      <c r="K301" s="47"/>
      <c r="L301" s="47"/>
      <c r="M301" s="4"/>
      <c r="N301" s="4"/>
      <c r="O301" s="4"/>
      <c r="P301" s="4"/>
      <c r="Q301" s="4">
        <f>SUM(Q302:Q303)</f>
        <v>111.182</v>
      </c>
      <c r="R301" s="4">
        <f t="shared" ref="R301:AJ301" si="474">SUM(R302:R303)</f>
        <v>0</v>
      </c>
      <c r="S301" s="4">
        <f t="shared" si="474"/>
        <v>0</v>
      </c>
      <c r="T301" s="4">
        <f t="shared" si="474"/>
        <v>0</v>
      </c>
      <c r="U301" s="4">
        <f t="shared" si="474"/>
        <v>0</v>
      </c>
      <c r="V301" s="4">
        <f t="shared" si="474"/>
        <v>0</v>
      </c>
      <c r="W301" s="4">
        <f t="shared" si="474"/>
        <v>0</v>
      </c>
      <c r="X301" s="4">
        <f t="shared" si="474"/>
        <v>0</v>
      </c>
      <c r="Y301" s="4">
        <f t="shared" si="474"/>
        <v>111.182</v>
      </c>
      <c r="Z301" s="4">
        <f t="shared" si="474"/>
        <v>111.182</v>
      </c>
      <c r="AA301" s="4">
        <f t="shared" si="474"/>
        <v>0</v>
      </c>
      <c r="AB301" s="4">
        <f t="shared" si="474"/>
        <v>0</v>
      </c>
      <c r="AC301" s="4">
        <f t="shared" si="474"/>
        <v>0</v>
      </c>
      <c r="AD301" s="4">
        <f t="shared" si="474"/>
        <v>111.182</v>
      </c>
      <c r="AE301" s="4">
        <f t="shared" si="474"/>
        <v>0</v>
      </c>
      <c r="AF301" s="4">
        <f t="shared" si="474"/>
        <v>0</v>
      </c>
      <c r="AG301" s="4">
        <f t="shared" si="474"/>
        <v>0</v>
      </c>
      <c r="AH301" s="4">
        <f t="shared" si="474"/>
        <v>0</v>
      </c>
      <c r="AI301" s="4">
        <f t="shared" si="474"/>
        <v>0</v>
      </c>
      <c r="AJ301" s="4">
        <f t="shared" si="474"/>
        <v>0</v>
      </c>
      <c r="AK301" s="47"/>
      <c r="AL301" s="47"/>
      <c r="AM301" s="4"/>
      <c r="AN301" s="4"/>
      <c r="AO301" s="425"/>
    </row>
    <row r="302" spans="1:41" s="273" customFormat="1" ht="25.5" hidden="1" customHeight="1">
      <c r="A302" s="511"/>
      <c r="B302" s="105" t="s">
        <v>267</v>
      </c>
      <c r="C302" s="107"/>
      <c r="D302" s="107"/>
      <c r="E302" s="107"/>
      <c r="F302" s="107"/>
      <c r="G302" s="107"/>
      <c r="H302" s="107"/>
      <c r="I302" s="795" t="s">
        <v>378</v>
      </c>
      <c r="J302" s="455"/>
      <c r="K302" s="99"/>
      <c r="L302" s="99"/>
      <c r="M302" s="275"/>
      <c r="N302" s="275"/>
      <c r="O302" s="275"/>
      <c r="P302" s="275"/>
      <c r="Q302" s="275">
        <f t="shared" ref="Q302" si="475">W302+Y302</f>
        <v>76.182000000000002</v>
      </c>
      <c r="R302" s="275"/>
      <c r="S302" s="275"/>
      <c r="T302" s="275"/>
      <c r="U302" s="275"/>
      <c r="V302" s="275"/>
      <c r="W302" s="275"/>
      <c r="X302" s="275"/>
      <c r="Y302" s="275">
        <v>76.182000000000002</v>
      </c>
      <c r="Z302" s="275">
        <f>AD302</f>
        <v>76.182000000000002</v>
      </c>
      <c r="AA302" s="275"/>
      <c r="AB302" s="275"/>
      <c r="AC302" s="275"/>
      <c r="AD302" s="275">
        <v>76.182000000000002</v>
      </c>
      <c r="AE302" s="275"/>
      <c r="AF302" s="275"/>
      <c r="AG302" s="275"/>
      <c r="AH302" s="275"/>
      <c r="AI302" s="275"/>
      <c r="AJ302" s="99"/>
      <c r="AK302" s="99"/>
      <c r="AL302" s="99"/>
      <c r="AM302" s="275"/>
      <c r="AN302" s="275"/>
      <c r="AO302" s="426"/>
    </row>
    <row r="303" spans="1:41" s="273" customFormat="1" ht="20.25" hidden="1" customHeight="1">
      <c r="A303" s="511"/>
      <c r="B303" s="105" t="s">
        <v>379</v>
      </c>
      <c r="C303" s="107"/>
      <c r="D303" s="107"/>
      <c r="E303" s="107"/>
      <c r="F303" s="107"/>
      <c r="G303" s="107"/>
      <c r="H303" s="107"/>
      <c r="I303" s="796"/>
      <c r="J303" s="455"/>
      <c r="K303" s="99"/>
      <c r="L303" s="99"/>
      <c r="M303" s="275"/>
      <c r="N303" s="275"/>
      <c r="O303" s="275"/>
      <c r="P303" s="275"/>
      <c r="Q303" s="275">
        <f>W303+Y303</f>
        <v>35</v>
      </c>
      <c r="R303" s="275"/>
      <c r="S303" s="275"/>
      <c r="T303" s="275"/>
      <c r="U303" s="275"/>
      <c r="V303" s="275"/>
      <c r="W303" s="275"/>
      <c r="X303" s="275"/>
      <c r="Y303" s="275">
        <v>35</v>
      </c>
      <c r="Z303" s="275">
        <f>AD303</f>
        <v>35</v>
      </c>
      <c r="AA303" s="275"/>
      <c r="AB303" s="275"/>
      <c r="AC303" s="275"/>
      <c r="AD303" s="275">
        <v>35</v>
      </c>
      <c r="AE303" s="275"/>
      <c r="AF303" s="275"/>
      <c r="AG303" s="275"/>
      <c r="AH303" s="275"/>
      <c r="AI303" s="275"/>
      <c r="AJ303" s="99"/>
      <c r="AK303" s="99"/>
      <c r="AL303" s="99"/>
      <c r="AM303" s="275"/>
      <c r="AN303" s="275"/>
      <c r="AO303" s="426"/>
    </row>
    <row r="304" spans="1:41" ht="39.75" customHeight="1">
      <c r="A304" s="803" t="s">
        <v>420</v>
      </c>
      <c r="B304" s="80" t="s">
        <v>367</v>
      </c>
      <c r="C304" s="823">
        <v>500</v>
      </c>
      <c r="D304" s="823" t="s">
        <v>43</v>
      </c>
      <c r="E304" s="823">
        <v>850</v>
      </c>
      <c r="F304" s="824">
        <v>20400</v>
      </c>
      <c r="G304" s="52"/>
      <c r="H304" s="52"/>
      <c r="I304" s="820" t="s">
        <v>20</v>
      </c>
      <c r="J304" s="912">
        <v>6942.46</v>
      </c>
      <c r="K304" s="3">
        <v>0</v>
      </c>
      <c r="L304" s="82">
        <f>L305</f>
        <v>6462.97</v>
      </c>
      <c r="M304" s="79">
        <f>M305</f>
        <v>0</v>
      </c>
      <c r="N304" s="79">
        <f t="shared" ref="N304:O304" si="476">N305</f>
        <v>0</v>
      </c>
      <c r="O304" s="79">
        <f t="shared" si="476"/>
        <v>6942.46</v>
      </c>
      <c r="P304" s="79">
        <f>P305</f>
        <v>6462.97</v>
      </c>
      <c r="Q304" s="79">
        <v>0</v>
      </c>
      <c r="R304" s="79">
        <v>0</v>
      </c>
      <c r="S304" s="79">
        <v>0</v>
      </c>
      <c r="T304" s="79">
        <v>0</v>
      </c>
      <c r="U304" s="79">
        <v>0</v>
      </c>
      <c r="V304" s="79">
        <v>0</v>
      </c>
      <c r="W304" s="79">
        <v>0</v>
      </c>
      <c r="X304" s="79">
        <v>0</v>
      </c>
      <c r="Y304" s="79">
        <v>0</v>
      </c>
      <c r="Z304" s="79">
        <v>0</v>
      </c>
      <c r="AA304" s="79">
        <v>0</v>
      </c>
      <c r="AB304" s="79">
        <v>0</v>
      </c>
      <c r="AC304" s="79">
        <v>0</v>
      </c>
      <c r="AD304" s="79">
        <v>0</v>
      </c>
      <c r="AE304" s="79">
        <v>0</v>
      </c>
      <c r="AF304" s="79">
        <v>0</v>
      </c>
      <c r="AG304" s="79">
        <v>0</v>
      </c>
      <c r="AH304" s="79">
        <v>0</v>
      </c>
      <c r="AI304" s="79">
        <v>0</v>
      </c>
      <c r="AJ304" s="82">
        <f>P304-Q304</f>
        <v>6462.97</v>
      </c>
      <c r="AK304" s="82">
        <f>AJ304</f>
        <v>6462.97</v>
      </c>
      <c r="AL304" s="82">
        <v>0</v>
      </c>
      <c r="AM304" s="79">
        <v>0</v>
      </c>
      <c r="AN304" s="79">
        <v>0</v>
      </c>
      <c r="AO304" s="424"/>
    </row>
    <row r="305" spans="1:41" ht="15" customHeight="1">
      <c r="A305" s="805"/>
      <c r="B305" s="1" t="s">
        <v>15</v>
      </c>
      <c r="C305" s="823"/>
      <c r="D305" s="823"/>
      <c r="E305" s="823"/>
      <c r="F305" s="823"/>
      <c r="G305" s="39">
        <v>2021</v>
      </c>
      <c r="H305" s="39">
        <v>2021</v>
      </c>
      <c r="I305" s="821"/>
      <c r="J305" s="914"/>
      <c r="K305" s="3"/>
      <c r="L305" s="22">
        <v>6462.97</v>
      </c>
      <c r="M305" s="47">
        <v>0</v>
      </c>
      <c r="N305" s="47">
        <v>0</v>
      </c>
      <c r="O305" s="47">
        <v>6942.46</v>
      </c>
      <c r="P305" s="47">
        <v>6462.97</v>
      </c>
      <c r="Q305" s="47">
        <v>0</v>
      </c>
      <c r="R305" s="47">
        <v>0</v>
      </c>
      <c r="S305" s="47">
        <v>0</v>
      </c>
      <c r="T305" s="47">
        <v>0</v>
      </c>
      <c r="U305" s="47">
        <v>0</v>
      </c>
      <c r="V305" s="47">
        <v>0</v>
      </c>
      <c r="W305" s="47">
        <v>0</v>
      </c>
      <c r="X305" s="47">
        <v>0</v>
      </c>
      <c r="Y305" s="47">
        <v>0</v>
      </c>
      <c r="Z305" s="47">
        <v>0</v>
      </c>
      <c r="AA305" s="47">
        <v>0</v>
      </c>
      <c r="AB305" s="47">
        <v>0</v>
      </c>
      <c r="AC305" s="47">
        <v>0</v>
      </c>
      <c r="AD305" s="47">
        <v>0</v>
      </c>
      <c r="AE305" s="47">
        <v>0</v>
      </c>
      <c r="AF305" s="47">
        <v>0</v>
      </c>
      <c r="AG305" s="47">
        <v>0</v>
      </c>
      <c r="AH305" s="47">
        <v>0</v>
      </c>
      <c r="AI305" s="47">
        <v>0</v>
      </c>
      <c r="AJ305" s="47">
        <v>0</v>
      </c>
      <c r="AK305" s="47">
        <v>0</v>
      </c>
      <c r="AL305" s="47">
        <v>0</v>
      </c>
      <c r="AM305" s="47">
        <v>0</v>
      </c>
      <c r="AN305" s="47">
        <v>0</v>
      </c>
      <c r="AO305" s="427"/>
    </row>
    <row r="306" spans="1:41" ht="78.75" customHeight="1">
      <c r="A306" s="803" t="s">
        <v>415</v>
      </c>
      <c r="B306" s="80" t="s">
        <v>368</v>
      </c>
      <c r="C306" s="824"/>
      <c r="D306" s="824"/>
      <c r="E306" s="824"/>
      <c r="F306" s="824">
        <v>80</v>
      </c>
      <c r="G306" s="52"/>
      <c r="H306" s="52"/>
      <c r="I306" s="820" t="s">
        <v>20</v>
      </c>
      <c r="J306" s="54">
        <f>L306</f>
        <v>47297.84</v>
      </c>
      <c r="K306" s="6"/>
      <c r="L306" s="82">
        <f>L307+L309</f>
        <v>47297.84</v>
      </c>
      <c r="M306" s="82">
        <f t="shared" ref="M306:P306" si="477">M307+M309</f>
        <v>33.479999999999997</v>
      </c>
      <c r="N306" s="82">
        <f t="shared" si="477"/>
        <v>7044.44</v>
      </c>
      <c r="O306" s="82">
        <f t="shared" si="477"/>
        <v>11467.37</v>
      </c>
      <c r="P306" s="82">
        <f t="shared" si="477"/>
        <v>0</v>
      </c>
      <c r="Q306" s="82">
        <f>Q307+Q309</f>
        <v>32.4</v>
      </c>
      <c r="R306" s="82">
        <f t="shared" ref="R306:AN306" si="478">R307+R309</f>
        <v>0</v>
      </c>
      <c r="S306" s="82">
        <f t="shared" si="478"/>
        <v>0</v>
      </c>
      <c r="T306" s="82">
        <f t="shared" si="478"/>
        <v>0</v>
      </c>
      <c r="U306" s="82">
        <f t="shared" si="478"/>
        <v>32.4</v>
      </c>
      <c r="V306" s="82">
        <f t="shared" si="478"/>
        <v>0</v>
      </c>
      <c r="W306" s="82">
        <f t="shared" si="478"/>
        <v>0</v>
      </c>
      <c r="X306" s="82">
        <f t="shared" si="478"/>
        <v>0</v>
      </c>
      <c r="Y306" s="82">
        <f t="shared" si="478"/>
        <v>0</v>
      </c>
      <c r="Z306" s="82">
        <f t="shared" si="478"/>
        <v>32.4</v>
      </c>
      <c r="AA306" s="82">
        <f>AA307+AA309</f>
        <v>0</v>
      </c>
      <c r="AB306" s="82">
        <f t="shared" ref="AB306:AD306" si="479">AB307+AB309</f>
        <v>0</v>
      </c>
      <c r="AC306" s="82">
        <f t="shared" si="479"/>
        <v>32.4</v>
      </c>
      <c r="AD306" s="82">
        <f t="shared" si="479"/>
        <v>0</v>
      </c>
      <c r="AE306" s="82">
        <f t="shared" si="478"/>
        <v>0</v>
      </c>
      <c r="AF306" s="82">
        <f t="shared" si="478"/>
        <v>0</v>
      </c>
      <c r="AG306" s="82">
        <f t="shared" si="478"/>
        <v>0</v>
      </c>
      <c r="AH306" s="82">
        <f t="shared" ref="AH306:AI306" si="480">AH307+AH309</f>
        <v>0</v>
      </c>
      <c r="AI306" s="82">
        <f t="shared" si="480"/>
        <v>0</v>
      </c>
      <c r="AJ306" s="82">
        <f>P306-Q306</f>
        <v>-32.4</v>
      </c>
      <c r="AK306" s="82">
        <f>AJ306</f>
        <v>-32.4</v>
      </c>
      <c r="AL306" s="79">
        <v>0</v>
      </c>
      <c r="AM306" s="82">
        <f t="shared" si="478"/>
        <v>0</v>
      </c>
      <c r="AN306" s="82">
        <f t="shared" si="478"/>
        <v>0</v>
      </c>
      <c r="AO306" s="428"/>
    </row>
    <row r="307" spans="1:41" ht="17.25" customHeight="1">
      <c r="A307" s="804"/>
      <c r="B307" s="1" t="s">
        <v>15</v>
      </c>
      <c r="C307" s="823"/>
      <c r="D307" s="823"/>
      <c r="E307" s="823"/>
      <c r="F307" s="823"/>
      <c r="G307" s="39">
        <v>2019</v>
      </c>
      <c r="H307" s="39">
        <v>2019</v>
      </c>
      <c r="I307" s="822"/>
      <c r="J307" s="54">
        <f t="shared" ref="J307:J309" si="481">L307</f>
        <v>7077.92</v>
      </c>
      <c r="K307" s="6"/>
      <c r="L307" s="22">
        <v>7077.92</v>
      </c>
      <c r="M307" s="47">
        <v>33.479999999999997</v>
      </c>
      <c r="N307" s="47">
        <v>7044.44</v>
      </c>
      <c r="O307" s="47">
        <v>0</v>
      </c>
      <c r="P307" s="47">
        <v>0</v>
      </c>
      <c r="Q307" s="47">
        <f>SUM(Q308)</f>
        <v>32.4</v>
      </c>
      <c r="R307" s="47">
        <f t="shared" ref="R307:AG307" si="482">SUM(R308)</f>
        <v>0</v>
      </c>
      <c r="S307" s="47">
        <f t="shared" si="482"/>
        <v>0</v>
      </c>
      <c r="T307" s="47">
        <f t="shared" si="482"/>
        <v>0</v>
      </c>
      <c r="U307" s="47">
        <f t="shared" si="482"/>
        <v>32.4</v>
      </c>
      <c r="V307" s="47">
        <f t="shared" si="482"/>
        <v>0</v>
      </c>
      <c r="W307" s="47">
        <f t="shared" si="482"/>
        <v>0</v>
      </c>
      <c r="X307" s="47">
        <f t="shared" si="482"/>
        <v>0</v>
      </c>
      <c r="Y307" s="47">
        <f t="shared" si="482"/>
        <v>0</v>
      </c>
      <c r="Z307" s="47">
        <f t="shared" si="482"/>
        <v>32.4</v>
      </c>
      <c r="AA307" s="47">
        <f t="shared" si="482"/>
        <v>0</v>
      </c>
      <c r="AB307" s="47">
        <f t="shared" si="482"/>
        <v>0</v>
      </c>
      <c r="AC307" s="47">
        <f t="shared" si="482"/>
        <v>32.4</v>
      </c>
      <c r="AD307" s="47">
        <f t="shared" si="482"/>
        <v>0</v>
      </c>
      <c r="AE307" s="47">
        <f t="shared" si="482"/>
        <v>0</v>
      </c>
      <c r="AF307" s="47">
        <f t="shared" si="482"/>
        <v>0</v>
      </c>
      <c r="AG307" s="47">
        <f t="shared" si="482"/>
        <v>0</v>
      </c>
      <c r="AH307" s="47">
        <f t="shared" ref="AH307:AI307" si="483">AH308</f>
        <v>0</v>
      </c>
      <c r="AI307" s="47">
        <f t="shared" si="483"/>
        <v>0</v>
      </c>
      <c r="AJ307" s="47">
        <v>0</v>
      </c>
      <c r="AK307" s="47">
        <v>0</v>
      </c>
      <c r="AL307" s="47">
        <v>0</v>
      </c>
      <c r="AM307" s="47">
        <v>0</v>
      </c>
      <c r="AN307" s="47">
        <v>0</v>
      </c>
      <c r="AO307" s="427"/>
    </row>
    <row r="308" spans="1:41" s="100" customFormat="1" ht="17.25" hidden="1" customHeight="1">
      <c r="A308" s="804"/>
      <c r="B308" s="105" t="s">
        <v>353</v>
      </c>
      <c r="C308" s="106"/>
      <c r="D308" s="106"/>
      <c r="E308" s="106"/>
      <c r="F308" s="106"/>
      <c r="G308" s="107"/>
      <c r="H308" s="107"/>
      <c r="I308" s="822"/>
      <c r="J308" s="108"/>
      <c r="K308" s="109"/>
      <c r="L308" s="178"/>
      <c r="M308" s="99"/>
      <c r="N308" s="99"/>
      <c r="O308" s="99"/>
      <c r="P308" s="99">
        <f>R308</f>
        <v>0</v>
      </c>
      <c r="Q308" s="99">
        <f>U308</f>
        <v>32.4</v>
      </c>
      <c r="R308" s="99">
        <v>0</v>
      </c>
      <c r="S308" s="99">
        <v>0</v>
      </c>
      <c r="T308" s="99"/>
      <c r="U308" s="99">
        <v>32.4</v>
      </c>
      <c r="V308" s="99"/>
      <c r="W308" s="99"/>
      <c r="X308" s="99"/>
      <c r="Y308" s="99"/>
      <c r="Z308" s="99">
        <f>AC308</f>
        <v>32.4</v>
      </c>
      <c r="AA308" s="99">
        <v>0</v>
      </c>
      <c r="AB308" s="99"/>
      <c r="AC308" s="99">
        <v>32.4</v>
      </c>
      <c r="AD308" s="99"/>
      <c r="AE308" s="99">
        <f>SUM(AF308:AF308)</f>
        <v>0</v>
      </c>
      <c r="AF308" s="99"/>
      <c r="AG308" s="99"/>
      <c r="AH308" s="99"/>
      <c r="AI308" s="99"/>
      <c r="AJ308" s="99"/>
      <c r="AK308" s="99"/>
      <c r="AL308" s="99"/>
      <c r="AM308" s="99"/>
      <c r="AN308" s="99"/>
      <c r="AO308" s="429"/>
    </row>
    <row r="309" spans="1:41" ht="17.25" customHeight="1">
      <c r="A309" s="805"/>
      <c r="B309" s="1" t="s">
        <v>16</v>
      </c>
      <c r="C309" s="8"/>
      <c r="D309" s="8"/>
      <c r="E309" s="8"/>
      <c r="F309" s="8"/>
      <c r="G309" s="39">
        <v>2020</v>
      </c>
      <c r="H309" s="39">
        <v>2021</v>
      </c>
      <c r="I309" s="821"/>
      <c r="J309" s="54">
        <f t="shared" si="481"/>
        <v>40219.919999999998</v>
      </c>
      <c r="K309" s="6"/>
      <c r="L309" s="22">
        <v>40219.919999999998</v>
      </c>
      <c r="M309" s="47">
        <v>0</v>
      </c>
      <c r="N309" s="47">
        <v>0</v>
      </c>
      <c r="O309" s="47">
        <v>11467.37</v>
      </c>
      <c r="P309" s="47">
        <v>0</v>
      </c>
      <c r="Q309" s="47">
        <v>0</v>
      </c>
      <c r="R309" s="47">
        <v>0</v>
      </c>
      <c r="S309" s="47">
        <v>0</v>
      </c>
      <c r="T309" s="47">
        <v>0</v>
      </c>
      <c r="U309" s="47">
        <v>0</v>
      </c>
      <c r="V309" s="47">
        <v>0</v>
      </c>
      <c r="W309" s="47">
        <v>0</v>
      </c>
      <c r="X309" s="47">
        <v>0</v>
      </c>
      <c r="Y309" s="47">
        <v>0</v>
      </c>
      <c r="Z309" s="47">
        <v>0</v>
      </c>
      <c r="AA309" s="47">
        <v>0</v>
      </c>
      <c r="AB309" s="47">
        <v>0</v>
      </c>
      <c r="AC309" s="47">
        <v>0</v>
      </c>
      <c r="AD309" s="47">
        <v>0</v>
      </c>
      <c r="AE309" s="47">
        <v>0</v>
      </c>
      <c r="AF309" s="47">
        <v>0</v>
      </c>
      <c r="AG309" s="47">
        <v>0</v>
      </c>
      <c r="AH309" s="47">
        <v>0</v>
      </c>
      <c r="AI309" s="47">
        <v>0</v>
      </c>
      <c r="AJ309" s="47">
        <v>0</v>
      </c>
      <c r="AK309" s="47">
        <v>0</v>
      </c>
      <c r="AL309" s="47">
        <v>0</v>
      </c>
      <c r="AM309" s="47">
        <v>0</v>
      </c>
      <c r="AN309" s="47">
        <v>0</v>
      </c>
      <c r="AO309" s="427"/>
    </row>
    <row r="310" spans="1:41" ht="99" customHeight="1">
      <c r="A310" s="803" t="s">
        <v>416</v>
      </c>
      <c r="B310" s="83" t="s">
        <v>171</v>
      </c>
      <c r="C310" s="824"/>
      <c r="D310" s="824"/>
      <c r="E310" s="824"/>
      <c r="F310" s="824">
        <v>80</v>
      </c>
      <c r="G310" s="52"/>
      <c r="H310" s="52"/>
      <c r="I310" s="820" t="s">
        <v>20</v>
      </c>
      <c r="J310" s="54">
        <f>L310</f>
        <v>47437.760000000002</v>
      </c>
      <c r="K310" s="6"/>
      <c r="L310" s="82">
        <f>L311+L314</f>
        <v>47437.760000000002</v>
      </c>
      <c r="M310" s="82">
        <f t="shared" ref="M310:P310" si="484">M311+M314</f>
        <v>2761.44</v>
      </c>
      <c r="N310" s="82">
        <f t="shared" si="484"/>
        <v>9629.68</v>
      </c>
      <c r="O310" s="82">
        <f t="shared" si="484"/>
        <v>22469.279999999999</v>
      </c>
      <c r="P310" s="82">
        <f t="shared" si="484"/>
        <v>2605.9899999999998</v>
      </c>
      <c r="Q310" s="82">
        <f>Q311+Q314</f>
        <v>1822.3920000000001</v>
      </c>
      <c r="R310" s="82">
        <f t="shared" ref="R310:Y310" si="485">R311+R314</f>
        <v>775.23199999999997</v>
      </c>
      <c r="S310" s="82">
        <f t="shared" si="485"/>
        <v>775.23199999999997</v>
      </c>
      <c r="T310" s="82">
        <f t="shared" si="485"/>
        <v>1047.1600000000001</v>
      </c>
      <c r="U310" s="82">
        <f t="shared" si="485"/>
        <v>1047.1600000000001</v>
      </c>
      <c r="V310" s="82">
        <f t="shared" si="485"/>
        <v>0</v>
      </c>
      <c r="W310" s="82">
        <f t="shared" si="485"/>
        <v>0</v>
      </c>
      <c r="X310" s="82">
        <f t="shared" si="485"/>
        <v>0</v>
      </c>
      <c r="Y310" s="82">
        <f t="shared" si="485"/>
        <v>0</v>
      </c>
      <c r="Z310" s="82">
        <f>Z311+Z314</f>
        <v>0</v>
      </c>
      <c r="AA310" s="82">
        <f>AA311+AA314</f>
        <v>0</v>
      </c>
      <c r="AB310" s="82">
        <f t="shared" ref="AB310:AD310" si="486">AB311+AB314</f>
        <v>0</v>
      </c>
      <c r="AC310" s="82">
        <f t="shared" si="486"/>
        <v>0</v>
      </c>
      <c r="AD310" s="82">
        <f t="shared" si="486"/>
        <v>0</v>
      </c>
      <c r="AE310" s="82">
        <f t="shared" ref="AE310:AG310" si="487">AE311+AE314</f>
        <v>0</v>
      </c>
      <c r="AF310" s="82">
        <f t="shared" si="487"/>
        <v>0</v>
      </c>
      <c r="AG310" s="82">
        <f t="shared" si="487"/>
        <v>0</v>
      </c>
      <c r="AH310" s="82">
        <f t="shared" ref="AH310:AI310" si="488">AH311+AH314</f>
        <v>0</v>
      </c>
      <c r="AI310" s="82">
        <f t="shared" si="488"/>
        <v>0</v>
      </c>
      <c r="AJ310" s="82">
        <f>P310-Q310</f>
        <v>783.59799999999973</v>
      </c>
      <c r="AK310" s="82">
        <f>AJ310</f>
        <v>783.59799999999973</v>
      </c>
      <c r="AL310" s="82">
        <f>ROUND((Q310*100%/P310*100),2)</f>
        <v>69.930000000000007</v>
      </c>
      <c r="AM310" s="82">
        <f t="shared" ref="AM310:AN310" si="489">AM311+AM314</f>
        <v>0</v>
      </c>
      <c r="AN310" s="82">
        <f t="shared" si="489"/>
        <v>0</v>
      </c>
      <c r="AO310" s="411" t="s">
        <v>264</v>
      </c>
    </row>
    <row r="311" spans="1:41" s="292" customFormat="1" ht="16.5" customHeight="1">
      <c r="A311" s="804"/>
      <c r="B311" s="42" t="s">
        <v>15</v>
      </c>
      <c r="C311" s="823"/>
      <c r="D311" s="823"/>
      <c r="E311" s="823"/>
      <c r="F311" s="823"/>
      <c r="G311" s="320"/>
      <c r="H311" s="321"/>
      <c r="I311" s="822"/>
      <c r="J311" s="75"/>
      <c r="K311" s="47"/>
      <c r="L311" s="47">
        <v>2867.43</v>
      </c>
      <c r="M311" s="47">
        <v>2761.44</v>
      </c>
      <c r="N311" s="47">
        <v>105.99</v>
      </c>
      <c r="O311" s="47">
        <v>0</v>
      </c>
      <c r="P311" s="47">
        <v>0</v>
      </c>
      <c r="Q311" s="47">
        <f>SUM(Q312:Q314)</f>
        <v>1822.3920000000001</v>
      </c>
      <c r="R311" s="47">
        <f t="shared" ref="R311" si="490">SUM(R312:R314)</f>
        <v>775.23199999999997</v>
      </c>
      <c r="S311" s="47">
        <f t="shared" ref="S311" si="491">SUM(S312:S314)</f>
        <v>775.23199999999997</v>
      </c>
      <c r="T311" s="47">
        <f t="shared" ref="T311" si="492">SUM(T312:T314)</f>
        <v>1047.1600000000001</v>
      </c>
      <c r="U311" s="47">
        <f t="shared" ref="U311" si="493">SUM(U312:U314)</f>
        <v>1047.1600000000001</v>
      </c>
      <c r="V311" s="47">
        <f t="shared" ref="V311" si="494">SUM(V312:V314)</f>
        <v>0</v>
      </c>
      <c r="W311" s="47">
        <f t="shared" ref="W311" si="495">SUM(W312:W314)</f>
        <v>0</v>
      </c>
      <c r="X311" s="22">
        <v>0</v>
      </c>
      <c r="Y311" s="47">
        <f t="shared" ref="Y311" si="496">SUM(Y312:Y314)</f>
        <v>0</v>
      </c>
      <c r="Z311" s="47">
        <f t="shared" ref="Z311" si="497">SUM(Z312:Z314)</f>
        <v>0</v>
      </c>
      <c r="AA311" s="47">
        <f t="shared" ref="AA311:AD311" si="498">SUM(AA312:AA314)</f>
        <v>0</v>
      </c>
      <c r="AB311" s="47">
        <f t="shared" si="498"/>
        <v>0</v>
      </c>
      <c r="AC311" s="47">
        <f t="shared" si="498"/>
        <v>0</v>
      </c>
      <c r="AD311" s="47">
        <f t="shared" si="498"/>
        <v>0</v>
      </c>
      <c r="AE311" s="47">
        <f>SUM(AE312)</f>
        <v>0</v>
      </c>
      <c r="AF311" s="47">
        <f t="shared" ref="AF311:AI311" si="499">SUM(AF312)</f>
        <v>0</v>
      </c>
      <c r="AG311" s="47">
        <f t="shared" si="499"/>
        <v>0</v>
      </c>
      <c r="AH311" s="47">
        <f t="shared" si="499"/>
        <v>0</v>
      </c>
      <c r="AI311" s="47">
        <f t="shared" si="499"/>
        <v>0</v>
      </c>
      <c r="AJ311" s="47">
        <v>0</v>
      </c>
      <c r="AK311" s="47">
        <v>0</v>
      </c>
      <c r="AL311" s="47">
        <v>0</v>
      </c>
      <c r="AM311" s="47">
        <v>0</v>
      </c>
      <c r="AN311" s="47">
        <v>0</v>
      </c>
      <c r="AO311" s="403"/>
    </row>
    <row r="312" spans="1:41" s="273" customFormat="1" ht="16.5" hidden="1" customHeight="1">
      <c r="A312" s="804"/>
      <c r="B312" s="257" t="s">
        <v>233</v>
      </c>
      <c r="C312" s="371"/>
      <c r="D312" s="371"/>
      <c r="E312" s="371"/>
      <c r="F312" s="371"/>
      <c r="G312" s="371"/>
      <c r="H312" s="372"/>
      <c r="I312" s="822"/>
      <c r="J312" s="263"/>
      <c r="K312" s="99"/>
      <c r="L312" s="99"/>
      <c r="M312" s="99"/>
      <c r="N312" s="99"/>
      <c r="O312" s="99"/>
      <c r="P312" s="47"/>
      <c r="Q312" s="99">
        <f>S312+U312</f>
        <v>1822.3920000000001</v>
      </c>
      <c r="R312" s="99">
        <f>S312</f>
        <v>775.23199999999997</v>
      </c>
      <c r="S312" s="99">
        <v>775.23199999999997</v>
      </c>
      <c r="T312" s="99">
        <f>U312</f>
        <v>1047.1600000000001</v>
      </c>
      <c r="U312" s="99">
        <v>1047.1600000000001</v>
      </c>
      <c r="V312" s="99"/>
      <c r="W312" s="99"/>
      <c r="X312" s="99">
        <v>0</v>
      </c>
      <c r="Y312" s="99">
        <v>0</v>
      </c>
      <c r="Z312" s="99">
        <v>0</v>
      </c>
      <c r="AA312" s="99">
        <v>0</v>
      </c>
      <c r="AB312" s="99"/>
      <c r="AC312" s="99"/>
      <c r="AD312" s="99">
        <v>0</v>
      </c>
      <c r="AE312" s="99">
        <f>SUM(AF312:AF312)</f>
        <v>0</v>
      </c>
      <c r="AF312" s="99"/>
      <c r="AG312" s="99"/>
      <c r="AH312" s="99"/>
      <c r="AI312" s="99"/>
      <c r="AJ312" s="99">
        <v>0</v>
      </c>
      <c r="AK312" s="99">
        <v>0</v>
      </c>
      <c r="AL312" s="99">
        <v>0</v>
      </c>
      <c r="AM312" s="99">
        <v>0</v>
      </c>
      <c r="AN312" s="99">
        <v>0</v>
      </c>
      <c r="AO312" s="412"/>
    </row>
    <row r="313" spans="1:41" s="273" customFormat="1" ht="16.5" hidden="1" customHeight="1">
      <c r="A313" s="804"/>
      <c r="B313" s="257" t="s">
        <v>275</v>
      </c>
      <c r="C313" s="371"/>
      <c r="D313" s="371"/>
      <c r="E313" s="371"/>
      <c r="F313" s="371"/>
      <c r="G313" s="371"/>
      <c r="H313" s="372"/>
      <c r="I313" s="822"/>
      <c r="J313" s="263"/>
      <c r="K313" s="99"/>
      <c r="L313" s="99"/>
      <c r="M313" s="99"/>
      <c r="N313" s="99"/>
      <c r="O313" s="99"/>
      <c r="P313" s="99">
        <f>R313+T313</f>
        <v>0</v>
      </c>
      <c r="Q313" s="99">
        <f>S313+U313</f>
        <v>0</v>
      </c>
      <c r="R313" s="99">
        <v>0</v>
      </c>
      <c r="S313" s="99">
        <v>0</v>
      </c>
      <c r="T313" s="99">
        <f>U313</f>
        <v>0</v>
      </c>
      <c r="U313" s="99">
        <v>0</v>
      </c>
      <c r="V313" s="99"/>
      <c r="W313" s="99"/>
      <c r="X313" s="99"/>
      <c r="Y313" s="99"/>
      <c r="Z313" s="99">
        <f>SUM(AA313:AC313)</f>
        <v>0</v>
      </c>
      <c r="AA313" s="99"/>
      <c r="AB313" s="99">
        <v>0</v>
      </c>
      <c r="AC313" s="99">
        <v>0</v>
      </c>
      <c r="AD313" s="99"/>
      <c r="AE313" s="99"/>
      <c r="AF313" s="99"/>
      <c r="AG313" s="99"/>
      <c r="AH313" s="99"/>
      <c r="AI313" s="99"/>
      <c r="AJ313" s="99"/>
      <c r="AK313" s="99"/>
      <c r="AL313" s="99"/>
      <c r="AM313" s="99"/>
      <c r="AN313" s="99"/>
      <c r="AO313" s="412"/>
    </row>
    <row r="314" spans="1:41" ht="17.25" customHeight="1">
      <c r="A314" s="805"/>
      <c r="B314" s="1" t="s">
        <v>16</v>
      </c>
      <c r="C314" s="281"/>
      <c r="D314" s="281"/>
      <c r="E314" s="281"/>
      <c r="F314" s="281"/>
      <c r="G314" s="284">
        <v>2020</v>
      </c>
      <c r="H314" s="284">
        <v>2021</v>
      </c>
      <c r="I314" s="821"/>
      <c r="J314" s="54">
        <f t="shared" ref="J314" si="500">L314</f>
        <v>44570.33</v>
      </c>
      <c r="K314" s="6"/>
      <c r="L314" s="47">
        <v>44570.33</v>
      </c>
      <c r="M314" s="47">
        <v>0</v>
      </c>
      <c r="N314" s="47">
        <v>9523.69</v>
      </c>
      <c r="O314" s="47">
        <v>22469.279999999999</v>
      </c>
      <c r="P314" s="47">
        <v>2605.9899999999998</v>
      </c>
      <c r="Q314" s="47">
        <v>0</v>
      </c>
      <c r="R314" s="47">
        <v>0</v>
      </c>
      <c r="S314" s="47">
        <v>0</v>
      </c>
      <c r="T314" s="47">
        <v>0</v>
      </c>
      <c r="U314" s="47">
        <v>0</v>
      </c>
      <c r="V314" s="47">
        <v>0</v>
      </c>
      <c r="W314" s="47">
        <v>0</v>
      </c>
      <c r="X314" s="47">
        <v>0</v>
      </c>
      <c r="Y314" s="47">
        <v>0</v>
      </c>
      <c r="Z314" s="47">
        <v>0</v>
      </c>
      <c r="AA314" s="47">
        <v>0</v>
      </c>
      <c r="AB314" s="47">
        <v>0</v>
      </c>
      <c r="AC314" s="47">
        <v>0</v>
      </c>
      <c r="AD314" s="47">
        <v>0</v>
      </c>
      <c r="AE314" s="47">
        <v>0</v>
      </c>
      <c r="AF314" s="47">
        <v>0</v>
      </c>
      <c r="AG314" s="47">
        <v>0</v>
      </c>
      <c r="AH314" s="47">
        <v>0</v>
      </c>
      <c r="AI314" s="47">
        <v>0</v>
      </c>
      <c r="AJ314" s="47">
        <v>0</v>
      </c>
      <c r="AK314" s="47">
        <v>0</v>
      </c>
      <c r="AL314" s="47">
        <v>0</v>
      </c>
      <c r="AM314" s="47">
        <v>0</v>
      </c>
      <c r="AN314" s="47">
        <v>0</v>
      </c>
      <c r="AO314" s="427"/>
    </row>
    <row r="315" spans="1:41" ht="90.75" customHeight="1">
      <c r="A315" s="803" t="s">
        <v>417</v>
      </c>
      <c r="B315" s="83" t="s">
        <v>168</v>
      </c>
      <c r="C315" s="824"/>
      <c r="D315" s="824"/>
      <c r="E315" s="824"/>
      <c r="F315" s="824">
        <v>81</v>
      </c>
      <c r="G315" s="52"/>
      <c r="H315" s="52"/>
      <c r="I315" s="820" t="s">
        <v>20</v>
      </c>
      <c r="J315" s="54">
        <f>L315</f>
        <v>1937.03</v>
      </c>
      <c r="K315" s="6"/>
      <c r="L315" s="82">
        <f>L316+L321</f>
        <v>1937.03</v>
      </c>
      <c r="M315" s="82">
        <f t="shared" ref="M315:P315" si="501">M316+M321</f>
        <v>297.18</v>
      </c>
      <c r="N315" s="82">
        <f t="shared" si="501"/>
        <v>1639.85</v>
      </c>
      <c r="O315" s="82">
        <f t="shared" si="501"/>
        <v>0</v>
      </c>
      <c r="P315" s="82">
        <f t="shared" si="501"/>
        <v>0</v>
      </c>
      <c r="Q315" s="82">
        <f>Q316+Q321</f>
        <v>0</v>
      </c>
      <c r="R315" s="82">
        <f t="shared" ref="R315:Z315" si="502">R316+R321</f>
        <v>0</v>
      </c>
      <c r="S315" s="82">
        <f t="shared" si="502"/>
        <v>0</v>
      </c>
      <c r="T315" s="82">
        <f t="shared" si="502"/>
        <v>0</v>
      </c>
      <c r="U315" s="82">
        <f t="shared" si="502"/>
        <v>0</v>
      </c>
      <c r="V315" s="82">
        <f t="shared" si="502"/>
        <v>0</v>
      </c>
      <c r="W315" s="82">
        <f t="shared" si="502"/>
        <v>0</v>
      </c>
      <c r="X315" s="82">
        <f t="shared" si="502"/>
        <v>0</v>
      </c>
      <c r="Y315" s="82">
        <f t="shared" si="502"/>
        <v>0</v>
      </c>
      <c r="Z315" s="82">
        <f t="shared" si="502"/>
        <v>0</v>
      </c>
      <c r="AA315" s="82">
        <f>AA316+AA321</f>
        <v>0</v>
      </c>
      <c r="AB315" s="82">
        <f t="shared" ref="AB315:AD315" si="503">AB316+AB321</f>
        <v>0</v>
      </c>
      <c r="AC315" s="82">
        <f t="shared" si="503"/>
        <v>0</v>
      </c>
      <c r="AD315" s="82">
        <f t="shared" si="503"/>
        <v>0</v>
      </c>
      <c r="AE315" s="82">
        <f t="shared" ref="AE315:AG315" si="504">AE316+AE321</f>
        <v>0</v>
      </c>
      <c r="AF315" s="82">
        <f t="shared" si="504"/>
        <v>0</v>
      </c>
      <c r="AG315" s="82">
        <f t="shared" si="504"/>
        <v>0</v>
      </c>
      <c r="AH315" s="82">
        <f t="shared" ref="AH315:AI315" si="505">AH316+AH321</f>
        <v>0</v>
      </c>
      <c r="AI315" s="82">
        <f t="shared" si="505"/>
        <v>0</v>
      </c>
      <c r="AJ315" s="82">
        <f>P315-Q315</f>
        <v>0</v>
      </c>
      <c r="AK315" s="82">
        <f>AJ315</f>
        <v>0</v>
      </c>
      <c r="AL315" s="82">
        <v>0</v>
      </c>
      <c r="AM315" s="82">
        <f t="shared" ref="AM315:AN315" si="506">AM316+AM321</f>
        <v>0</v>
      </c>
      <c r="AN315" s="82">
        <f t="shared" si="506"/>
        <v>0</v>
      </c>
      <c r="AO315" s="411" t="s">
        <v>264</v>
      </c>
    </row>
    <row r="316" spans="1:41" ht="17.25" customHeight="1">
      <c r="A316" s="804"/>
      <c r="B316" s="1" t="s">
        <v>15</v>
      </c>
      <c r="C316" s="823"/>
      <c r="D316" s="823"/>
      <c r="E316" s="823"/>
      <c r="F316" s="823"/>
      <c r="G316" s="284">
        <v>2021</v>
      </c>
      <c r="H316" s="284">
        <v>2023</v>
      </c>
      <c r="I316" s="822"/>
      <c r="J316" s="54">
        <f t="shared" ref="J316" si="507">L316</f>
        <v>297.18</v>
      </c>
      <c r="K316" s="6"/>
      <c r="L316" s="22">
        <v>297.18</v>
      </c>
      <c r="M316" s="22">
        <v>297.18</v>
      </c>
      <c r="N316" s="22">
        <v>0</v>
      </c>
      <c r="O316" s="22">
        <v>0</v>
      </c>
      <c r="P316" s="22">
        <v>0</v>
      </c>
      <c r="Q316" s="47">
        <f>SUM(Q318:Q320)</f>
        <v>0</v>
      </c>
      <c r="R316" s="47">
        <f t="shared" ref="R316:AD316" si="508">SUM(R318:R320)</f>
        <v>0</v>
      </c>
      <c r="S316" s="47">
        <f t="shared" si="508"/>
        <v>0</v>
      </c>
      <c r="T316" s="47">
        <f t="shared" si="508"/>
        <v>0</v>
      </c>
      <c r="U316" s="47">
        <f t="shared" si="508"/>
        <v>0</v>
      </c>
      <c r="V316" s="47">
        <f t="shared" si="508"/>
        <v>0</v>
      </c>
      <c r="W316" s="47">
        <f t="shared" si="508"/>
        <v>0</v>
      </c>
      <c r="X316" s="22">
        <v>0</v>
      </c>
      <c r="Y316" s="47">
        <f t="shared" si="508"/>
        <v>0</v>
      </c>
      <c r="Z316" s="47">
        <f t="shared" si="508"/>
        <v>0</v>
      </c>
      <c r="AA316" s="47">
        <f t="shared" si="508"/>
        <v>0</v>
      </c>
      <c r="AB316" s="47">
        <f t="shared" si="508"/>
        <v>0</v>
      </c>
      <c r="AC316" s="47">
        <f t="shared" si="508"/>
        <v>0</v>
      </c>
      <c r="AD316" s="47">
        <f t="shared" si="508"/>
        <v>0</v>
      </c>
      <c r="AE316" s="47">
        <f t="shared" ref="AE316:AF316" si="509">AE320</f>
        <v>0</v>
      </c>
      <c r="AF316" s="47">
        <f t="shared" si="509"/>
        <v>0</v>
      </c>
      <c r="AG316" s="47">
        <f t="shared" ref="AG316:AH316" si="510">AG320</f>
        <v>0</v>
      </c>
      <c r="AH316" s="47">
        <f t="shared" si="510"/>
        <v>0</v>
      </c>
      <c r="AI316" s="47">
        <f t="shared" ref="AI316" si="511">AI320</f>
        <v>0</v>
      </c>
      <c r="AJ316" s="47">
        <v>0</v>
      </c>
      <c r="AK316" s="47">
        <v>0</v>
      </c>
      <c r="AL316" s="47">
        <v>0</v>
      </c>
      <c r="AM316" s="47">
        <v>0</v>
      </c>
      <c r="AN316" s="47">
        <v>0</v>
      </c>
      <c r="AO316" s="427"/>
    </row>
    <row r="317" spans="1:41" s="100" customFormat="1" ht="17.25" hidden="1" customHeight="1">
      <c r="A317" s="804"/>
      <c r="B317" s="105" t="s">
        <v>93</v>
      </c>
      <c r="C317" s="106"/>
      <c r="D317" s="106"/>
      <c r="E317" s="106"/>
      <c r="F317" s="106"/>
      <c r="G317" s="107"/>
      <c r="H317" s="107"/>
      <c r="I317" s="822"/>
      <c r="J317" s="108"/>
      <c r="K317" s="109"/>
      <c r="L317" s="178"/>
      <c r="M317" s="99"/>
      <c r="N317" s="99"/>
      <c r="O317" s="99"/>
      <c r="P317" s="99">
        <f>R317</f>
        <v>0</v>
      </c>
      <c r="Q317" s="99">
        <f>S317</f>
        <v>0</v>
      </c>
      <c r="R317" s="99">
        <f>S317</f>
        <v>0</v>
      </c>
      <c r="S317" s="99">
        <v>0</v>
      </c>
      <c r="T317" s="99"/>
      <c r="U317" s="99"/>
      <c r="V317" s="99"/>
      <c r="W317" s="99"/>
      <c r="X317" s="99">
        <v>0</v>
      </c>
      <c r="Y317" s="99">
        <v>0</v>
      </c>
      <c r="Z317" s="99">
        <v>0</v>
      </c>
      <c r="AA317" s="99">
        <v>0</v>
      </c>
      <c r="AB317" s="99"/>
      <c r="AC317" s="99"/>
      <c r="AD317" s="99"/>
      <c r="AE317" s="99"/>
      <c r="AF317" s="99"/>
      <c r="AG317" s="99"/>
      <c r="AH317" s="99"/>
      <c r="AI317" s="99"/>
      <c r="AJ317" s="99"/>
      <c r="AK317" s="99"/>
      <c r="AL317" s="99"/>
      <c r="AM317" s="99"/>
      <c r="AN317" s="99"/>
      <c r="AO317" s="429"/>
    </row>
    <row r="318" spans="1:41" s="273" customFormat="1" ht="17.25" hidden="1" customHeight="1">
      <c r="A318" s="804"/>
      <c r="B318" s="257" t="s">
        <v>230</v>
      </c>
      <c r="C318" s="371"/>
      <c r="D318" s="371"/>
      <c r="E318" s="371"/>
      <c r="F318" s="371"/>
      <c r="G318" s="371"/>
      <c r="H318" s="372"/>
      <c r="I318" s="822"/>
      <c r="J318" s="263"/>
      <c r="K318" s="99"/>
      <c r="L318" s="99"/>
      <c r="M318" s="99"/>
      <c r="N318" s="99"/>
      <c r="O318" s="99"/>
      <c r="P318" s="47"/>
      <c r="Q318" s="99">
        <f>Y318</f>
        <v>0</v>
      </c>
      <c r="R318" s="99"/>
      <c r="S318" s="99"/>
      <c r="T318" s="99"/>
      <c r="U318" s="99"/>
      <c r="V318" s="99"/>
      <c r="W318" s="99"/>
      <c r="X318" s="99">
        <v>0</v>
      </c>
      <c r="Y318" s="99">
        <v>0</v>
      </c>
      <c r="Z318" s="99">
        <v>0</v>
      </c>
      <c r="AA318" s="99">
        <v>0</v>
      </c>
      <c r="AB318" s="99"/>
      <c r="AC318" s="99"/>
      <c r="AD318" s="99"/>
      <c r="AE318" s="99"/>
      <c r="AF318" s="99"/>
      <c r="AG318" s="99"/>
      <c r="AH318" s="99"/>
      <c r="AI318" s="99"/>
      <c r="AJ318" s="99"/>
      <c r="AK318" s="99"/>
      <c r="AL318" s="99"/>
      <c r="AM318" s="99"/>
      <c r="AN318" s="99"/>
      <c r="AO318" s="412"/>
    </row>
    <row r="319" spans="1:41" s="273" customFormat="1" ht="17.25" hidden="1" customHeight="1">
      <c r="A319" s="804"/>
      <c r="B319" s="257" t="s">
        <v>231</v>
      </c>
      <c r="C319" s="371"/>
      <c r="D319" s="371"/>
      <c r="E319" s="371"/>
      <c r="F319" s="371"/>
      <c r="G319" s="371"/>
      <c r="H319" s="372"/>
      <c r="I319" s="822"/>
      <c r="J319" s="263"/>
      <c r="K319" s="99"/>
      <c r="L319" s="99"/>
      <c r="M319" s="99"/>
      <c r="N319" s="99"/>
      <c r="O319" s="99"/>
      <c r="P319" s="47"/>
      <c r="Q319" s="99">
        <f>S319</f>
        <v>0</v>
      </c>
      <c r="R319" s="99">
        <f>S319</f>
        <v>0</v>
      </c>
      <c r="S319" s="99">
        <v>0</v>
      </c>
      <c r="T319" s="99"/>
      <c r="U319" s="99"/>
      <c r="V319" s="99"/>
      <c r="W319" s="99"/>
      <c r="X319" s="99">
        <v>0</v>
      </c>
      <c r="Y319" s="99">
        <v>0</v>
      </c>
      <c r="Z319" s="99">
        <f>AA319</f>
        <v>0</v>
      </c>
      <c r="AA319" s="99">
        <v>0</v>
      </c>
      <c r="AB319" s="99"/>
      <c r="AC319" s="99"/>
      <c r="AD319" s="99"/>
      <c r="AE319" s="99"/>
      <c r="AF319" s="99"/>
      <c r="AG319" s="99"/>
      <c r="AH319" s="99"/>
      <c r="AI319" s="99"/>
      <c r="AJ319" s="99"/>
      <c r="AK319" s="99"/>
      <c r="AL319" s="99"/>
      <c r="AM319" s="99"/>
      <c r="AN319" s="99"/>
      <c r="AO319" s="412"/>
    </row>
    <row r="320" spans="1:41" s="273" customFormat="1" ht="17.25" hidden="1" customHeight="1">
      <c r="A320" s="804"/>
      <c r="B320" s="257" t="s">
        <v>232</v>
      </c>
      <c r="C320" s="371"/>
      <c r="D320" s="371"/>
      <c r="E320" s="371"/>
      <c r="F320" s="371"/>
      <c r="G320" s="371"/>
      <c r="H320" s="372"/>
      <c r="I320" s="822"/>
      <c r="J320" s="263"/>
      <c r="K320" s="99"/>
      <c r="L320" s="99"/>
      <c r="M320" s="99"/>
      <c r="N320" s="99"/>
      <c r="O320" s="99"/>
      <c r="P320" s="47"/>
      <c r="Q320" s="99">
        <f t="shared" ref="Q320" si="512">Y320</f>
        <v>0</v>
      </c>
      <c r="R320" s="99"/>
      <c r="S320" s="99"/>
      <c r="T320" s="99"/>
      <c r="U320" s="99"/>
      <c r="V320" s="99"/>
      <c r="W320" s="99"/>
      <c r="X320" s="99">
        <v>0</v>
      </c>
      <c r="Y320" s="99">
        <v>0</v>
      </c>
      <c r="Z320" s="99">
        <v>0</v>
      </c>
      <c r="AA320" s="99">
        <v>0</v>
      </c>
      <c r="AB320" s="99"/>
      <c r="AC320" s="99"/>
      <c r="AD320" s="99"/>
      <c r="AE320" s="99"/>
      <c r="AF320" s="99"/>
      <c r="AG320" s="99"/>
      <c r="AH320" s="99"/>
      <c r="AI320" s="99"/>
      <c r="AJ320" s="99"/>
      <c r="AK320" s="99"/>
      <c r="AL320" s="99"/>
      <c r="AM320" s="99"/>
      <c r="AN320" s="99"/>
      <c r="AO320" s="412"/>
    </row>
    <row r="321" spans="1:42" ht="15.75" customHeight="1">
      <c r="A321" s="805"/>
      <c r="B321" s="1" t="s">
        <v>32</v>
      </c>
      <c r="C321" s="281"/>
      <c r="D321" s="281"/>
      <c r="E321" s="281"/>
      <c r="F321" s="281"/>
      <c r="G321" s="284">
        <v>2022</v>
      </c>
      <c r="H321" s="284">
        <v>2025</v>
      </c>
      <c r="I321" s="821"/>
      <c r="J321" s="54">
        <f t="shared" ref="J321:J322" si="513">L321</f>
        <v>1639.85</v>
      </c>
      <c r="K321" s="6"/>
      <c r="L321" s="22">
        <v>1639.85</v>
      </c>
      <c r="M321" s="47">
        <v>0</v>
      </c>
      <c r="N321" s="47">
        <v>1639.85</v>
      </c>
      <c r="O321" s="47">
        <v>0</v>
      </c>
      <c r="P321" s="47">
        <v>0</v>
      </c>
      <c r="Q321" s="47">
        <v>0</v>
      </c>
      <c r="R321" s="47">
        <v>0</v>
      </c>
      <c r="S321" s="47">
        <v>0</v>
      </c>
      <c r="T321" s="47">
        <v>0</v>
      </c>
      <c r="U321" s="47">
        <v>0</v>
      </c>
      <c r="V321" s="47">
        <v>0</v>
      </c>
      <c r="W321" s="47">
        <v>0</v>
      </c>
      <c r="X321" s="47">
        <v>0</v>
      </c>
      <c r="Y321" s="47">
        <v>0</v>
      </c>
      <c r="Z321" s="47">
        <v>0</v>
      </c>
      <c r="AA321" s="47">
        <v>0</v>
      </c>
      <c r="AB321" s="47">
        <v>0</v>
      </c>
      <c r="AC321" s="47">
        <v>0</v>
      </c>
      <c r="AD321" s="47">
        <v>0</v>
      </c>
      <c r="AE321" s="47">
        <v>0</v>
      </c>
      <c r="AF321" s="47">
        <v>0</v>
      </c>
      <c r="AG321" s="47">
        <v>0</v>
      </c>
      <c r="AH321" s="47">
        <v>0</v>
      </c>
      <c r="AI321" s="47">
        <v>0</v>
      </c>
      <c r="AJ321" s="47">
        <v>0</v>
      </c>
      <c r="AK321" s="47">
        <v>0</v>
      </c>
      <c r="AL321" s="47">
        <v>0</v>
      </c>
      <c r="AM321" s="47">
        <v>0</v>
      </c>
      <c r="AN321" s="47">
        <v>0</v>
      </c>
      <c r="AO321" s="427"/>
    </row>
    <row r="322" spans="1:42" ht="25.5" customHeight="1">
      <c r="A322" s="803" t="s">
        <v>418</v>
      </c>
      <c r="B322" s="80" t="s">
        <v>369</v>
      </c>
      <c r="C322" s="281"/>
      <c r="D322" s="281"/>
      <c r="E322" s="281"/>
      <c r="F322" s="281">
        <v>82</v>
      </c>
      <c r="G322" s="52"/>
      <c r="H322" s="52"/>
      <c r="I322" s="820" t="s">
        <v>20</v>
      </c>
      <c r="J322" s="54">
        <f t="shared" si="513"/>
        <v>62784.66</v>
      </c>
      <c r="K322" s="6"/>
      <c r="L322" s="82">
        <f>L325+L324</f>
        <v>62784.66</v>
      </c>
      <c r="M322" s="82">
        <f t="shared" ref="M322:W322" si="514">M325+M324</f>
        <v>0</v>
      </c>
      <c r="N322" s="82">
        <f t="shared" si="514"/>
        <v>0</v>
      </c>
      <c r="O322" s="82">
        <f t="shared" si="514"/>
        <v>5371.98</v>
      </c>
      <c r="P322" s="82">
        <f t="shared" si="514"/>
        <v>2784.66</v>
      </c>
      <c r="Q322" s="82">
        <f t="shared" si="514"/>
        <v>0</v>
      </c>
      <c r="R322" s="82">
        <f t="shared" si="514"/>
        <v>0</v>
      </c>
      <c r="S322" s="82">
        <f t="shared" si="514"/>
        <v>0</v>
      </c>
      <c r="T322" s="82">
        <f t="shared" si="514"/>
        <v>0</v>
      </c>
      <c r="U322" s="82">
        <f t="shared" si="514"/>
        <v>0</v>
      </c>
      <c r="V322" s="82">
        <f t="shared" si="514"/>
        <v>0</v>
      </c>
      <c r="W322" s="82">
        <f t="shared" si="514"/>
        <v>0</v>
      </c>
      <c r="X322" s="82">
        <f t="shared" ref="X322:AN322" si="515">X325</f>
        <v>0</v>
      </c>
      <c r="Y322" s="82">
        <f t="shared" si="515"/>
        <v>0</v>
      </c>
      <c r="Z322" s="82">
        <f t="shared" si="515"/>
        <v>0</v>
      </c>
      <c r="AA322" s="82">
        <f t="shared" si="515"/>
        <v>0</v>
      </c>
      <c r="AB322" s="82">
        <f t="shared" si="515"/>
        <v>0</v>
      </c>
      <c r="AC322" s="82">
        <f t="shared" si="515"/>
        <v>0</v>
      </c>
      <c r="AD322" s="82">
        <f t="shared" si="515"/>
        <v>0</v>
      </c>
      <c r="AE322" s="82">
        <f t="shared" si="515"/>
        <v>0</v>
      </c>
      <c r="AF322" s="82">
        <f t="shared" si="515"/>
        <v>0</v>
      </c>
      <c r="AG322" s="82">
        <f t="shared" ref="AG322:AH322" si="516">AG325</f>
        <v>0</v>
      </c>
      <c r="AH322" s="82">
        <f t="shared" si="516"/>
        <v>0</v>
      </c>
      <c r="AI322" s="82">
        <f t="shared" ref="AI322" si="517">AI325</f>
        <v>0</v>
      </c>
      <c r="AJ322" s="82">
        <f t="shared" si="515"/>
        <v>0</v>
      </c>
      <c r="AK322" s="82">
        <f t="shared" si="515"/>
        <v>0</v>
      </c>
      <c r="AL322" s="82">
        <f t="shared" si="515"/>
        <v>0</v>
      </c>
      <c r="AM322" s="82">
        <f t="shared" si="515"/>
        <v>0</v>
      </c>
      <c r="AN322" s="82">
        <f t="shared" si="515"/>
        <v>0</v>
      </c>
      <c r="AO322" s="428"/>
    </row>
    <row r="323" spans="1:42" ht="15.75" hidden="1" customHeight="1">
      <c r="A323" s="804"/>
      <c r="B323" s="105" t="s">
        <v>93</v>
      </c>
      <c r="C323" s="106"/>
      <c r="D323" s="106"/>
      <c r="E323" s="106"/>
      <c r="F323" s="106"/>
      <c r="G323" s="107"/>
      <c r="H323" s="107"/>
      <c r="I323" s="822"/>
      <c r="J323" s="108"/>
      <c r="K323" s="109"/>
      <c r="L323" s="178"/>
      <c r="M323" s="99"/>
      <c r="N323" s="99"/>
      <c r="O323" s="99"/>
      <c r="P323" s="47">
        <f t="shared" ref="P323" si="518">R323</f>
        <v>0</v>
      </c>
      <c r="Q323" s="99">
        <f t="shared" ref="Q323" si="519">S323</f>
        <v>0</v>
      </c>
      <c r="R323" s="47">
        <f t="shared" ref="R323" si="520">S323</f>
        <v>0</v>
      </c>
      <c r="S323" s="47">
        <v>0</v>
      </c>
      <c r="T323" s="99"/>
      <c r="U323" s="99"/>
      <c r="V323" s="99"/>
      <c r="W323" s="99"/>
      <c r="X323" s="47"/>
      <c r="Y323" s="47"/>
      <c r="Z323" s="99">
        <v>0</v>
      </c>
      <c r="AA323" s="99">
        <v>0</v>
      </c>
      <c r="AB323" s="99"/>
      <c r="AC323" s="99"/>
      <c r="AD323" s="99"/>
      <c r="AE323" s="99"/>
      <c r="AF323" s="99"/>
      <c r="AG323" s="99"/>
      <c r="AH323" s="99"/>
      <c r="AI323" s="99"/>
      <c r="AJ323" s="99"/>
      <c r="AK323" s="99"/>
      <c r="AL323" s="99"/>
      <c r="AM323" s="99"/>
      <c r="AN323" s="99"/>
      <c r="AO323" s="429"/>
    </row>
    <row r="324" spans="1:42" ht="15.75" customHeight="1">
      <c r="A324" s="804"/>
      <c r="B324" s="1" t="s">
        <v>15</v>
      </c>
      <c r="C324" s="106"/>
      <c r="D324" s="106"/>
      <c r="E324" s="106"/>
      <c r="F324" s="106"/>
      <c r="G324" s="107"/>
      <c r="H324" s="107"/>
      <c r="I324" s="822"/>
      <c r="J324" s="108"/>
      <c r="K324" s="109"/>
      <c r="L324" s="22">
        <v>2784.66</v>
      </c>
      <c r="M324" s="99"/>
      <c r="N324" s="99"/>
      <c r="O324" s="99"/>
      <c r="P324" s="47">
        <v>2784.66</v>
      </c>
      <c r="Q324" s="47">
        <v>0</v>
      </c>
      <c r="R324" s="47">
        <v>0</v>
      </c>
      <c r="S324" s="47">
        <v>0</v>
      </c>
      <c r="T324" s="47">
        <v>0</v>
      </c>
      <c r="U324" s="47">
        <v>0</v>
      </c>
      <c r="V324" s="47">
        <v>0</v>
      </c>
      <c r="W324" s="47">
        <v>0</v>
      </c>
      <c r="X324" s="47">
        <v>0</v>
      </c>
      <c r="Y324" s="47">
        <v>0</v>
      </c>
      <c r="Z324" s="47">
        <v>0</v>
      </c>
      <c r="AA324" s="47">
        <v>0</v>
      </c>
      <c r="AB324" s="47">
        <v>0</v>
      </c>
      <c r="AC324" s="47">
        <v>0</v>
      </c>
      <c r="AD324" s="47">
        <v>0</v>
      </c>
      <c r="AE324" s="47">
        <v>0</v>
      </c>
      <c r="AF324" s="47">
        <v>0</v>
      </c>
      <c r="AG324" s="47">
        <v>0</v>
      </c>
      <c r="AH324" s="47">
        <v>0</v>
      </c>
      <c r="AI324" s="47">
        <v>0</v>
      </c>
      <c r="AJ324" s="47">
        <v>0</v>
      </c>
      <c r="AK324" s="47">
        <v>0</v>
      </c>
      <c r="AL324" s="47">
        <v>0</v>
      </c>
      <c r="AM324" s="47">
        <v>0</v>
      </c>
      <c r="AN324" s="47">
        <v>0</v>
      </c>
      <c r="AO324" s="429"/>
    </row>
    <row r="325" spans="1:42" ht="15" customHeight="1">
      <c r="A325" s="805"/>
      <c r="B325" s="1" t="s">
        <v>218</v>
      </c>
      <c r="C325" s="281"/>
      <c r="D325" s="281"/>
      <c r="E325" s="281"/>
      <c r="F325" s="281"/>
      <c r="G325" s="284">
        <v>2024</v>
      </c>
      <c r="H325" s="284">
        <v>2029</v>
      </c>
      <c r="I325" s="821"/>
      <c r="J325" s="54">
        <f t="shared" ref="J325:J326" si="521">L325</f>
        <v>60000</v>
      </c>
      <c r="K325" s="6"/>
      <c r="L325" s="22">
        <v>60000</v>
      </c>
      <c r="M325" s="47">
        <v>0</v>
      </c>
      <c r="N325" s="47">
        <v>0</v>
      </c>
      <c r="O325" s="47">
        <v>5371.98</v>
      </c>
      <c r="P325" s="47">
        <v>0</v>
      </c>
      <c r="Q325" s="47">
        <v>0</v>
      </c>
      <c r="R325" s="47">
        <v>0</v>
      </c>
      <c r="S325" s="47">
        <v>0</v>
      </c>
      <c r="T325" s="47">
        <v>0</v>
      </c>
      <c r="U325" s="47">
        <v>0</v>
      </c>
      <c r="V325" s="47">
        <v>0</v>
      </c>
      <c r="W325" s="47">
        <v>0</v>
      </c>
      <c r="X325" s="47">
        <v>0</v>
      </c>
      <c r="Y325" s="47">
        <v>0</v>
      </c>
      <c r="Z325" s="47">
        <v>0</v>
      </c>
      <c r="AA325" s="47">
        <v>0</v>
      </c>
      <c r="AB325" s="47">
        <v>0</v>
      </c>
      <c r="AC325" s="47">
        <v>0</v>
      </c>
      <c r="AD325" s="47">
        <v>0</v>
      </c>
      <c r="AE325" s="47">
        <v>0</v>
      </c>
      <c r="AF325" s="47">
        <v>0</v>
      </c>
      <c r="AG325" s="47">
        <v>0</v>
      </c>
      <c r="AH325" s="47">
        <v>0</v>
      </c>
      <c r="AI325" s="47">
        <v>0</v>
      </c>
      <c r="AJ325" s="47">
        <v>0</v>
      </c>
      <c r="AK325" s="47">
        <v>0</v>
      </c>
      <c r="AL325" s="47">
        <v>0</v>
      </c>
      <c r="AM325" s="47">
        <v>0</v>
      </c>
      <c r="AN325" s="47">
        <v>0</v>
      </c>
      <c r="AO325" s="427"/>
    </row>
    <row r="326" spans="1:42" ht="25.5" customHeight="1">
      <c r="A326" s="1012" t="s">
        <v>419</v>
      </c>
      <c r="B326" s="80" t="s">
        <v>370</v>
      </c>
      <c r="C326" s="668"/>
      <c r="D326" s="668"/>
      <c r="E326" s="668"/>
      <c r="F326" s="668">
        <v>83</v>
      </c>
      <c r="G326" s="52"/>
      <c r="H326" s="52"/>
      <c r="I326" s="670"/>
      <c r="J326" s="54">
        <f t="shared" si="521"/>
        <v>264154.26</v>
      </c>
      <c r="K326" s="6"/>
      <c r="L326" s="82">
        <f>L327+L331</f>
        <v>264154.26</v>
      </c>
      <c r="M326" s="82">
        <f t="shared" ref="M326:O326" si="522">M327+M331</f>
        <v>263850.07</v>
      </c>
      <c r="N326" s="82">
        <f t="shared" si="522"/>
        <v>263850.07</v>
      </c>
      <c r="O326" s="82">
        <f t="shared" si="522"/>
        <v>263850.07</v>
      </c>
      <c r="P326" s="82">
        <f>P327+P331</f>
        <v>300.79000000000002</v>
      </c>
      <c r="Q326" s="82">
        <f>Q327+Q331</f>
        <v>175161.74234999999</v>
      </c>
      <c r="R326" s="82">
        <f>R327+R331</f>
        <v>21023.332999999999</v>
      </c>
      <c r="S326" s="82">
        <f t="shared" ref="S326:AF326" si="523">S327+S331</f>
        <v>21023.332999999999</v>
      </c>
      <c r="T326" s="82">
        <f t="shared" si="523"/>
        <v>32333.282999999999</v>
      </c>
      <c r="U326" s="82">
        <f t="shared" si="523"/>
        <v>32333.282999999999</v>
      </c>
      <c r="V326" s="82">
        <f t="shared" si="523"/>
        <v>76473.909350000002</v>
      </c>
      <c r="W326" s="82">
        <f t="shared" si="523"/>
        <v>76473.909350000002</v>
      </c>
      <c r="X326" s="82">
        <f t="shared" si="523"/>
        <v>0</v>
      </c>
      <c r="Y326" s="82">
        <f>Y327+Y331</f>
        <v>45331.216999999997</v>
      </c>
      <c r="Z326" s="82">
        <f>Z327+Z331</f>
        <v>157434.52251999997</v>
      </c>
      <c r="AA326" s="82">
        <f t="shared" si="523"/>
        <v>21023.332999999999</v>
      </c>
      <c r="AB326" s="82">
        <f t="shared" si="523"/>
        <v>20531.917000000001</v>
      </c>
      <c r="AC326" s="82">
        <f>AC327+AC331</f>
        <v>76457.128519999998</v>
      </c>
      <c r="AD326" s="82">
        <f>AD327+AD331</f>
        <v>39422.144</v>
      </c>
      <c r="AE326" s="82">
        <f t="shared" si="523"/>
        <v>0</v>
      </c>
      <c r="AF326" s="82">
        <f t="shared" si="523"/>
        <v>0</v>
      </c>
      <c r="AG326" s="82">
        <f t="shared" ref="AG326:AN326" si="524">AG327</f>
        <v>0</v>
      </c>
      <c r="AH326" s="82">
        <f t="shared" si="524"/>
        <v>0</v>
      </c>
      <c r="AI326" s="82">
        <f t="shared" si="524"/>
        <v>0</v>
      </c>
      <c r="AJ326" s="82">
        <f t="shared" si="524"/>
        <v>0</v>
      </c>
      <c r="AK326" s="82">
        <f t="shared" si="524"/>
        <v>0</v>
      </c>
      <c r="AL326" s="82">
        <v>7.79</v>
      </c>
      <c r="AM326" s="82">
        <f t="shared" si="524"/>
        <v>0</v>
      </c>
      <c r="AN326" s="82">
        <f t="shared" si="524"/>
        <v>0</v>
      </c>
      <c r="AO326" s="428"/>
    </row>
    <row r="327" spans="1:42" ht="37.5" customHeight="1">
      <c r="A327" s="1012"/>
      <c r="B327" s="1" t="s">
        <v>218</v>
      </c>
      <c r="C327" s="668"/>
      <c r="D327" s="668"/>
      <c r="E327" s="668"/>
      <c r="F327" s="668"/>
      <c r="G327" s="670">
        <v>2026</v>
      </c>
      <c r="H327" s="670">
        <v>2033</v>
      </c>
      <c r="I327" s="670" t="s">
        <v>20</v>
      </c>
      <c r="J327" s="54">
        <f t="shared" ref="J327" si="525">L327</f>
        <v>304.19</v>
      </c>
      <c r="K327" s="6"/>
      <c r="L327" s="22">
        <v>304.19</v>
      </c>
      <c r="M327" s="47">
        <v>0</v>
      </c>
      <c r="N327" s="47">
        <v>0</v>
      </c>
      <c r="O327" s="47">
        <v>0</v>
      </c>
      <c r="P327" s="47">
        <v>300.79000000000002</v>
      </c>
      <c r="Q327" s="47">
        <f>SUM(Q328:Q330)</f>
        <v>119.64500000000001</v>
      </c>
      <c r="R327" s="47">
        <f t="shared" ref="R327:W327" si="526">SUM(R328:R329)</f>
        <v>0</v>
      </c>
      <c r="S327" s="47">
        <f t="shared" si="526"/>
        <v>0</v>
      </c>
      <c r="T327" s="47">
        <f t="shared" si="526"/>
        <v>3.4</v>
      </c>
      <c r="U327" s="47">
        <f t="shared" si="526"/>
        <v>3.4</v>
      </c>
      <c r="V327" s="47">
        <f t="shared" si="526"/>
        <v>0</v>
      </c>
      <c r="W327" s="47">
        <f t="shared" si="526"/>
        <v>0</v>
      </c>
      <c r="X327" s="47">
        <f>SUM(X328:X329)</f>
        <v>0</v>
      </c>
      <c r="Y327" s="47">
        <f>SUM(Y328:Y330)</f>
        <v>116.245</v>
      </c>
      <c r="Z327" s="47">
        <f t="shared" ref="Z327:AC327" si="527">SUM(Z328:Z330)</f>
        <v>119.64500000000001</v>
      </c>
      <c r="AA327" s="47">
        <f t="shared" si="527"/>
        <v>0</v>
      </c>
      <c r="AB327" s="47">
        <f t="shared" si="527"/>
        <v>3.4</v>
      </c>
      <c r="AC327" s="47">
        <f t="shared" si="527"/>
        <v>0</v>
      </c>
      <c r="AD327" s="47">
        <f>SUM(AD328:AD330)</f>
        <v>116.245</v>
      </c>
      <c r="AE327" s="47">
        <v>0</v>
      </c>
      <c r="AF327" s="47">
        <v>0</v>
      </c>
      <c r="AG327" s="47">
        <v>0</v>
      </c>
      <c r="AH327" s="47">
        <v>0</v>
      </c>
      <c r="AI327" s="47">
        <v>0</v>
      </c>
      <c r="AJ327" s="47">
        <v>0</v>
      </c>
      <c r="AK327" s="47">
        <v>0</v>
      </c>
      <c r="AL327" s="47">
        <v>0</v>
      </c>
      <c r="AM327" s="47">
        <v>0</v>
      </c>
      <c r="AN327" s="47">
        <v>0</v>
      </c>
      <c r="AO327" s="427"/>
    </row>
    <row r="328" spans="1:42" s="100" customFormat="1" ht="30" hidden="1" customHeight="1">
      <c r="A328" s="1013"/>
      <c r="B328" s="105" t="s">
        <v>357</v>
      </c>
      <c r="C328" s="677"/>
      <c r="D328" s="677"/>
      <c r="E328" s="677"/>
      <c r="F328" s="677"/>
      <c r="G328" s="107"/>
      <c r="H328" s="107"/>
      <c r="I328" s="107"/>
      <c r="J328" s="108"/>
      <c r="K328" s="109"/>
      <c r="L328" s="178"/>
      <c r="M328" s="99"/>
      <c r="N328" s="99"/>
      <c r="O328" s="99"/>
      <c r="P328" s="99">
        <f>R328</f>
        <v>0</v>
      </c>
      <c r="Q328" s="99">
        <f>U328</f>
        <v>3.4</v>
      </c>
      <c r="R328" s="99">
        <f>S328</f>
        <v>0</v>
      </c>
      <c r="S328" s="99">
        <v>0</v>
      </c>
      <c r="T328" s="99">
        <f>U328</f>
        <v>3.4</v>
      </c>
      <c r="U328" s="99">
        <v>3.4</v>
      </c>
      <c r="V328" s="99"/>
      <c r="W328" s="99"/>
      <c r="X328" s="99"/>
      <c r="Y328" s="99"/>
      <c r="Z328" s="178">
        <f>AB328</f>
        <v>3.4</v>
      </c>
      <c r="AA328" s="99">
        <v>0</v>
      </c>
      <c r="AB328" s="99">
        <v>3.4</v>
      </c>
      <c r="AC328" s="99"/>
      <c r="AD328" s="99"/>
      <c r="AE328" s="99"/>
      <c r="AF328" s="99"/>
      <c r="AG328" s="99"/>
      <c r="AH328" s="99"/>
      <c r="AI328" s="99"/>
      <c r="AJ328" s="99"/>
      <c r="AK328" s="99"/>
      <c r="AL328" s="99"/>
      <c r="AM328" s="99"/>
      <c r="AN328" s="99"/>
      <c r="AO328" s="429"/>
    </row>
    <row r="329" spans="1:42" s="52" customFormat="1" ht="25.5" hidden="1" customHeight="1">
      <c r="A329" s="1013"/>
      <c r="B329" s="105" t="s">
        <v>245</v>
      </c>
      <c r="C329" s="106"/>
      <c r="D329" s="106"/>
      <c r="E329" s="106"/>
      <c r="F329" s="106"/>
      <c r="G329" s="107"/>
      <c r="H329" s="107"/>
      <c r="I329" s="123"/>
      <c r="J329" s="108"/>
      <c r="K329" s="109"/>
      <c r="L329" s="178">
        <v>0</v>
      </c>
      <c r="M329" s="178">
        <v>0</v>
      </c>
      <c r="N329" s="178">
        <v>0</v>
      </c>
      <c r="O329" s="178">
        <v>0</v>
      </c>
      <c r="P329" s="178">
        <v>0</v>
      </c>
      <c r="Q329" s="178">
        <v>0</v>
      </c>
      <c r="R329" s="178">
        <v>0</v>
      </c>
      <c r="S329" s="178">
        <v>0</v>
      </c>
      <c r="T329" s="178">
        <v>0</v>
      </c>
      <c r="U329" s="178">
        <v>0</v>
      </c>
      <c r="V329" s="178">
        <v>0</v>
      </c>
      <c r="W329" s="178">
        <v>0</v>
      </c>
      <c r="X329" s="178">
        <v>0</v>
      </c>
      <c r="Y329" s="178">
        <v>0</v>
      </c>
      <c r="Z329" s="178">
        <f>AA329</f>
        <v>0</v>
      </c>
      <c r="AA329" s="178">
        <v>0</v>
      </c>
      <c r="AB329" s="178"/>
      <c r="AC329" s="178"/>
      <c r="AD329" s="178"/>
      <c r="AE329" s="178">
        <v>0</v>
      </c>
      <c r="AF329" s="178">
        <v>0</v>
      </c>
      <c r="AG329" s="178"/>
      <c r="AH329" s="178"/>
      <c r="AI329" s="178"/>
      <c r="AJ329" s="178">
        <v>0</v>
      </c>
      <c r="AK329" s="178">
        <v>0</v>
      </c>
      <c r="AL329" s="178">
        <v>0</v>
      </c>
      <c r="AM329" s="178">
        <v>0</v>
      </c>
      <c r="AN329" s="178">
        <v>0</v>
      </c>
      <c r="AO329" s="429"/>
      <c r="AP329" s="673"/>
    </row>
    <row r="330" spans="1:42" s="557" customFormat="1" ht="25.5" hidden="1" customHeight="1">
      <c r="A330" s="1013"/>
      <c r="B330" s="105" t="s">
        <v>376</v>
      </c>
      <c r="C330" s="106"/>
      <c r="D330" s="106"/>
      <c r="E330" s="106"/>
      <c r="F330" s="106"/>
      <c r="G330" s="107"/>
      <c r="H330" s="107"/>
      <c r="I330" s="123"/>
      <c r="J330" s="108"/>
      <c r="K330" s="109"/>
      <c r="L330" s="178"/>
      <c r="M330" s="178"/>
      <c r="N330" s="178"/>
      <c r="O330" s="178"/>
      <c r="P330" s="178">
        <f>R330+T330</f>
        <v>0</v>
      </c>
      <c r="Q330" s="178">
        <f>S330+U330+W330+Y330</f>
        <v>116.245</v>
      </c>
      <c r="R330" s="178"/>
      <c r="S330" s="178"/>
      <c r="T330" s="178">
        <v>0</v>
      </c>
      <c r="U330" s="178">
        <v>0</v>
      </c>
      <c r="V330" s="178">
        <f>W330</f>
        <v>0</v>
      </c>
      <c r="W330" s="178">
        <v>0</v>
      </c>
      <c r="X330" s="178"/>
      <c r="Y330" s="178">
        <v>116.245</v>
      </c>
      <c r="Z330" s="178">
        <f>SUM(AA330:AD330)</f>
        <v>116.245</v>
      </c>
      <c r="AA330" s="178"/>
      <c r="AB330" s="178">
        <v>0</v>
      </c>
      <c r="AC330" s="178">
        <v>0</v>
      </c>
      <c r="AD330" s="178">
        <v>116.245</v>
      </c>
      <c r="AE330" s="178"/>
      <c r="AF330" s="178"/>
      <c r="AG330" s="178"/>
      <c r="AH330" s="178"/>
      <c r="AI330" s="178"/>
      <c r="AJ330" s="178"/>
      <c r="AK330" s="178"/>
      <c r="AL330" s="178"/>
      <c r="AM330" s="178"/>
      <c r="AN330" s="178"/>
      <c r="AO330" s="429"/>
      <c r="AP330" s="674"/>
    </row>
    <row r="331" spans="1:42" s="26" customFormat="1" ht="14.25" customHeight="1">
      <c r="A331" s="1013"/>
      <c r="B331" s="1"/>
      <c r="C331" s="669"/>
      <c r="D331" s="669"/>
      <c r="E331" s="669"/>
      <c r="F331" s="669"/>
      <c r="G331" s="670"/>
      <c r="H331" s="670"/>
      <c r="I331" s="1" t="s">
        <v>10</v>
      </c>
      <c r="J331" s="54"/>
      <c r="K331" s="6"/>
      <c r="L331" s="22">
        <v>263850.07</v>
      </c>
      <c r="M331" s="22">
        <v>263850.07</v>
      </c>
      <c r="N331" s="22">
        <v>263850.07</v>
      </c>
      <c r="O331" s="22">
        <v>263850.07</v>
      </c>
      <c r="P331" s="22">
        <v>0</v>
      </c>
      <c r="Q331" s="22">
        <f t="shared" ref="Q331:AI331" si="528">SUM(Q332:Q334)</f>
        <v>175042.09735</v>
      </c>
      <c r="R331" s="22">
        <f t="shared" si="528"/>
        <v>21023.332999999999</v>
      </c>
      <c r="S331" s="22">
        <f t="shared" si="528"/>
        <v>21023.332999999999</v>
      </c>
      <c r="T331" s="22">
        <f t="shared" si="528"/>
        <v>32329.882999999998</v>
      </c>
      <c r="U331" s="22">
        <f t="shared" si="528"/>
        <v>32329.882999999998</v>
      </c>
      <c r="V331" s="22">
        <f t="shared" si="528"/>
        <v>76473.909350000002</v>
      </c>
      <c r="W331" s="22">
        <f t="shared" si="528"/>
        <v>76473.909350000002</v>
      </c>
      <c r="X331" s="22">
        <f t="shared" si="528"/>
        <v>0</v>
      </c>
      <c r="Y331" s="22">
        <f t="shared" si="528"/>
        <v>45214.971999999994</v>
      </c>
      <c r="Z331" s="22">
        <f t="shared" si="528"/>
        <v>157314.87751999998</v>
      </c>
      <c r="AA331" s="22">
        <f t="shared" si="528"/>
        <v>21023.332999999999</v>
      </c>
      <c r="AB331" s="22">
        <f t="shared" si="528"/>
        <v>20528.517</v>
      </c>
      <c r="AC331" s="22">
        <f t="shared" si="528"/>
        <v>76457.128519999998</v>
      </c>
      <c r="AD331" s="22">
        <f t="shared" si="528"/>
        <v>39305.898999999998</v>
      </c>
      <c r="AE331" s="22">
        <f t="shared" si="528"/>
        <v>0</v>
      </c>
      <c r="AF331" s="22">
        <f t="shared" si="528"/>
        <v>0</v>
      </c>
      <c r="AG331" s="22">
        <f t="shared" si="528"/>
        <v>0</v>
      </c>
      <c r="AH331" s="22">
        <f t="shared" si="528"/>
        <v>0</v>
      </c>
      <c r="AI331" s="22">
        <f t="shared" si="528"/>
        <v>0</v>
      </c>
      <c r="AJ331" s="47">
        <v>0</v>
      </c>
      <c r="AK331" s="47">
        <v>0</v>
      </c>
      <c r="AL331" s="47">
        <v>0</v>
      </c>
      <c r="AM331" s="47">
        <v>0</v>
      </c>
      <c r="AN331" s="47">
        <v>0</v>
      </c>
      <c r="AO331" s="427"/>
    </row>
    <row r="332" spans="1:42" s="672" customFormat="1" ht="31.5" hidden="1" customHeight="1">
      <c r="A332" s="1013"/>
      <c r="B332" s="105" t="s">
        <v>338</v>
      </c>
      <c r="C332" s="106"/>
      <c r="D332" s="106"/>
      <c r="E332" s="106"/>
      <c r="F332" s="106"/>
      <c r="G332" s="107"/>
      <c r="H332" s="107"/>
      <c r="I332" s="1"/>
      <c r="J332" s="108"/>
      <c r="K332" s="109"/>
      <c r="L332" s="178"/>
      <c r="M332" s="178"/>
      <c r="N332" s="178"/>
      <c r="O332" s="178"/>
      <c r="P332" s="178"/>
      <c r="Q332" s="178">
        <f>S332+U332+W332+Y332</f>
        <v>157053.12299999999</v>
      </c>
      <c r="R332" s="178">
        <f>S332</f>
        <v>21006.397999999997</v>
      </c>
      <c r="S332" s="178">
        <f>13479.106+2695.821+4026.226+805.245</f>
        <v>21006.397999999997</v>
      </c>
      <c r="T332" s="178">
        <f>U332</f>
        <v>20476.314999999999</v>
      </c>
      <c r="U332" s="178">
        <v>20476.314999999999</v>
      </c>
      <c r="V332" s="178">
        <f>W332</f>
        <v>76329.911999999997</v>
      </c>
      <c r="W332" s="178">
        <v>76329.911999999997</v>
      </c>
      <c r="X332" s="178"/>
      <c r="Y332" s="178">
        <f>10872.087+28368.411</f>
        <v>39240.498</v>
      </c>
      <c r="Z332" s="178">
        <f>AA332+AB332+AC332+AD332</f>
        <v>157053.12299999999</v>
      </c>
      <c r="AA332" s="178">
        <f>13479.106+2695.821+4026.226+805.245</f>
        <v>21006.397999999997</v>
      </c>
      <c r="AB332" s="178">
        <v>20476.314999999999</v>
      </c>
      <c r="AC332" s="178">
        <f>76329.912</f>
        <v>76329.911999999997</v>
      </c>
      <c r="AD332" s="178">
        <f>10872.087+28368.411</f>
        <v>39240.498</v>
      </c>
      <c r="AE332" s="178"/>
      <c r="AF332" s="178"/>
      <c r="AG332" s="178"/>
      <c r="AH332" s="178"/>
      <c r="AI332" s="178"/>
      <c r="AJ332" s="178"/>
      <c r="AK332" s="178"/>
      <c r="AL332" s="178"/>
      <c r="AM332" s="178"/>
      <c r="AN332" s="178"/>
      <c r="AO332" s="429"/>
      <c r="AP332" s="675"/>
    </row>
    <row r="333" spans="1:42" s="672" customFormat="1" ht="16.5" hidden="1" customHeight="1">
      <c r="A333" s="1013"/>
      <c r="B333" s="105" t="s">
        <v>356</v>
      </c>
      <c r="C333" s="106"/>
      <c r="D333" s="106"/>
      <c r="E333" s="106"/>
      <c r="F333" s="106"/>
      <c r="G333" s="107"/>
      <c r="H333" s="107"/>
      <c r="I333" s="1"/>
      <c r="J333" s="108"/>
      <c r="K333" s="109"/>
      <c r="L333" s="178"/>
      <c r="M333" s="178"/>
      <c r="N333" s="178"/>
      <c r="O333" s="178"/>
      <c r="P333" s="178"/>
      <c r="Q333" s="178">
        <f>U333+Y333</f>
        <v>17727.219000000001</v>
      </c>
      <c r="R333" s="178"/>
      <c r="S333" s="178"/>
      <c r="T333" s="178">
        <f t="shared" ref="T333:T334" si="529">U333</f>
        <v>11818.146000000001</v>
      </c>
      <c r="U333" s="178">
        <v>11818.146000000001</v>
      </c>
      <c r="V333" s="178"/>
      <c r="W333" s="178"/>
      <c r="X333" s="178"/>
      <c r="Y333" s="178">
        <v>5909.0730000000003</v>
      </c>
      <c r="Z333" s="178"/>
      <c r="AA333" s="178"/>
      <c r="AB333" s="178"/>
      <c r="AC333" s="178"/>
      <c r="AD333" s="178"/>
      <c r="AE333" s="178"/>
      <c r="AF333" s="178"/>
      <c r="AG333" s="178"/>
      <c r="AH333" s="178"/>
      <c r="AI333" s="178"/>
      <c r="AJ333" s="178"/>
      <c r="AK333" s="178"/>
      <c r="AL333" s="178"/>
      <c r="AM333" s="178"/>
      <c r="AN333" s="178"/>
      <c r="AO333" s="429"/>
      <c r="AP333" s="675"/>
    </row>
    <row r="334" spans="1:42" s="270" customFormat="1" ht="25.5" hidden="1" customHeight="1">
      <c r="A334" s="1013"/>
      <c r="B334" s="105" t="s">
        <v>341</v>
      </c>
      <c r="C334" s="106"/>
      <c r="D334" s="106"/>
      <c r="E334" s="106"/>
      <c r="F334" s="106"/>
      <c r="G334" s="107"/>
      <c r="H334" s="107"/>
      <c r="I334" s="1"/>
      <c r="J334" s="108"/>
      <c r="K334" s="109"/>
      <c r="L334" s="178"/>
      <c r="M334" s="178"/>
      <c r="N334" s="178"/>
      <c r="O334" s="178"/>
      <c r="P334" s="178"/>
      <c r="Q334" s="178">
        <f>S334+U334+W334+Y334</f>
        <v>261.75535000000002</v>
      </c>
      <c r="R334" s="178">
        <f>S334</f>
        <v>16.934999999999999</v>
      </c>
      <c r="S334" s="178">
        <f>13.04+3.895</f>
        <v>16.934999999999999</v>
      </c>
      <c r="T334" s="178">
        <f t="shared" si="529"/>
        <v>35.421999999999997</v>
      </c>
      <c r="U334" s="178">
        <v>35.421999999999997</v>
      </c>
      <c r="V334" s="178">
        <f>W334</f>
        <v>143.99735000000001</v>
      </c>
      <c r="W334" s="178">
        <f>127.21652+16.78083</f>
        <v>143.99735000000001</v>
      </c>
      <c r="X334" s="178"/>
      <c r="Y334" s="178">
        <f>18.12+47.281</f>
        <v>65.400999999999996</v>
      </c>
      <c r="Z334" s="178">
        <f>AA334+AB334+AC334+AD334</f>
        <v>261.75452000000001</v>
      </c>
      <c r="AA334" s="178">
        <f>13.04+3.895</f>
        <v>16.934999999999999</v>
      </c>
      <c r="AB334" s="178">
        <v>52.201999999999998</v>
      </c>
      <c r="AC334" s="178">
        <v>127.21652</v>
      </c>
      <c r="AD334" s="178">
        <f>18.12+47.281</f>
        <v>65.400999999999996</v>
      </c>
      <c r="AE334" s="178"/>
      <c r="AF334" s="178"/>
      <c r="AG334" s="178"/>
      <c r="AH334" s="178"/>
      <c r="AI334" s="178"/>
      <c r="AJ334" s="178"/>
      <c r="AK334" s="178"/>
      <c r="AL334" s="178"/>
      <c r="AM334" s="178"/>
      <c r="AN334" s="178"/>
      <c r="AO334" s="429"/>
      <c r="AP334" s="676"/>
    </row>
    <row r="335" spans="1:42" ht="51">
      <c r="A335" s="753" t="s">
        <v>143</v>
      </c>
      <c r="B335" s="889" t="s">
        <v>425</v>
      </c>
      <c r="C335" s="890"/>
      <c r="D335" s="890"/>
      <c r="E335" s="890"/>
      <c r="F335" s="890"/>
      <c r="G335" s="890"/>
      <c r="H335" s="891"/>
      <c r="I335" s="15" t="s">
        <v>19</v>
      </c>
      <c r="J335" s="752"/>
      <c r="K335" s="325"/>
      <c r="L335" s="47">
        <v>0</v>
      </c>
      <c r="M335" s="47">
        <v>0</v>
      </c>
      <c r="N335" s="47">
        <v>0</v>
      </c>
      <c r="O335" s="47">
        <v>0</v>
      </c>
      <c r="P335" s="47">
        <v>0</v>
      </c>
      <c r="Q335" s="47">
        <v>0</v>
      </c>
      <c r="R335" s="47">
        <v>0</v>
      </c>
      <c r="S335" s="47">
        <v>0</v>
      </c>
      <c r="T335" s="47">
        <v>0</v>
      </c>
      <c r="U335" s="47">
        <v>0</v>
      </c>
      <c r="V335" s="47">
        <v>0</v>
      </c>
      <c r="W335" s="47">
        <v>0</v>
      </c>
      <c r="X335" s="47">
        <v>0</v>
      </c>
      <c r="Y335" s="47">
        <v>0</v>
      </c>
      <c r="Z335" s="47">
        <v>0</v>
      </c>
      <c r="AA335" s="47">
        <v>0</v>
      </c>
      <c r="AB335" s="47">
        <v>0</v>
      </c>
      <c r="AC335" s="47">
        <v>0</v>
      </c>
      <c r="AD335" s="47">
        <v>0</v>
      </c>
      <c r="AE335" s="47">
        <v>0</v>
      </c>
      <c r="AF335" s="47">
        <v>0</v>
      </c>
      <c r="AG335" s="47">
        <v>0</v>
      </c>
      <c r="AH335" s="47">
        <v>0</v>
      </c>
      <c r="AI335" s="47">
        <v>0</v>
      </c>
      <c r="AJ335" s="47">
        <v>0</v>
      </c>
      <c r="AK335" s="47">
        <v>0</v>
      </c>
      <c r="AL335" s="47">
        <v>0</v>
      </c>
      <c r="AM335" s="47">
        <v>0</v>
      </c>
      <c r="AN335" s="47">
        <v>0</v>
      </c>
      <c r="AO335" s="420"/>
    </row>
    <row r="336" spans="1:42" ht="38.25">
      <c r="A336" s="755"/>
      <c r="B336" s="892"/>
      <c r="C336" s="893"/>
      <c r="D336" s="893"/>
      <c r="E336" s="893"/>
      <c r="F336" s="893"/>
      <c r="G336" s="893"/>
      <c r="H336" s="894"/>
      <c r="I336" s="15" t="s">
        <v>20</v>
      </c>
      <c r="J336" s="752"/>
      <c r="K336" s="325"/>
      <c r="L336" s="47">
        <f>L339+L342</f>
        <v>20718.38</v>
      </c>
      <c r="M336" s="47">
        <f t="shared" ref="M336:AN336" si="530">M339+M342</f>
        <v>0</v>
      </c>
      <c r="N336" s="47">
        <f t="shared" si="530"/>
        <v>0</v>
      </c>
      <c r="O336" s="47">
        <f t="shared" si="530"/>
        <v>0</v>
      </c>
      <c r="P336" s="47">
        <f t="shared" si="530"/>
        <v>0</v>
      </c>
      <c r="Q336" s="47">
        <f t="shared" si="530"/>
        <v>0</v>
      </c>
      <c r="R336" s="47">
        <f t="shared" si="530"/>
        <v>0</v>
      </c>
      <c r="S336" s="47">
        <f t="shared" si="530"/>
        <v>0</v>
      </c>
      <c r="T336" s="47">
        <f t="shared" si="530"/>
        <v>0</v>
      </c>
      <c r="U336" s="47">
        <f t="shared" si="530"/>
        <v>0</v>
      </c>
      <c r="V336" s="47">
        <f t="shared" si="530"/>
        <v>0</v>
      </c>
      <c r="W336" s="47">
        <f t="shared" si="530"/>
        <v>0</v>
      </c>
      <c r="X336" s="47">
        <f t="shared" si="530"/>
        <v>0</v>
      </c>
      <c r="Y336" s="47">
        <f t="shared" si="530"/>
        <v>0</v>
      </c>
      <c r="Z336" s="47">
        <f t="shared" si="530"/>
        <v>0</v>
      </c>
      <c r="AA336" s="47">
        <f t="shared" si="530"/>
        <v>0</v>
      </c>
      <c r="AB336" s="47">
        <f t="shared" si="530"/>
        <v>0</v>
      </c>
      <c r="AC336" s="47">
        <f t="shared" si="530"/>
        <v>0</v>
      </c>
      <c r="AD336" s="47">
        <f t="shared" si="530"/>
        <v>0</v>
      </c>
      <c r="AE336" s="47">
        <f t="shared" si="530"/>
        <v>0</v>
      </c>
      <c r="AF336" s="47">
        <f t="shared" si="530"/>
        <v>0</v>
      </c>
      <c r="AG336" s="47">
        <f t="shared" si="530"/>
        <v>0</v>
      </c>
      <c r="AH336" s="47">
        <f t="shared" si="530"/>
        <v>0</v>
      </c>
      <c r="AI336" s="47">
        <f t="shared" si="530"/>
        <v>0</v>
      </c>
      <c r="AJ336" s="47">
        <f t="shared" si="530"/>
        <v>0</v>
      </c>
      <c r="AK336" s="47">
        <f t="shared" si="530"/>
        <v>0</v>
      </c>
      <c r="AL336" s="47">
        <f t="shared" si="530"/>
        <v>0</v>
      </c>
      <c r="AM336" s="47">
        <f t="shared" si="530"/>
        <v>0</v>
      </c>
      <c r="AN336" s="47">
        <f t="shared" si="530"/>
        <v>0</v>
      </c>
      <c r="AO336" s="420"/>
    </row>
    <row r="337" spans="1:41" ht="25.5">
      <c r="A337" s="755"/>
      <c r="B337" s="892"/>
      <c r="C337" s="893"/>
      <c r="D337" s="893"/>
      <c r="E337" s="893"/>
      <c r="F337" s="893"/>
      <c r="G337" s="893"/>
      <c r="H337" s="894"/>
      <c r="I337" s="15" t="s">
        <v>10</v>
      </c>
      <c r="J337" s="752"/>
      <c r="K337" s="325"/>
      <c r="L337" s="47">
        <v>0</v>
      </c>
      <c r="M337" s="47">
        <v>0</v>
      </c>
      <c r="N337" s="47">
        <v>0</v>
      </c>
      <c r="O337" s="47">
        <v>0</v>
      </c>
      <c r="P337" s="47">
        <v>0</v>
      </c>
      <c r="Q337" s="47">
        <v>0</v>
      </c>
      <c r="R337" s="47">
        <v>0</v>
      </c>
      <c r="S337" s="47">
        <v>0</v>
      </c>
      <c r="T337" s="47">
        <v>0</v>
      </c>
      <c r="U337" s="47">
        <v>0</v>
      </c>
      <c r="V337" s="47">
        <v>0</v>
      </c>
      <c r="W337" s="47">
        <v>0</v>
      </c>
      <c r="X337" s="47">
        <v>0</v>
      </c>
      <c r="Y337" s="47">
        <v>0</v>
      </c>
      <c r="Z337" s="47">
        <v>0</v>
      </c>
      <c r="AA337" s="47">
        <v>0</v>
      </c>
      <c r="AB337" s="47">
        <v>0</v>
      </c>
      <c r="AC337" s="47">
        <v>0</v>
      </c>
      <c r="AD337" s="47">
        <v>0</v>
      </c>
      <c r="AE337" s="47">
        <v>0</v>
      </c>
      <c r="AF337" s="47">
        <v>0</v>
      </c>
      <c r="AG337" s="47">
        <v>0</v>
      </c>
      <c r="AH337" s="47">
        <v>0</v>
      </c>
      <c r="AI337" s="47">
        <v>0</v>
      </c>
      <c r="AJ337" s="47">
        <v>0</v>
      </c>
      <c r="AK337" s="47">
        <v>0</v>
      </c>
      <c r="AL337" s="47">
        <v>0</v>
      </c>
      <c r="AM337" s="47">
        <v>0</v>
      </c>
      <c r="AN337" s="47">
        <v>0</v>
      </c>
      <c r="AO337" s="420"/>
    </row>
    <row r="338" spans="1:41" ht="25.5">
      <c r="A338" s="755"/>
      <c r="B338" s="895"/>
      <c r="C338" s="896"/>
      <c r="D338" s="896"/>
      <c r="E338" s="896"/>
      <c r="F338" s="896"/>
      <c r="G338" s="896"/>
      <c r="H338" s="897"/>
      <c r="I338" s="15" t="s">
        <v>9</v>
      </c>
      <c r="J338" s="752"/>
      <c r="K338" s="325"/>
      <c r="L338" s="47">
        <v>0</v>
      </c>
      <c r="M338" s="47">
        <v>0</v>
      </c>
      <c r="N338" s="47">
        <v>0</v>
      </c>
      <c r="O338" s="47">
        <v>0</v>
      </c>
      <c r="P338" s="47">
        <v>0</v>
      </c>
      <c r="Q338" s="47">
        <v>0</v>
      </c>
      <c r="R338" s="47">
        <v>0</v>
      </c>
      <c r="S338" s="47">
        <v>0</v>
      </c>
      <c r="T338" s="47">
        <v>0</v>
      </c>
      <c r="U338" s="47">
        <v>0</v>
      </c>
      <c r="V338" s="47">
        <v>0</v>
      </c>
      <c r="W338" s="47">
        <v>0</v>
      </c>
      <c r="X338" s="47">
        <v>0</v>
      </c>
      <c r="Y338" s="47">
        <v>0</v>
      </c>
      <c r="Z338" s="47">
        <v>0</v>
      </c>
      <c r="AA338" s="47">
        <v>0</v>
      </c>
      <c r="AB338" s="47">
        <v>0</v>
      </c>
      <c r="AC338" s="47">
        <v>0</v>
      </c>
      <c r="AD338" s="47">
        <v>0</v>
      </c>
      <c r="AE338" s="47">
        <v>0</v>
      </c>
      <c r="AF338" s="47">
        <v>0</v>
      </c>
      <c r="AG338" s="47">
        <v>0</v>
      </c>
      <c r="AH338" s="47">
        <v>0</v>
      </c>
      <c r="AI338" s="47">
        <v>0</v>
      </c>
      <c r="AJ338" s="47">
        <v>0</v>
      </c>
      <c r="AK338" s="47">
        <v>0</v>
      </c>
      <c r="AL338" s="47">
        <v>0</v>
      </c>
      <c r="AM338" s="47">
        <v>0</v>
      </c>
      <c r="AN338" s="47">
        <v>0</v>
      </c>
      <c r="AO338" s="420"/>
    </row>
    <row r="339" spans="1:41" ht="78" customHeight="1">
      <c r="A339" s="753" t="s">
        <v>426</v>
      </c>
      <c r="B339" s="87" t="s">
        <v>427</v>
      </c>
      <c r="C339" s="143"/>
      <c r="D339" s="143"/>
      <c r="E339" s="143"/>
      <c r="F339" s="143"/>
      <c r="G339" s="320"/>
      <c r="H339" s="321"/>
      <c r="I339" s="837" t="s">
        <v>20</v>
      </c>
      <c r="J339" s="752"/>
      <c r="K339" s="325"/>
      <c r="L339" s="82">
        <f>L340+L341</f>
        <v>6862.74</v>
      </c>
      <c r="M339" s="82">
        <f t="shared" ref="M339" si="531">M340+M341</f>
        <v>0</v>
      </c>
      <c r="N339" s="82">
        <f t="shared" ref="N339" si="532">N340+N341</f>
        <v>0</v>
      </c>
      <c r="O339" s="82">
        <f t="shared" ref="O339" si="533">O340+O341</f>
        <v>0</v>
      </c>
      <c r="P339" s="82">
        <f t="shared" ref="P339" si="534">P340+P341</f>
        <v>0</v>
      </c>
      <c r="Q339" s="82">
        <f t="shared" ref="Q339" si="535">Q340+Q341</f>
        <v>0</v>
      </c>
      <c r="R339" s="82">
        <f t="shared" ref="R339" si="536">R340+R341</f>
        <v>0</v>
      </c>
      <c r="S339" s="82">
        <f t="shared" ref="S339" si="537">S340+S341</f>
        <v>0</v>
      </c>
      <c r="T339" s="82">
        <f t="shared" ref="T339" si="538">T340+T341</f>
        <v>0</v>
      </c>
      <c r="U339" s="82">
        <f t="shared" ref="U339" si="539">U340+U341</f>
        <v>0</v>
      </c>
      <c r="V339" s="82">
        <f t="shared" ref="V339" si="540">V340+V341</f>
        <v>0</v>
      </c>
      <c r="W339" s="82">
        <f t="shared" ref="W339" si="541">W340+W341</f>
        <v>0</v>
      </c>
      <c r="X339" s="82">
        <f t="shared" ref="X339" si="542">X340+X341</f>
        <v>0</v>
      </c>
      <c r="Y339" s="82">
        <f t="shared" ref="Y339" si="543">Y340+Y341</f>
        <v>0</v>
      </c>
      <c r="Z339" s="82">
        <f t="shared" ref="Z339" si="544">Z340+Z341</f>
        <v>0</v>
      </c>
      <c r="AA339" s="82">
        <f t="shared" ref="AA339" si="545">AA340+AA341</f>
        <v>0</v>
      </c>
      <c r="AB339" s="82">
        <f t="shared" ref="AB339" si="546">AB340+AB341</f>
        <v>0</v>
      </c>
      <c r="AC339" s="82">
        <f t="shared" ref="AC339" si="547">AC340+AC341</f>
        <v>0</v>
      </c>
      <c r="AD339" s="82">
        <f t="shared" ref="AD339" si="548">AD340+AD341</f>
        <v>0</v>
      </c>
      <c r="AE339" s="82">
        <f t="shared" ref="AE339" si="549">AE340+AE341</f>
        <v>0</v>
      </c>
      <c r="AF339" s="82">
        <f t="shared" ref="AF339" si="550">AF340+AF341</f>
        <v>0</v>
      </c>
      <c r="AG339" s="82">
        <f t="shared" ref="AG339" si="551">AG340+AG341</f>
        <v>0</v>
      </c>
      <c r="AH339" s="82">
        <f t="shared" ref="AH339" si="552">AH340+AH341</f>
        <v>0</v>
      </c>
      <c r="AI339" s="82">
        <f t="shared" ref="AI339" si="553">AI340+AI341</f>
        <v>0</v>
      </c>
      <c r="AJ339" s="82">
        <f t="shared" ref="AJ339" si="554">AJ340+AJ341</f>
        <v>0</v>
      </c>
      <c r="AK339" s="82">
        <f t="shared" ref="AK339" si="555">AK340+AK341</f>
        <v>0</v>
      </c>
      <c r="AL339" s="82">
        <f t="shared" ref="AL339" si="556">AL340+AL341</f>
        <v>0</v>
      </c>
      <c r="AM339" s="82">
        <f t="shared" ref="AM339" si="557">AM340+AM341</f>
        <v>0</v>
      </c>
      <c r="AN339" s="82">
        <f t="shared" ref="AN339" si="558">AN340+AN341</f>
        <v>0</v>
      </c>
      <c r="AO339" s="82"/>
    </row>
    <row r="340" spans="1:41" ht="15.75">
      <c r="A340" s="755"/>
      <c r="B340" s="42" t="s">
        <v>15</v>
      </c>
      <c r="C340" s="143"/>
      <c r="D340" s="143"/>
      <c r="E340" s="143"/>
      <c r="F340" s="143"/>
      <c r="G340" s="320"/>
      <c r="H340" s="321"/>
      <c r="I340" s="838"/>
      <c r="J340" s="752"/>
      <c r="K340" s="325"/>
      <c r="L340" s="47">
        <v>2400.44</v>
      </c>
      <c r="M340" s="47"/>
      <c r="N340" s="50"/>
      <c r="O340" s="50"/>
      <c r="P340" s="47">
        <v>0</v>
      </c>
      <c r="Q340" s="47">
        <v>0</v>
      </c>
      <c r="R340" s="47">
        <v>0</v>
      </c>
      <c r="S340" s="47">
        <v>0</v>
      </c>
      <c r="T340" s="47">
        <v>0</v>
      </c>
      <c r="U340" s="47">
        <v>0</v>
      </c>
      <c r="V340" s="47">
        <v>0</v>
      </c>
      <c r="W340" s="47">
        <v>0</v>
      </c>
      <c r="X340" s="47">
        <v>0</v>
      </c>
      <c r="Y340" s="47">
        <v>0</v>
      </c>
      <c r="Z340" s="47">
        <v>0</v>
      </c>
      <c r="AA340" s="47">
        <v>0</v>
      </c>
      <c r="AB340" s="47">
        <v>0</v>
      </c>
      <c r="AC340" s="47">
        <v>0</v>
      </c>
      <c r="AD340" s="47">
        <v>0</v>
      </c>
      <c r="AE340" s="47">
        <v>0</v>
      </c>
      <c r="AF340" s="47">
        <v>0</v>
      </c>
      <c r="AG340" s="47">
        <v>0</v>
      </c>
      <c r="AH340" s="47">
        <v>0</v>
      </c>
      <c r="AI340" s="47">
        <v>0</v>
      </c>
      <c r="AJ340" s="47">
        <v>0</v>
      </c>
      <c r="AK340" s="47">
        <v>0</v>
      </c>
      <c r="AL340" s="47">
        <v>0</v>
      </c>
      <c r="AM340" s="47">
        <v>0</v>
      </c>
      <c r="AN340" s="47">
        <v>0</v>
      </c>
      <c r="AO340" s="420"/>
    </row>
    <row r="341" spans="1:41" ht="15.75">
      <c r="A341" s="755"/>
      <c r="B341" s="42" t="s">
        <v>16</v>
      </c>
      <c r="C341" s="143"/>
      <c r="D341" s="143"/>
      <c r="E341" s="143"/>
      <c r="F341" s="143"/>
      <c r="G341" s="320"/>
      <c r="H341" s="321"/>
      <c r="I341" s="839"/>
      <c r="J341" s="752"/>
      <c r="K341" s="325"/>
      <c r="L341" s="47">
        <v>4462.3</v>
      </c>
      <c r="M341" s="47"/>
      <c r="N341" s="50"/>
      <c r="O341" s="50"/>
      <c r="P341" s="47">
        <v>0</v>
      </c>
      <c r="Q341" s="47">
        <v>0</v>
      </c>
      <c r="R341" s="47">
        <v>0</v>
      </c>
      <c r="S341" s="47">
        <v>0</v>
      </c>
      <c r="T341" s="47">
        <v>0</v>
      </c>
      <c r="U341" s="47">
        <v>0</v>
      </c>
      <c r="V341" s="47">
        <v>0</v>
      </c>
      <c r="W341" s="47">
        <v>0</v>
      </c>
      <c r="X341" s="47">
        <v>0</v>
      </c>
      <c r="Y341" s="47">
        <v>0</v>
      </c>
      <c r="Z341" s="47">
        <v>0</v>
      </c>
      <c r="AA341" s="47">
        <v>0</v>
      </c>
      <c r="AB341" s="47">
        <v>0</v>
      </c>
      <c r="AC341" s="47">
        <v>0</v>
      </c>
      <c r="AD341" s="47">
        <v>0</v>
      </c>
      <c r="AE341" s="47">
        <v>0</v>
      </c>
      <c r="AF341" s="47">
        <v>0</v>
      </c>
      <c r="AG341" s="47">
        <v>0</v>
      </c>
      <c r="AH341" s="47">
        <v>0</v>
      </c>
      <c r="AI341" s="47">
        <v>0</v>
      </c>
      <c r="AJ341" s="47">
        <v>0</v>
      </c>
      <c r="AK341" s="47">
        <v>0</v>
      </c>
      <c r="AL341" s="47">
        <v>0</v>
      </c>
      <c r="AM341" s="47">
        <v>0</v>
      </c>
      <c r="AN341" s="47">
        <v>0</v>
      </c>
      <c r="AO341" s="420"/>
    </row>
    <row r="342" spans="1:41" ht="78" customHeight="1">
      <c r="A342" s="753" t="s">
        <v>428</v>
      </c>
      <c r="B342" s="87" t="s">
        <v>429</v>
      </c>
      <c r="C342" s="143"/>
      <c r="D342" s="143"/>
      <c r="E342" s="143"/>
      <c r="F342" s="143"/>
      <c r="G342" s="320"/>
      <c r="H342" s="321"/>
      <c r="I342" s="837" t="s">
        <v>20</v>
      </c>
      <c r="J342" s="752"/>
      <c r="K342" s="325"/>
      <c r="L342" s="82">
        <f>L343+L344</f>
        <v>13855.640000000001</v>
      </c>
      <c r="M342" s="82">
        <f t="shared" ref="M342" si="559">M343+M344</f>
        <v>0</v>
      </c>
      <c r="N342" s="82">
        <f t="shared" ref="N342" si="560">N343+N344</f>
        <v>0</v>
      </c>
      <c r="O342" s="82">
        <f t="shared" ref="O342" si="561">O343+O344</f>
        <v>0</v>
      </c>
      <c r="P342" s="82">
        <f t="shared" ref="P342" si="562">P343+P344</f>
        <v>0</v>
      </c>
      <c r="Q342" s="82">
        <f t="shared" ref="Q342" si="563">Q343+Q344</f>
        <v>0</v>
      </c>
      <c r="R342" s="82">
        <f t="shared" ref="R342" si="564">R343+R344</f>
        <v>0</v>
      </c>
      <c r="S342" s="82">
        <f t="shared" ref="S342" si="565">S343+S344</f>
        <v>0</v>
      </c>
      <c r="T342" s="82">
        <f t="shared" ref="T342" si="566">T343+T344</f>
        <v>0</v>
      </c>
      <c r="U342" s="82">
        <f t="shared" ref="U342" si="567">U343+U344</f>
        <v>0</v>
      </c>
      <c r="V342" s="82">
        <f t="shared" ref="V342" si="568">V343+V344</f>
        <v>0</v>
      </c>
      <c r="W342" s="82">
        <f t="shared" ref="W342" si="569">W343+W344</f>
        <v>0</v>
      </c>
      <c r="X342" s="82">
        <f t="shared" ref="X342" si="570">X343+X344</f>
        <v>0</v>
      </c>
      <c r="Y342" s="82">
        <f t="shared" ref="Y342" si="571">Y343+Y344</f>
        <v>0</v>
      </c>
      <c r="Z342" s="82">
        <f t="shared" ref="Z342" si="572">Z343+Z344</f>
        <v>0</v>
      </c>
      <c r="AA342" s="82">
        <f t="shared" ref="AA342" si="573">AA343+AA344</f>
        <v>0</v>
      </c>
      <c r="AB342" s="82">
        <f t="shared" ref="AB342" si="574">AB343+AB344</f>
        <v>0</v>
      </c>
      <c r="AC342" s="82">
        <f t="shared" ref="AC342" si="575">AC343+AC344</f>
        <v>0</v>
      </c>
      <c r="AD342" s="82">
        <f t="shared" ref="AD342" si="576">AD343+AD344</f>
        <v>0</v>
      </c>
      <c r="AE342" s="82">
        <f t="shared" ref="AE342" si="577">AE343+AE344</f>
        <v>0</v>
      </c>
      <c r="AF342" s="82">
        <f t="shared" ref="AF342" si="578">AF343+AF344</f>
        <v>0</v>
      </c>
      <c r="AG342" s="82">
        <f t="shared" ref="AG342" si="579">AG343+AG344</f>
        <v>0</v>
      </c>
      <c r="AH342" s="82">
        <f t="shared" ref="AH342" si="580">AH343+AH344</f>
        <v>0</v>
      </c>
      <c r="AI342" s="82">
        <f t="shared" ref="AI342" si="581">AI343+AI344</f>
        <v>0</v>
      </c>
      <c r="AJ342" s="82">
        <f t="shared" ref="AJ342" si="582">AJ343+AJ344</f>
        <v>0</v>
      </c>
      <c r="AK342" s="82">
        <f t="shared" ref="AK342" si="583">AK343+AK344</f>
        <v>0</v>
      </c>
      <c r="AL342" s="82">
        <f t="shared" ref="AL342" si="584">AL343+AL344</f>
        <v>0</v>
      </c>
      <c r="AM342" s="82">
        <f t="shared" ref="AM342" si="585">AM343+AM344</f>
        <v>0</v>
      </c>
      <c r="AN342" s="82">
        <f t="shared" ref="AN342" si="586">AN343+AN344</f>
        <v>0</v>
      </c>
      <c r="AO342" s="82"/>
    </row>
    <row r="343" spans="1:41" ht="15.75">
      <c r="A343" s="755"/>
      <c r="B343" s="42" t="s">
        <v>15</v>
      </c>
      <c r="C343" s="143"/>
      <c r="D343" s="143"/>
      <c r="E343" s="143"/>
      <c r="F343" s="143"/>
      <c r="G343" s="320"/>
      <c r="H343" s="321"/>
      <c r="I343" s="838"/>
      <c r="J343" s="752"/>
      <c r="K343" s="325"/>
      <c r="L343" s="47">
        <v>2804.27</v>
      </c>
      <c r="M343" s="47"/>
      <c r="N343" s="50"/>
      <c r="O343" s="50"/>
      <c r="P343" s="47">
        <v>0</v>
      </c>
      <c r="Q343" s="47">
        <v>0</v>
      </c>
      <c r="R343" s="47">
        <v>0</v>
      </c>
      <c r="S343" s="47">
        <v>0</v>
      </c>
      <c r="T343" s="47">
        <v>0</v>
      </c>
      <c r="U343" s="47">
        <v>0</v>
      </c>
      <c r="V343" s="47">
        <v>0</v>
      </c>
      <c r="W343" s="47">
        <v>0</v>
      </c>
      <c r="X343" s="47">
        <v>0</v>
      </c>
      <c r="Y343" s="47">
        <v>0</v>
      </c>
      <c r="Z343" s="47">
        <v>0</v>
      </c>
      <c r="AA343" s="47">
        <v>0</v>
      </c>
      <c r="AB343" s="47">
        <v>0</v>
      </c>
      <c r="AC343" s="47">
        <v>0</v>
      </c>
      <c r="AD343" s="47">
        <v>0</v>
      </c>
      <c r="AE343" s="47">
        <v>0</v>
      </c>
      <c r="AF343" s="47">
        <v>0</v>
      </c>
      <c r="AG343" s="47">
        <v>0</v>
      </c>
      <c r="AH343" s="47">
        <v>0</v>
      </c>
      <c r="AI343" s="47">
        <v>0</v>
      </c>
      <c r="AJ343" s="47">
        <v>0</v>
      </c>
      <c r="AK343" s="47">
        <v>0</v>
      </c>
      <c r="AL343" s="47">
        <v>0</v>
      </c>
      <c r="AM343" s="47">
        <v>0</v>
      </c>
      <c r="AN343" s="47">
        <v>0</v>
      </c>
      <c r="AO343" s="420"/>
    </row>
    <row r="344" spans="1:41" ht="15.75">
      <c r="A344" s="755"/>
      <c r="B344" s="42" t="s">
        <v>16</v>
      </c>
      <c r="C344" s="143"/>
      <c r="D344" s="143"/>
      <c r="E344" s="143"/>
      <c r="F344" s="143"/>
      <c r="G344" s="320"/>
      <c r="H344" s="321"/>
      <c r="I344" s="839"/>
      <c r="J344" s="752"/>
      <c r="K344" s="325"/>
      <c r="L344" s="47">
        <v>11051.37</v>
      </c>
      <c r="M344" s="47"/>
      <c r="N344" s="50"/>
      <c r="O344" s="50"/>
      <c r="P344" s="47">
        <v>0</v>
      </c>
      <c r="Q344" s="47">
        <v>0</v>
      </c>
      <c r="R344" s="47">
        <v>0</v>
      </c>
      <c r="S344" s="47">
        <v>0</v>
      </c>
      <c r="T344" s="47">
        <v>0</v>
      </c>
      <c r="U344" s="47">
        <v>0</v>
      </c>
      <c r="V344" s="47">
        <v>0</v>
      </c>
      <c r="W344" s="47">
        <v>0</v>
      </c>
      <c r="X344" s="47">
        <v>0</v>
      </c>
      <c r="Y344" s="47">
        <v>0</v>
      </c>
      <c r="Z344" s="47">
        <v>0</v>
      </c>
      <c r="AA344" s="47">
        <v>0</v>
      </c>
      <c r="AB344" s="47">
        <v>0</v>
      </c>
      <c r="AC344" s="47">
        <v>0</v>
      </c>
      <c r="AD344" s="47">
        <v>0</v>
      </c>
      <c r="AE344" s="47">
        <v>0</v>
      </c>
      <c r="AF344" s="47">
        <v>0</v>
      </c>
      <c r="AG344" s="47">
        <v>0</v>
      </c>
      <c r="AH344" s="47">
        <v>0</v>
      </c>
      <c r="AI344" s="47">
        <v>0</v>
      </c>
      <c r="AJ344" s="47">
        <v>0</v>
      </c>
      <c r="AK344" s="47">
        <v>0</v>
      </c>
      <c r="AL344" s="47">
        <v>0</v>
      </c>
      <c r="AM344" s="47">
        <v>0</v>
      </c>
      <c r="AN344" s="47">
        <v>0</v>
      </c>
      <c r="AO344" s="420"/>
    </row>
    <row r="345" spans="1:41" ht="51">
      <c r="A345" s="753" t="s">
        <v>145</v>
      </c>
      <c r="B345" s="889" t="s">
        <v>394</v>
      </c>
      <c r="C345" s="890"/>
      <c r="D345" s="890"/>
      <c r="E345" s="890"/>
      <c r="F345" s="890"/>
      <c r="G345" s="890"/>
      <c r="H345" s="891"/>
      <c r="I345" s="15" t="s">
        <v>19</v>
      </c>
      <c r="J345" s="752"/>
      <c r="K345" s="325"/>
      <c r="L345" s="47">
        <v>0</v>
      </c>
      <c r="M345" s="47">
        <v>0</v>
      </c>
      <c r="N345" s="47">
        <v>0</v>
      </c>
      <c r="O345" s="47">
        <v>0</v>
      </c>
      <c r="P345" s="47">
        <v>0</v>
      </c>
      <c r="Q345" s="47">
        <v>0</v>
      </c>
      <c r="R345" s="47">
        <v>0</v>
      </c>
      <c r="S345" s="47">
        <v>0</v>
      </c>
      <c r="T345" s="47">
        <v>0</v>
      </c>
      <c r="U345" s="47">
        <v>0</v>
      </c>
      <c r="V345" s="47">
        <v>0</v>
      </c>
      <c r="W345" s="47">
        <v>0</v>
      </c>
      <c r="X345" s="47">
        <v>0</v>
      </c>
      <c r="Y345" s="47">
        <v>0</v>
      </c>
      <c r="Z345" s="47">
        <v>0</v>
      </c>
      <c r="AA345" s="47">
        <v>0</v>
      </c>
      <c r="AB345" s="47">
        <v>0</v>
      </c>
      <c r="AC345" s="47">
        <v>0</v>
      </c>
      <c r="AD345" s="47">
        <v>0</v>
      </c>
      <c r="AE345" s="47">
        <v>0</v>
      </c>
      <c r="AF345" s="47">
        <v>0</v>
      </c>
      <c r="AG345" s="47">
        <v>0</v>
      </c>
      <c r="AH345" s="47">
        <v>0</v>
      </c>
      <c r="AI345" s="47">
        <v>0</v>
      </c>
      <c r="AJ345" s="47">
        <v>0</v>
      </c>
      <c r="AK345" s="47">
        <v>0</v>
      </c>
      <c r="AL345" s="47">
        <v>0</v>
      </c>
      <c r="AM345" s="47">
        <v>0</v>
      </c>
      <c r="AN345" s="47">
        <v>0</v>
      </c>
      <c r="AO345" s="420"/>
    </row>
    <row r="346" spans="1:41" ht="38.25">
      <c r="A346" s="755"/>
      <c r="B346" s="892"/>
      <c r="C346" s="893"/>
      <c r="D346" s="893"/>
      <c r="E346" s="893"/>
      <c r="F346" s="893"/>
      <c r="G346" s="893"/>
      <c r="H346" s="894"/>
      <c r="I346" s="15" t="s">
        <v>20</v>
      </c>
      <c r="J346" s="752"/>
      <c r="K346" s="325"/>
      <c r="L346" s="47">
        <f>L349</f>
        <v>1281.26</v>
      </c>
      <c r="M346" s="47">
        <f t="shared" ref="M346:AN346" si="587">M349</f>
        <v>0</v>
      </c>
      <c r="N346" s="47">
        <f t="shared" si="587"/>
        <v>0</v>
      </c>
      <c r="O346" s="47">
        <f t="shared" si="587"/>
        <v>0</v>
      </c>
      <c r="P346" s="47">
        <f t="shared" si="587"/>
        <v>0</v>
      </c>
      <c r="Q346" s="47">
        <f t="shared" si="587"/>
        <v>0</v>
      </c>
      <c r="R346" s="47">
        <f t="shared" si="587"/>
        <v>0</v>
      </c>
      <c r="S346" s="47">
        <f t="shared" si="587"/>
        <v>0</v>
      </c>
      <c r="T346" s="47">
        <f t="shared" si="587"/>
        <v>0</v>
      </c>
      <c r="U346" s="47">
        <f t="shared" si="587"/>
        <v>0</v>
      </c>
      <c r="V346" s="47">
        <f t="shared" si="587"/>
        <v>0</v>
      </c>
      <c r="W346" s="47">
        <f t="shared" si="587"/>
        <v>0</v>
      </c>
      <c r="X346" s="47">
        <f t="shared" si="587"/>
        <v>0</v>
      </c>
      <c r="Y346" s="47">
        <f t="shared" si="587"/>
        <v>0</v>
      </c>
      <c r="Z346" s="47">
        <f t="shared" si="587"/>
        <v>0</v>
      </c>
      <c r="AA346" s="47">
        <f t="shared" si="587"/>
        <v>0</v>
      </c>
      <c r="AB346" s="47">
        <f t="shared" si="587"/>
        <v>0</v>
      </c>
      <c r="AC346" s="47">
        <f t="shared" si="587"/>
        <v>0</v>
      </c>
      <c r="AD346" s="47">
        <f t="shared" si="587"/>
        <v>0</v>
      </c>
      <c r="AE346" s="47">
        <f t="shared" si="587"/>
        <v>0</v>
      </c>
      <c r="AF346" s="47">
        <f t="shared" si="587"/>
        <v>0</v>
      </c>
      <c r="AG346" s="47">
        <f t="shared" si="587"/>
        <v>0</v>
      </c>
      <c r="AH346" s="47">
        <f t="shared" si="587"/>
        <v>0</v>
      </c>
      <c r="AI346" s="47">
        <f t="shared" si="587"/>
        <v>0</v>
      </c>
      <c r="AJ346" s="47">
        <f t="shared" si="587"/>
        <v>0</v>
      </c>
      <c r="AK346" s="47">
        <f t="shared" si="587"/>
        <v>0</v>
      </c>
      <c r="AL346" s="47">
        <f t="shared" si="587"/>
        <v>0</v>
      </c>
      <c r="AM346" s="47">
        <f t="shared" si="587"/>
        <v>0</v>
      </c>
      <c r="AN346" s="47">
        <f t="shared" si="587"/>
        <v>0</v>
      </c>
      <c r="AO346" s="420"/>
    </row>
    <row r="347" spans="1:41" ht="25.5">
      <c r="A347" s="755"/>
      <c r="B347" s="892"/>
      <c r="C347" s="893"/>
      <c r="D347" s="893"/>
      <c r="E347" s="893"/>
      <c r="F347" s="893"/>
      <c r="G347" s="893"/>
      <c r="H347" s="894"/>
      <c r="I347" s="15" t="s">
        <v>10</v>
      </c>
      <c r="J347" s="752"/>
      <c r="K347" s="325"/>
      <c r="L347" s="47">
        <v>0</v>
      </c>
      <c r="M347" s="47">
        <v>0</v>
      </c>
      <c r="N347" s="47">
        <v>0</v>
      </c>
      <c r="O347" s="47">
        <v>0</v>
      </c>
      <c r="P347" s="47">
        <v>0</v>
      </c>
      <c r="Q347" s="47">
        <v>0</v>
      </c>
      <c r="R347" s="47">
        <v>0</v>
      </c>
      <c r="S347" s="47">
        <v>0</v>
      </c>
      <c r="T347" s="47">
        <v>0</v>
      </c>
      <c r="U347" s="47">
        <v>0</v>
      </c>
      <c r="V347" s="47">
        <v>0</v>
      </c>
      <c r="W347" s="47">
        <v>0</v>
      </c>
      <c r="X347" s="47">
        <v>0</v>
      </c>
      <c r="Y347" s="47">
        <v>0</v>
      </c>
      <c r="Z347" s="47">
        <v>0</v>
      </c>
      <c r="AA347" s="47">
        <v>0</v>
      </c>
      <c r="AB347" s="47">
        <v>0</v>
      </c>
      <c r="AC347" s="47">
        <v>0</v>
      </c>
      <c r="AD347" s="47">
        <v>0</v>
      </c>
      <c r="AE347" s="47">
        <v>0</v>
      </c>
      <c r="AF347" s="47">
        <v>0</v>
      </c>
      <c r="AG347" s="47">
        <v>0</v>
      </c>
      <c r="AH347" s="47">
        <v>0</v>
      </c>
      <c r="AI347" s="47">
        <v>0</v>
      </c>
      <c r="AJ347" s="47">
        <v>0</v>
      </c>
      <c r="AK347" s="47">
        <v>0</v>
      </c>
      <c r="AL347" s="47">
        <v>0</v>
      </c>
      <c r="AM347" s="47">
        <v>0</v>
      </c>
      <c r="AN347" s="47">
        <v>0</v>
      </c>
      <c r="AO347" s="420"/>
    </row>
    <row r="348" spans="1:41" ht="25.5">
      <c r="A348" s="755"/>
      <c r="B348" s="895"/>
      <c r="C348" s="896"/>
      <c r="D348" s="896"/>
      <c r="E348" s="896"/>
      <c r="F348" s="896"/>
      <c r="G348" s="896"/>
      <c r="H348" s="897"/>
      <c r="I348" s="15" t="s">
        <v>9</v>
      </c>
      <c r="J348" s="752"/>
      <c r="K348" s="325"/>
      <c r="L348" s="47">
        <v>0</v>
      </c>
      <c r="M348" s="47">
        <v>0</v>
      </c>
      <c r="N348" s="47">
        <v>0</v>
      </c>
      <c r="O348" s="47">
        <v>0</v>
      </c>
      <c r="P348" s="47">
        <v>0</v>
      </c>
      <c r="Q348" s="47">
        <v>0</v>
      </c>
      <c r="R348" s="47">
        <v>0</v>
      </c>
      <c r="S348" s="47">
        <v>0</v>
      </c>
      <c r="T348" s="47">
        <v>0</v>
      </c>
      <c r="U348" s="47">
        <v>0</v>
      </c>
      <c r="V348" s="47">
        <v>0</v>
      </c>
      <c r="W348" s="47">
        <v>0</v>
      </c>
      <c r="X348" s="47">
        <v>0</v>
      </c>
      <c r="Y348" s="47">
        <v>0</v>
      </c>
      <c r="Z348" s="47">
        <v>0</v>
      </c>
      <c r="AA348" s="47">
        <v>0</v>
      </c>
      <c r="AB348" s="47">
        <v>0</v>
      </c>
      <c r="AC348" s="47">
        <v>0</v>
      </c>
      <c r="AD348" s="47">
        <v>0</v>
      </c>
      <c r="AE348" s="47">
        <v>0</v>
      </c>
      <c r="AF348" s="47">
        <v>0</v>
      </c>
      <c r="AG348" s="47">
        <v>0</v>
      </c>
      <c r="AH348" s="47">
        <v>0</v>
      </c>
      <c r="AI348" s="47">
        <v>0</v>
      </c>
      <c r="AJ348" s="47">
        <v>0</v>
      </c>
      <c r="AK348" s="47">
        <v>0</v>
      </c>
      <c r="AL348" s="47">
        <v>0</v>
      </c>
      <c r="AM348" s="47">
        <v>0</v>
      </c>
      <c r="AN348" s="47">
        <v>0</v>
      </c>
      <c r="AO348" s="420"/>
    </row>
    <row r="349" spans="1:41" ht="78" customHeight="1">
      <c r="A349" s="753" t="s">
        <v>423</v>
      </c>
      <c r="B349" s="87" t="s">
        <v>424</v>
      </c>
      <c r="C349" s="143"/>
      <c r="D349" s="143"/>
      <c r="E349" s="143"/>
      <c r="F349" s="143"/>
      <c r="G349" s="320"/>
      <c r="H349" s="321"/>
      <c r="I349" s="837" t="s">
        <v>20</v>
      </c>
      <c r="J349" s="752"/>
      <c r="K349" s="325"/>
      <c r="L349" s="82">
        <f>L350+L351</f>
        <v>1281.26</v>
      </c>
      <c r="M349" s="82">
        <f t="shared" ref="M349" si="588">M350+M351</f>
        <v>0</v>
      </c>
      <c r="N349" s="82">
        <f t="shared" ref="N349" si="589">N350+N351</f>
        <v>0</v>
      </c>
      <c r="O349" s="82">
        <f t="shared" ref="O349" si="590">O350+O351</f>
        <v>0</v>
      </c>
      <c r="P349" s="82">
        <f t="shared" ref="P349" si="591">P350+P351</f>
        <v>0</v>
      </c>
      <c r="Q349" s="82">
        <f t="shared" ref="Q349" si="592">Q350+Q351</f>
        <v>0</v>
      </c>
      <c r="R349" s="82">
        <f t="shared" ref="R349" si="593">R350+R351</f>
        <v>0</v>
      </c>
      <c r="S349" s="82">
        <f t="shared" ref="S349" si="594">S350+S351</f>
        <v>0</v>
      </c>
      <c r="T349" s="82">
        <f t="shared" ref="T349" si="595">T350+T351</f>
        <v>0</v>
      </c>
      <c r="U349" s="82">
        <f t="shared" ref="U349" si="596">U350+U351</f>
        <v>0</v>
      </c>
      <c r="V349" s="82">
        <f t="shared" ref="V349" si="597">V350+V351</f>
        <v>0</v>
      </c>
      <c r="W349" s="82">
        <f t="shared" ref="W349" si="598">W350+W351</f>
        <v>0</v>
      </c>
      <c r="X349" s="82">
        <f t="shared" ref="X349" si="599">X350+X351</f>
        <v>0</v>
      </c>
      <c r="Y349" s="82">
        <f t="shared" ref="Y349" si="600">Y350+Y351</f>
        <v>0</v>
      </c>
      <c r="Z349" s="82">
        <f t="shared" ref="Z349" si="601">Z350+Z351</f>
        <v>0</v>
      </c>
      <c r="AA349" s="82">
        <f t="shared" ref="AA349" si="602">AA350+AA351</f>
        <v>0</v>
      </c>
      <c r="AB349" s="82">
        <f t="shared" ref="AB349" si="603">AB350+AB351</f>
        <v>0</v>
      </c>
      <c r="AC349" s="82">
        <f t="shared" ref="AC349" si="604">AC350+AC351</f>
        <v>0</v>
      </c>
      <c r="AD349" s="82">
        <f t="shared" ref="AD349" si="605">AD350+AD351</f>
        <v>0</v>
      </c>
      <c r="AE349" s="82">
        <f t="shared" ref="AE349" si="606">AE350+AE351</f>
        <v>0</v>
      </c>
      <c r="AF349" s="82">
        <f t="shared" ref="AF349" si="607">AF350+AF351</f>
        <v>0</v>
      </c>
      <c r="AG349" s="82">
        <f t="shared" ref="AG349" si="608">AG350+AG351</f>
        <v>0</v>
      </c>
      <c r="AH349" s="82">
        <f t="shared" ref="AH349" si="609">AH350+AH351</f>
        <v>0</v>
      </c>
      <c r="AI349" s="82">
        <f t="shared" ref="AI349" si="610">AI350+AI351</f>
        <v>0</v>
      </c>
      <c r="AJ349" s="82">
        <f t="shared" ref="AJ349" si="611">AJ350+AJ351</f>
        <v>0</v>
      </c>
      <c r="AK349" s="82">
        <f t="shared" ref="AK349" si="612">AK350+AK351</f>
        <v>0</v>
      </c>
      <c r="AL349" s="82">
        <f t="shared" ref="AL349" si="613">AL350+AL351</f>
        <v>0</v>
      </c>
      <c r="AM349" s="82">
        <f t="shared" ref="AM349" si="614">AM350+AM351</f>
        <v>0</v>
      </c>
      <c r="AN349" s="82">
        <f t="shared" ref="AN349" si="615">AN350+AN351</f>
        <v>0</v>
      </c>
      <c r="AO349" s="82"/>
    </row>
    <row r="350" spans="1:41" ht="15.75">
      <c r="A350" s="755"/>
      <c r="B350" s="42" t="s">
        <v>15</v>
      </c>
      <c r="C350" s="143"/>
      <c r="D350" s="143"/>
      <c r="E350" s="143"/>
      <c r="F350" s="143"/>
      <c r="G350" s="320"/>
      <c r="H350" s="321"/>
      <c r="I350" s="838"/>
      <c r="J350" s="752"/>
      <c r="K350" s="325"/>
      <c r="L350" s="47">
        <v>377.92</v>
      </c>
      <c r="M350" s="47"/>
      <c r="N350" s="50"/>
      <c r="O350" s="50"/>
      <c r="P350" s="47">
        <v>0</v>
      </c>
      <c r="Q350" s="47">
        <v>0</v>
      </c>
      <c r="R350" s="47">
        <v>0</v>
      </c>
      <c r="S350" s="47">
        <v>0</v>
      </c>
      <c r="T350" s="47">
        <v>0</v>
      </c>
      <c r="U350" s="47">
        <v>0</v>
      </c>
      <c r="V350" s="47">
        <v>0</v>
      </c>
      <c r="W350" s="47">
        <v>0</v>
      </c>
      <c r="X350" s="47">
        <v>0</v>
      </c>
      <c r="Y350" s="47">
        <v>0</v>
      </c>
      <c r="Z350" s="47">
        <v>0</v>
      </c>
      <c r="AA350" s="47">
        <v>0</v>
      </c>
      <c r="AB350" s="47">
        <v>0</v>
      </c>
      <c r="AC350" s="47">
        <v>0</v>
      </c>
      <c r="AD350" s="47">
        <v>0</v>
      </c>
      <c r="AE350" s="47">
        <v>0</v>
      </c>
      <c r="AF350" s="47">
        <v>0</v>
      </c>
      <c r="AG350" s="47">
        <v>0</v>
      </c>
      <c r="AH350" s="47">
        <v>0</v>
      </c>
      <c r="AI350" s="47">
        <v>0</v>
      </c>
      <c r="AJ350" s="47">
        <v>0</v>
      </c>
      <c r="AK350" s="47">
        <v>0</v>
      </c>
      <c r="AL350" s="47">
        <v>0</v>
      </c>
      <c r="AM350" s="47">
        <v>0</v>
      </c>
      <c r="AN350" s="47">
        <v>0</v>
      </c>
      <c r="AO350" s="420"/>
    </row>
    <row r="351" spans="1:41" ht="15.75">
      <c r="A351" s="755"/>
      <c r="B351" s="40" t="s">
        <v>16</v>
      </c>
      <c r="C351" s="143"/>
      <c r="D351" s="143"/>
      <c r="E351" s="143"/>
      <c r="F351" s="143"/>
      <c r="G351" s="320"/>
      <c r="H351" s="321"/>
      <c r="I351" s="839"/>
      <c r="J351" s="752"/>
      <c r="K351" s="325"/>
      <c r="L351" s="47">
        <v>903.34</v>
      </c>
      <c r="M351" s="47"/>
      <c r="N351" s="50"/>
      <c r="O351" s="50"/>
      <c r="P351" s="47">
        <v>0</v>
      </c>
      <c r="Q351" s="47">
        <v>0</v>
      </c>
      <c r="R351" s="47">
        <v>0</v>
      </c>
      <c r="S351" s="47">
        <v>0</v>
      </c>
      <c r="T351" s="47">
        <v>0</v>
      </c>
      <c r="U351" s="47">
        <v>0</v>
      </c>
      <c r="V351" s="47">
        <v>0</v>
      </c>
      <c r="W351" s="47">
        <v>0</v>
      </c>
      <c r="X351" s="47">
        <v>0</v>
      </c>
      <c r="Y351" s="47">
        <v>0</v>
      </c>
      <c r="Z351" s="47">
        <v>0</v>
      </c>
      <c r="AA351" s="47">
        <v>0</v>
      </c>
      <c r="AB351" s="47">
        <v>0</v>
      </c>
      <c r="AC351" s="47">
        <v>0</v>
      </c>
      <c r="AD351" s="47">
        <v>0</v>
      </c>
      <c r="AE351" s="47">
        <v>0</v>
      </c>
      <c r="AF351" s="47">
        <v>0</v>
      </c>
      <c r="AG351" s="47">
        <v>0</v>
      </c>
      <c r="AH351" s="47">
        <v>0</v>
      </c>
      <c r="AI351" s="47">
        <v>0</v>
      </c>
      <c r="AJ351" s="47">
        <v>0</v>
      </c>
      <c r="AK351" s="47">
        <v>0</v>
      </c>
      <c r="AL351" s="47">
        <v>0</v>
      </c>
      <c r="AM351" s="47">
        <v>0</v>
      </c>
      <c r="AN351" s="47">
        <v>0</v>
      </c>
      <c r="AO351" s="420"/>
    </row>
    <row r="352" spans="1:41" ht="15.75">
      <c r="A352" s="692"/>
      <c r="B352" s="111"/>
      <c r="C352" s="111"/>
      <c r="D352" s="111"/>
      <c r="E352" s="111"/>
      <c r="F352" s="111"/>
      <c r="G352" s="111"/>
      <c r="H352" s="111"/>
      <c r="I352" s="111"/>
      <c r="J352" s="111"/>
      <c r="K352" s="111"/>
      <c r="L352" s="111"/>
      <c r="M352" s="111"/>
      <c r="N352" s="111"/>
      <c r="O352" s="111"/>
      <c r="P352" s="136"/>
      <c r="Q352" s="111"/>
      <c r="R352" s="136"/>
      <c r="S352" s="136"/>
      <c r="T352" s="111"/>
      <c r="U352" s="111"/>
      <c r="V352" s="111"/>
      <c r="W352" s="111"/>
    </row>
    <row r="353" spans="1:41" ht="15.75">
      <c r="B353" s="111"/>
      <c r="C353" s="111"/>
      <c r="D353" s="111"/>
      <c r="E353" s="111"/>
      <c r="F353" s="111"/>
      <c r="G353" s="111"/>
      <c r="H353" s="111"/>
      <c r="I353" s="111"/>
      <c r="J353" s="111"/>
      <c r="K353" s="111"/>
      <c r="L353" s="111"/>
      <c r="M353" s="111"/>
      <c r="N353" s="111"/>
      <c r="O353" s="111"/>
      <c r="P353" s="136"/>
      <c r="Q353" s="111"/>
      <c r="R353" s="136"/>
      <c r="S353" s="136"/>
      <c r="T353" s="111"/>
      <c r="U353" s="111"/>
      <c r="V353" s="111"/>
      <c r="W353" s="111"/>
    </row>
    <row r="354" spans="1:41" ht="15.75">
      <c r="B354" s="111" t="s">
        <v>96</v>
      </c>
      <c r="C354" s="111"/>
      <c r="D354" s="111"/>
      <c r="E354" s="111"/>
      <c r="F354" s="111"/>
      <c r="G354" s="111"/>
      <c r="H354" s="111"/>
      <c r="I354" s="111"/>
      <c r="J354" s="111"/>
      <c r="K354" s="111"/>
      <c r="L354" s="111"/>
      <c r="M354" s="111"/>
      <c r="N354" s="111"/>
      <c r="O354" s="111"/>
      <c r="P354" s="136"/>
      <c r="Q354" s="111"/>
      <c r="S354" s="111"/>
      <c r="T354" s="111"/>
      <c r="U354" s="111"/>
      <c r="V354" s="111"/>
      <c r="W354" s="111"/>
      <c r="AE354" s="136" t="s">
        <v>97</v>
      </c>
    </row>
    <row r="355" spans="1:41" ht="15.75">
      <c r="B355" s="111"/>
      <c r="C355" s="111"/>
      <c r="D355" s="111"/>
      <c r="E355" s="111"/>
      <c r="F355" s="111"/>
      <c r="G355" s="111"/>
      <c r="H355" s="111"/>
      <c r="I355" s="111"/>
      <c r="J355" s="111"/>
      <c r="K355" s="111"/>
      <c r="L355" s="111"/>
      <c r="M355" s="111"/>
      <c r="N355" s="111"/>
      <c r="O355" s="111"/>
      <c r="P355" s="136"/>
      <c r="Q355" s="111"/>
      <c r="S355" s="111"/>
      <c r="T355" s="111"/>
      <c r="U355" s="111"/>
    </row>
    <row r="356" spans="1:41" ht="15.75">
      <c r="B356" s="111"/>
      <c r="C356" s="111"/>
      <c r="D356" s="111"/>
      <c r="E356" s="111"/>
      <c r="F356" s="111"/>
      <c r="G356" s="111"/>
      <c r="H356" s="111"/>
      <c r="I356" s="111"/>
      <c r="J356" s="111"/>
      <c r="K356" s="111"/>
      <c r="L356" s="111"/>
      <c r="M356" s="111"/>
      <c r="N356" s="111"/>
      <c r="O356" s="111"/>
      <c r="P356" s="136"/>
      <c r="Q356" s="111"/>
      <c r="S356" s="111"/>
      <c r="T356" s="111"/>
      <c r="W356" s="111"/>
      <c r="AI356" s="111"/>
    </row>
    <row r="357" spans="1:41" ht="15.75">
      <c r="B357" s="111" t="s">
        <v>94</v>
      </c>
      <c r="C357" s="111"/>
      <c r="D357" s="111"/>
      <c r="E357" s="111"/>
      <c r="F357" s="111"/>
      <c r="G357" s="111"/>
      <c r="H357" s="111"/>
      <c r="I357" s="111"/>
      <c r="J357" s="111"/>
      <c r="K357" s="111"/>
      <c r="L357" s="111"/>
      <c r="M357" s="111"/>
      <c r="N357" s="111"/>
      <c r="O357" s="111"/>
      <c r="P357" s="136"/>
      <c r="Q357" s="111"/>
      <c r="S357" s="111"/>
      <c r="T357" s="111"/>
      <c r="W357" s="111"/>
      <c r="AE357" s="136" t="s">
        <v>95</v>
      </c>
      <c r="AI357" s="111"/>
    </row>
    <row r="358" spans="1:41" ht="15.75">
      <c r="W358" s="111"/>
      <c r="AI358" s="111"/>
    </row>
    <row r="359" spans="1:41" s="209" customFormat="1"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X359" s="398"/>
      <c r="Y359" s="398"/>
      <c r="AO359" s="430"/>
    </row>
    <row r="361" spans="1:41" ht="15.75">
      <c r="A361" s="111"/>
      <c r="B361" s="111" t="s">
        <v>98</v>
      </c>
      <c r="C361" s="111"/>
      <c r="D361" s="111"/>
      <c r="E361" s="111"/>
      <c r="F361" s="111"/>
      <c r="G361" s="111"/>
      <c r="H361" s="111"/>
      <c r="I361" s="111"/>
      <c r="J361" s="111"/>
      <c r="K361" s="111"/>
      <c r="L361" s="111"/>
      <c r="M361" s="111"/>
      <c r="N361" s="111"/>
      <c r="O361" s="136"/>
      <c r="P361" s="111"/>
      <c r="Q361" s="111" t="s">
        <v>99</v>
      </c>
      <c r="R361" s="111" t="s">
        <v>99</v>
      </c>
      <c r="S361" s="111"/>
      <c r="T361" s="136" t="s">
        <v>99</v>
      </c>
      <c r="V361" s="111"/>
      <c r="W361" s="100"/>
      <c r="Y361" s="12"/>
      <c r="AD361" s="136"/>
      <c r="AH361" s="111"/>
      <c r="AJ361" s="111"/>
    </row>
    <row r="362" spans="1:41" ht="15.75">
      <c r="V362" s="111"/>
      <c r="W362" s="100"/>
      <c r="Y362" s="12"/>
      <c r="AH362" s="111"/>
    </row>
    <row r="363" spans="1:41" ht="15.75">
      <c r="V363" s="111"/>
      <c r="W363" s="100"/>
      <c r="Y363" s="12"/>
      <c r="AH363" s="111"/>
    </row>
    <row r="364" spans="1:41" ht="15.75">
      <c r="A364" s="136"/>
      <c r="B364" s="136" t="s">
        <v>100</v>
      </c>
      <c r="C364" s="136"/>
      <c r="D364" s="136"/>
      <c r="E364" s="136"/>
      <c r="F364" s="136"/>
      <c r="G364" s="136"/>
      <c r="H364" s="136"/>
      <c r="I364" s="136"/>
      <c r="J364" s="136"/>
      <c r="K364" s="136"/>
      <c r="L364" s="136"/>
      <c r="M364" s="136"/>
      <c r="N364" s="136"/>
      <c r="O364" s="136"/>
      <c r="P364" s="136"/>
      <c r="Q364" s="136" t="s">
        <v>101</v>
      </c>
      <c r="R364" s="136" t="s">
        <v>344</v>
      </c>
      <c r="S364" s="136"/>
      <c r="T364" s="136" t="s">
        <v>101</v>
      </c>
      <c r="U364" s="136"/>
      <c r="V364" s="136"/>
      <c r="W364" s="502"/>
      <c r="X364" s="502"/>
      <c r="Y364" s="136"/>
      <c r="Z364" s="136"/>
      <c r="AA364" s="136"/>
      <c r="AB364" s="136"/>
      <c r="AC364" s="136"/>
      <c r="AD364" s="136"/>
      <c r="AE364" s="136"/>
      <c r="AF364" s="136"/>
      <c r="AG364" s="136"/>
      <c r="AH364" s="136"/>
      <c r="AI364" s="136"/>
      <c r="AJ364" s="136"/>
    </row>
    <row r="365" spans="1:41">
      <c r="S365" s="209"/>
      <c r="T365" s="209"/>
      <c r="U365" s="209"/>
      <c r="V365" s="209"/>
      <c r="W365" s="398"/>
      <c r="X365" s="398"/>
      <c r="Y365" s="209"/>
      <c r="Z365" s="209"/>
      <c r="AA365" s="209"/>
      <c r="AB365" s="209"/>
      <c r="AC365" s="209"/>
      <c r="AD365" s="209"/>
      <c r="AE365" s="209"/>
      <c r="AF365" s="209"/>
      <c r="AG365" s="209"/>
      <c r="AH365" s="209"/>
      <c r="AI365" s="209"/>
    </row>
  </sheetData>
  <mergeCells count="255">
    <mergeCell ref="I262:I264"/>
    <mergeCell ref="I349:I351"/>
    <mergeCell ref="B335:H338"/>
    <mergeCell ref="I339:I341"/>
    <mergeCell ref="I342:I344"/>
    <mergeCell ref="A224:A226"/>
    <mergeCell ref="I224:I226"/>
    <mergeCell ref="I253:I254"/>
    <mergeCell ref="B255:H258"/>
    <mergeCell ref="A274:A277"/>
    <mergeCell ref="B345:H348"/>
    <mergeCell ref="A326:A334"/>
    <mergeCell ref="A322:A325"/>
    <mergeCell ref="I322:I325"/>
    <mergeCell ref="A310:A314"/>
    <mergeCell ref="C310:C311"/>
    <mergeCell ref="D310:D311"/>
    <mergeCell ref="E310:E311"/>
    <mergeCell ref="F310:F311"/>
    <mergeCell ref="I310:I314"/>
    <mergeCell ref="A315:A321"/>
    <mergeCell ref="C315:C316"/>
    <mergeCell ref="D315:D316"/>
    <mergeCell ref="E315:E316"/>
    <mergeCell ref="A218:A220"/>
    <mergeCell ref="I218:I220"/>
    <mergeCell ref="A221:A223"/>
    <mergeCell ref="I221:I223"/>
    <mergeCell ref="A142:A146"/>
    <mergeCell ref="I142:I146"/>
    <mergeCell ref="A147:A151"/>
    <mergeCell ref="I147:I151"/>
    <mergeCell ref="A161:A164"/>
    <mergeCell ref="B161:H164"/>
    <mergeCell ref="A165:A169"/>
    <mergeCell ref="I165:I169"/>
    <mergeCell ref="E185:E186"/>
    <mergeCell ref="A181:A184"/>
    <mergeCell ref="I210:I211"/>
    <mergeCell ref="C193:C194"/>
    <mergeCell ref="F193:F194"/>
    <mergeCell ref="A202:A203"/>
    <mergeCell ref="A207:A208"/>
    <mergeCell ref="C88:C90"/>
    <mergeCell ref="D88:D90"/>
    <mergeCell ref="E88:E90"/>
    <mergeCell ref="F88:F90"/>
    <mergeCell ref="I88:I90"/>
    <mergeCell ref="J88:J90"/>
    <mergeCell ref="A170:A174"/>
    <mergeCell ref="I170:I174"/>
    <mergeCell ref="J170:J174"/>
    <mergeCell ref="J165:J169"/>
    <mergeCell ref="AO26:AO36"/>
    <mergeCell ref="AO40:AO41"/>
    <mergeCell ref="A78:A80"/>
    <mergeCell ref="A64:A66"/>
    <mergeCell ref="A126:A127"/>
    <mergeCell ref="J39:J41"/>
    <mergeCell ref="I126:I127"/>
    <mergeCell ref="I129:I132"/>
    <mergeCell ref="F81:F84"/>
    <mergeCell ref="A72:A77"/>
    <mergeCell ref="C72:C77"/>
    <mergeCell ref="D72:D77"/>
    <mergeCell ref="E72:E77"/>
    <mergeCell ref="F72:F77"/>
    <mergeCell ref="A85:A87"/>
    <mergeCell ref="C85:C87"/>
    <mergeCell ref="I67:I70"/>
    <mergeCell ref="I42:I45"/>
    <mergeCell ref="D85:D87"/>
    <mergeCell ref="E85:E87"/>
    <mergeCell ref="F85:F87"/>
    <mergeCell ref="I85:I87"/>
    <mergeCell ref="J85:J87"/>
    <mergeCell ref="A88:A90"/>
    <mergeCell ref="F315:F316"/>
    <mergeCell ref="I315:I321"/>
    <mergeCell ref="J304:J305"/>
    <mergeCell ref="A266:A269"/>
    <mergeCell ref="D306:D307"/>
    <mergeCell ref="E306:E307"/>
    <mergeCell ref="F306:F307"/>
    <mergeCell ref="K185:K186"/>
    <mergeCell ref="A1:AO1"/>
    <mergeCell ref="I306:I309"/>
    <mergeCell ref="A91:A94"/>
    <mergeCell ref="B91:H94"/>
    <mergeCell ref="I99:I104"/>
    <mergeCell ref="C99:C104"/>
    <mergeCell ref="D99:D104"/>
    <mergeCell ref="E99:E104"/>
    <mergeCell ref="F99:F104"/>
    <mergeCell ref="F64:F66"/>
    <mergeCell ref="I64:I66"/>
    <mergeCell ref="A67:A70"/>
    <mergeCell ref="C67:C70"/>
    <mergeCell ref="D67:D70"/>
    <mergeCell ref="E67:E70"/>
    <mergeCell ref="F67:F70"/>
    <mergeCell ref="A304:A305"/>
    <mergeCell ref="A270:A273"/>
    <mergeCell ref="A176:H180"/>
    <mergeCell ref="A193:A194"/>
    <mergeCell ref="K193:K194"/>
    <mergeCell ref="B10:F10"/>
    <mergeCell ref="C306:C307"/>
    <mergeCell ref="I6:I8"/>
    <mergeCell ref="A15:H15"/>
    <mergeCell ref="K56:K60"/>
    <mergeCell ref="E25:E26"/>
    <mergeCell ref="A56:A60"/>
    <mergeCell ref="A39:A41"/>
    <mergeCell ref="A25:A34"/>
    <mergeCell ref="A11:H14"/>
    <mergeCell ref="A16:H20"/>
    <mergeCell ref="A21:A24"/>
    <mergeCell ref="B21:H24"/>
    <mergeCell ref="F25:F26"/>
    <mergeCell ref="A42:A45"/>
    <mergeCell ref="G25:G26"/>
    <mergeCell ref="B52:H55"/>
    <mergeCell ref="H185:H186"/>
    <mergeCell ref="I298:I300"/>
    <mergeCell ref="A46:A51"/>
    <mergeCell ref="A6:A8"/>
    <mergeCell ref="B6:B8"/>
    <mergeCell ref="C6:C8"/>
    <mergeCell ref="D6:D8"/>
    <mergeCell ref="E6:F7"/>
    <mergeCell ref="G6:G8"/>
    <mergeCell ref="H6:H8"/>
    <mergeCell ref="A52:A55"/>
    <mergeCell ref="H25:H26"/>
    <mergeCell ref="C25:C26"/>
    <mergeCell ref="D25:D26"/>
    <mergeCell ref="A81:A84"/>
    <mergeCell ref="J56:J60"/>
    <mergeCell ref="I56:I60"/>
    <mergeCell ref="B181:H184"/>
    <mergeCell ref="G193:G194"/>
    <mergeCell ref="F185:F186"/>
    <mergeCell ref="G185:G186"/>
    <mergeCell ref="A112:A113"/>
    <mergeCell ref="I112:I113"/>
    <mergeCell ref="I115:I120"/>
    <mergeCell ref="A121:A125"/>
    <mergeCell ref="I121:I125"/>
    <mergeCell ref="B61:H63"/>
    <mergeCell ref="A185:A186"/>
    <mergeCell ref="C185:C186"/>
    <mergeCell ref="D185:D186"/>
    <mergeCell ref="D64:D66"/>
    <mergeCell ref="E64:E66"/>
    <mergeCell ref="D81:D84"/>
    <mergeCell ref="E81:E84"/>
    <mergeCell ref="A129:A132"/>
    <mergeCell ref="A133:A137"/>
    <mergeCell ref="I133:I137"/>
    <mergeCell ref="A139:A140"/>
    <mergeCell ref="C64:C66"/>
    <mergeCell ref="AK6:AN6"/>
    <mergeCell ref="J270:J273"/>
    <mergeCell ref="F270:F273"/>
    <mergeCell ref="G270:G273"/>
    <mergeCell ref="I232:I236"/>
    <mergeCell ref="B266:H269"/>
    <mergeCell ref="B228:H231"/>
    <mergeCell ref="I193:I194"/>
    <mergeCell ref="J193:J194"/>
    <mergeCell ref="I270:I273"/>
    <mergeCell ref="J232:J236"/>
    <mergeCell ref="C232:C236"/>
    <mergeCell ref="D232:D236"/>
    <mergeCell ref="E232:E236"/>
    <mergeCell ref="H193:H194"/>
    <mergeCell ref="F232:F236"/>
    <mergeCell ref="I202:I203"/>
    <mergeCell ref="I207:I208"/>
    <mergeCell ref="K42:K45"/>
    <mergeCell ref="K39:K41"/>
    <mergeCell ref="I39:I41"/>
    <mergeCell ref="I249:I250"/>
    <mergeCell ref="I251:I252"/>
    <mergeCell ref="C304:C305"/>
    <mergeCell ref="A228:A231"/>
    <mergeCell ref="J185:J186"/>
    <mergeCell ref="I189:I192"/>
    <mergeCell ref="I185:I186"/>
    <mergeCell ref="A189:A192"/>
    <mergeCell ref="I81:I84"/>
    <mergeCell ref="A61:A63"/>
    <mergeCell ref="I156:I160"/>
    <mergeCell ref="B152:H155"/>
    <mergeCell ref="A152:A155"/>
    <mergeCell ref="F189:F192"/>
    <mergeCell ref="A95:A96"/>
    <mergeCell ref="I95:I96"/>
    <mergeCell ref="I106:I107"/>
    <mergeCell ref="A109:A110"/>
    <mergeCell ref="I109:I110"/>
    <mergeCell ref="D193:D194"/>
    <mergeCell ref="E193:E194"/>
    <mergeCell ref="A115:A120"/>
    <mergeCell ref="B78:H80"/>
    <mergeCell ref="B278:H281"/>
    <mergeCell ref="I282:I283"/>
    <mergeCell ref="A285:A289"/>
    <mergeCell ref="L6:L8"/>
    <mergeCell ref="N7:N8"/>
    <mergeCell ref="O7:O8"/>
    <mergeCell ref="M6:O6"/>
    <mergeCell ref="J6:J8"/>
    <mergeCell ref="K6:K8"/>
    <mergeCell ref="I46:I51"/>
    <mergeCell ref="K46:K51"/>
    <mergeCell ref="I237:I238"/>
    <mergeCell ref="I139:I140"/>
    <mergeCell ref="I75:I77"/>
    <mergeCell ref="AO6:AO8"/>
    <mergeCell ref="AK7:AK8"/>
    <mergeCell ref="AL7:AL8"/>
    <mergeCell ref="AM7:AN7"/>
    <mergeCell ref="P6:Q7"/>
    <mergeCell ref="R6:S7"/>
    <mergeCell ref="T6:U7"/>
    <mergeCell ref="V6:W7"/>
    <mergeCell ref="X6:Y7"/>
    <mergeCell ref="AJ6:AJ8"/>
    <mergeCell ref="Z6:AD7"/>
    <mergeCell ref="I302:I303"/>
    <mergeCell ref="AE6:AI7"/>
    <mergeCell ref="A306:A309"/>
    <mergeCell ref="J81:J84"/>
    <mergeCell ref="J156:J160"/>
    <mergeCell ref="A156:A160"/>
    <mergeCell ref="C81:C84"/>
    <mergeCell ref="C270:C273"/>
    <mergeCell ref="D270:D273"/>
    <mergeCell ref="E270:E273"/>
    <mergeCell ref="I304:I305"/>
    <mergeCell ref="H270:H273"/>
    <mergeCell ref="D304:D305"/>
    <mergeCell ref="E304:E305"/>
    <mergeCell ref="F304:F305"/>
    <mergeCell ref="A232:A236"/>
    <mergeCell ref="A290:A291"/>
    <mergeCell ref="I290:I291"/>
    <mergeCell ref="A210:A211"/>
    <mergeCell ref="A237:A238"/>
    <mergeCell ref="A278:A281"/>
    <mergeCell ref="A282:A283"/>
    <mergeCell ref="I285:I289"/>
    <mergeCell ref="I243:I244"/>
  </mergeCells>
  <pageMargins left="0" right="0" top="0.19685039370078741" bottom="0" header="0.31496062992125984" footer="0.31496062992125984"/>
  <pageSetup paperSize="9" scale="68" fitToHeight="13" orientation="landscape" r:id="rId1"/>
  <rowBreaks count="3" manualBreakCount="3">
    <brk id="55" max="16383" man="1"/>
    <brk id="206" max="16383" man="1"/>
    <brk id="28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P270"/>
  <sheetViews>
    <sheetView zoomScale="130" zoomScaleNormal="130" zoomScaleSheetLayoutView="140" workbookViewId="0">
      <selection activeCell="A2" sqref="A2"/>
    </sheetView>
  </sheetViews>
  <sheetFormatPr defaultRowHeight="15"/>
  <cols>
    <col min="1" max="1" width="7.140625" style="12" customWidth="1"/>
    <col min="2" max="2" width="25.140625" style="12" customWidth="1"/>
    <col min="3" max="3" width="10" style="12" hidden="1" customWidth="1"/>
    <col min="4" max="4" width="12" style="12" hidden="1" customWidth="1"/>
    <col min="5" max="5" width="9.42578125" style="12" hidden="1" customWidth="1"/>
    <col min="6" max="6" width="11" style="12" hidden="1" customWidth="1"/>
    <col min="7" max="7" width="10.28515625" style="12" hidden="1" customWidth="1"/>
    <col min="8" max="8" width="10.5703125" style="12" hidden="1" customWidth="1"/>
    <col min="9" max="9" width="13.140625" style="12" customWidth="1"/>
    <col min="10" max="10" width="16.140625" style="12" hidden="1" customWidth="1"/>
    <col min="11" max="11" width="13.140625" style="12" hidden="1" customWidth="1"/>
    <col min="12" max="12" width="13.28515625" style="12" customWidth="1"/>
    <col min="13" max="13" width="12.140625" style="12" hidden="1" customWidth="1"/>
    <col min="14" max="14" width="11.7109375" style="12" hidden="1" customWidth="1"/>
    <col min="15" max="15" width="14.42578125" style="12" hidden="1" customWidth="1"/>
    <col min="16" max="16" width="11.28515625" style="12" customWidth="1"/>
    <col min="17" max="17" width="11.5703125" style="12" hidden="1" customWidth="1"/>
    <col min="18" max="18" width="11" style="12" hidden="1" customWidth="1"/>
    <col min="19" max="19" width="10.85546875" style="12" hidden="1" customWidth="1"/>
    <col min="20" max="20" width="10.5703125" style="12" hidden="1" customWidth="1"/>
    <col min="21" max="21" width="12.42578125" style="12" hidden="1" customWidth="1"/>
    <col min="22" max="22" width="11.42578125" style="12" hidden="1" customWidth="1"/>
    <col min="23" max="23" width="10.42578125" style="12" hidden="1" customWidth="1"/>
    <col min="24" max="24" width="12.140625" style="100" hidden="1" customWidth="1"/>
    <col min="25" max="25" width="11.140625" style="100" hidden="1" customWidth="1"/>
    <col min="26" max="26" width="11.5703125" style="12" hidden="1" customWidth="1"/>
    <col min="27" max="28" width="11" style="12" hidden="1" customWidth="1"/>
    <col min="29" max="29" width="11.140625" style="12" hidden="1" customWidth="1"/>
    <col min="30" max="31" width="11" style="12" hidden="1" customWidth="1"/>
    <col min="32" max="32" width="8" style="12" hidden="1" customWidth="1"/>
    <col min="33" max="33" width="10" style="12" hidden="1" customWidth="1"/>
    <col min="34" max="34" width="11.28515625" style="12" hidden="1" customWidth="1"/>
    <col min="35" max="35" width="10" style="12" hidden="1" customWidth="1"/>
    <col min="36" max="36" width="11.5703125" style="12" hidden="1" customWidth="1"/>
    <col min="37" max="37" width="12" style="12" hidden="1" customWidth="1"/>
    <col min="38" max="38" width="8.140625" style="12" hidden="1" customWidth="1"/>
    <col min="39" max="40" width="9.28515625" style="12" hidden="1" customWidth="1"/>
    <col min="41" max="41" width="11.5703125" style="422" hidden="1" customWidth="1"/>
    <col min="42" max="42" width="11.28515625" style="12" hidden="1" customWidth="1"/>
    <col min="43" max="43" width="13" style="12" hidden="1" customWidth="1"/>
    <col min="44" max="44" width="11.28515625" style="12" hidden="1" customWidth="1"/>
    <col min="45" max="45" width="10.5703125" style="12" hidden="1" customWidth="1"/>
    <col min="46" max="46" width="12.42578125" style="12" hidden="1" customWidth="1"/>
    <col min="47" max="47" width="11.42578125" style="12" hidden="1" customWidth="1"/>
    <col min="48" max="48" width="10.42578125" style="12" hidden="1" customWidth="1"/>
    <col min="49" max="49" width="10.5703125" style="100" hidden="1" customWidth="1"/>
    <col min="50" max="50" width="12.5703125" style="100" hidden="1" customWidth="1"/>
    <col min="51" max="51" width="12.42578125" style="12" hidden="1" customWidth="1"/>
    <col min="52" max="52" width="11.85546875" style="12" hidden="1" customWidth="1"/>
    <col min="53" max="53" width="12.5703125" style="12" hidden="1" customWidth="1"/>
    <col min="54" max="54" width="10.85546875" style="12" hidden="1" customWidth="1"/>
    <col min="55" max="55" width="11.42578125" style="12" hidden="1" customWidth="1"/>
    <col min="56" max="56" width="12.42578125" style="12" hidden="1" customWidth="1"/>
    <col min="57" max="59" width="9.28515625" style="12" hidden="1" customWidth="1"/>
    <col min="60" max="60" width="9.28515625" style="312" hidden="1" customWidth="1"/>
    <col min="61" max="61" width="13.28515625" style="114" customWidth="1"/>
    <col min="62" max="62" width="11.28515625" style="114" customWidth="1"/>
    <col min="63" max="64" width="9.140625" style="114"/>
    <col min="67" max="67" width="11.85546875" customWidth="1"/>
    <col min="68" max="68" width="12.7109375" customWidth="1"/>
    <col min="69" max="16384" width="9.140625" style="12"/>
  </cols>
  <sheetData>
    <row r="1" spans="1:68" s="26" customFormat="1" ht="45" customHeight="1">
      <c r="A1" s="993" t="s">
        <v>374</v>
      </c>
      <c r="B1" s="993"/>
      <c r="C1" s="993"/>
      <c r="D1" s="993"/>
      <c r="E1" s="993"/>
      <c r="F1" s="993"/>
      <c r="G1" s="993"/>
      <c r="H1" s="993"/>
      <c r="I1" s="993"/>
      <c r="J1" s="993"/>
      <c r="K1" s="993"/>
      <c r="L1" s="993"/>
      <c r="M1" s="993"/>
      <c r="N1" s="993"/>
      <c r="O1" s="993"/>
      <c r="P1" s="993"/>
      <c r="Q1" s="994"/>
      <c r="R1" s="994"/>
      <c r="S1" s="994"/>
      <c r="T1" s="994"/>
      <c r="U1" s="994"/>
      <c r="V1" s="994"/>
      <c r="W1" s="994"/>
      <c r="X1" s="994"/>
      <c r="Y1" s="994"/>
      <c r="Z1" s="994"/>
      <c r="AA1" s="994"/>
      <c r="AB1" s="994"/>
      <c r="AC1" s="994"/>
      <c r="AD1" s="994"/>
      <c r="AE1" s="994"/>
      <c r="AF1" s="994"/>
      <c r="AG1" s="994"/>
      <c r="AH1" s="994"/>
      <c r="AI1" s="994"/>
      <c r="AJ1" s="994"/>
      <c r="AK1" s="994"/>
      <c r="AL1" s="994"/>
      <c r="AM1" s="994"/>
      <c r="AN1" s="994"/>
      <c r="AO1" s="994"/>
      <c r="AP1" s="994"/>
      <c r="AQ1" s="994"/>
      <c r="AR1" s="994"/>
      <c r="AS1" s="994"/>
      <c r="AT1" s="994"/>
      <c r="AU1" s="994"/>
      <c r="AV1" s="994"/>
      <c r="AW1" s="994"/>
      <c r="AX1" s="994"/>
      <c r="AY1" s="994"/>
      <c r="AZ1" s="994"/>
      <c r="BA1" s="994"/>
      <c r="BB1" s="994"/>
      <c r="BC1" s="994"/>
      <c r="BD1" s="994"/>
      <c r="BE1" s="994"/>
      <c r="BF1" s="994"/>
      <c r="BG1" s="994"/>
      <c r="BH1" s="994"/>
      <c r="BI1" s="994"/>
      <c r="BJ1" s="994"/>
      <c r="BK1" s="994"/>
      <c r="BL1" s="994"/>
      <c r="BM1" s="994"/>
      <c r="BN1" s="994"/>
      <c r="BO1" s="994"/>
      <c r="BP1" s="994"/>
    </row>
    <row r="2" spans="1:68" s="26" customFormat="1" ht="20.25">
      <c r="A2" s="327"/>
      <c r="B2" s="705"/>
      <c r="C2" s="705"/>
      <c r="D2" s="705"/>
      <c r="E2" s="705"/>
      <c r="F2" s="705"/>
      <c r="G2" s="705"/>
      <c r="H2" s="705"/>
      <c r="I2" s="705"/>
      <c r="J2" s="705"/>
      <c r="K2" s="705"/>
      <c r="L2" s="705"/>
      <c r="M2" s="705"/>
      <c r="N2" s="705"/>
      <c r="O2" s="705"/>
      <c r="P2" s="705"/>
      <c r="X2" s="167"/>
      <c r="Y2" s="167"/>
      <c r="AO2" s="655" t="s">
        <v>246</v>
      </c>
      <c r="BI2" s="706"/>
      <c r="BJ2" s="706"/>
      <c r="BK2" s="706"/>
      <c r="BL2" s="706"/>
      <c r="BM2" s="706"/>
      <c r="BN2" s="706"/>
      <c r="BO2" s="706"/>
      <c r="BP2" s="655" t="s">
        <v>246</v>
      </c>
    </row>
    <row r="3" spans="1:68" s="26" customFormat="1" ht="16.5" customHeight="1">
      <c r="A3" s="327"/>
      <c r="B3" s="705"/>
      <c r="C3" s="705"/>
      <c r="D3" s="705"/>
      <c r="E3" s="705"/>
      <c r="F3" s="705"/>
      <c r="G3" s="705"/>
      <c r="H3" s="705"/>
      <c r="I3" s="705"/>
      <c r="J3" s="705"/>
      <c r="K3" s="705"/>
      <c r="L3" s="705"/>
      <c r="M3" s="705"/>
      <c r="N3" s="705"/>
      <c r="O3" s="705"/>
      <c r="P3" s="705"/>
      <c r="X3" s="167"/>
      <c r="Y3" s="167"/>
      <c r="AO3" s="655" t="s">
        <v>330</v>
      </c>
      <c r="AW3" s="167"/>
      <c r="AX3" s="167"/>
      <c r="BH3" s="392" t="s">
        <v>91</v>
      </c>
      <c r="BI3" s="112"/>
      <c r="BJ3" s="113"/>
      <c r="BK3" s="113"/>
      <c r="BL3" s="114"/>
      <c r="BM3"/>
      <c r="BN3" s="385"/>
      <c r="BO3" s="385"/>
      <c r="BP3" s="655" t="s">
        <v>331</v>
      </c>
    </row>
    <row r="4" spans="1:68" s="26" customFormat="1" ht="20.25">
      <c r="A4" s="327"/>
      <c r="B4" s="705"/>
      <c r="C4" s="705"/>
      <c r="D4" s="705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  <c r="P4" s="705"/>
      <c r="X4" s="167"/>
      <c r="Y4" s="167"/>
      <c r="AO4" s="653" t="s">
        <v>305</v>
      </c>
      <c r="AW4" s="167"/>
      <c r="AX4" s="167"/>
      <c r="BH4" s="392" t="s">
        <v>162</v>
      </c>
      <c r="BI4" s="112"/>
      <c r="BJ4" s="113"/>
      <c r="BK4" s="113"/>
      <c r="BL4" s="114"/>
      <c r="BM4"/>
      <c r="BN4" s="385"/>
      <c r="BO4" s="385"/>
      <c r="BP4" s="653" t="s">
        <v>305</v>
      </c>
    </row>
    <row r="5" spans="1:68" s="26" customFormat="1" ht="20.25">
      <c r="A5" s="327"/>
      <c r="B5" s="705"/>
      <c r="C5" s="705"/>
      <c r="D5" s="705"/>
      <c r="E5" s="705"/>
      <c r="F5" s="705"/>
      <c r="G5" s="705"/>
      <c r="H5" s="705"/>
      <c r="I5" s="705"/>
      <c r="J5" s="705"/>
      <c r="K5" s="705"/>
      <c r="L5" s="705"/>
      <c r="M5" s="705"/>
      <c r="N5" s="705"/>
      <c r="O5" s="705"/>
      <c r="P5" s="705"/>
      <c r="X5" s="167"/>
      <c r="Y5" s="167"/>
      <c r="AO5" s="395" t="s">
        <v>92</v>
      </c>
      <c r="AW5" s="167"/>
      <c r="AX5" s="167"/>
      <c r="BH5" s="296" t="s">
        <v>92</v>
      </c>
      <c r="BI5" s="112"/>
      <c r="BJ5" s="113"/>
      <c r="BK5" s="113"/>
      <c r="BL5" s="114"/>
      <c r="BM5"/>
      <c r="BN5" s="385"/>
      <c r="BO5" s="385"/>
      <c r="BP5" s="395" t="s">
        <v>92</v>
      </c>
    </row>
    <row r="6" spans="1:68" s="26" customFormat="1" ht="20.25">
      <c r="A6" s="327"/>
      <c r="B6" s="705"/>
      <c r="C6" s="705"/>
      <c r="D6" s="705"/>
      <c r="E6" s="705"/>
      <c r="F6" s="705"/>
      <c r="G6" s="705"/>
      <c r="H6" s="705"/>
      <c r="I6" s="705"/>
      <c r="J6" s="705"/>
      <c r="K6" s="705"/>
      <c r="L6" s="705"/>
      <c r="M6" s="705"/>
      <c r="N6" s="705"/>
      <c r="O6" s="705"/>
      <c r="P6" s="705"/>
      <c r="X6" s="167"/>
      <c r="Y6" s="167"/>
      <c r="AK6" s="92"/>
      <c r="AL6" s="92"/>
      <c r="AM6" s="92"/>
      <c r="AN6" s="92"/>
      <c r="AO6" s="399"/>
      <c r="AW6" s="167"/>
      <c r="AX6" s="167"/>
      <c r="BD6" s="92"/>
      <c r="BE6" s="92"/>
      <c r="BF6" s="92"/>
      <c r="BG6" s="92"/>
      <c r="BH6" s="296"/>
      <c r="BI6" s="115"/>
      <c r="BJ6" s="116"/>
      <c r="BK6" s="116"/>
      <c r="BL6" s="117"/>
      <c r="BM6" s="117"/>
      <c r="BN6" s="118"/>
      <c r="BO6" s="118"/>
    </row>
    <row r="7" spans="1:68" ht="63.75" customHeight="1">
      <c r="A7" s="940" t="s">
        <v>3</v>
      </c>
      <c r="B7" s="940" t="s">
        <v>4</v>
      </c>
      <c r="C7" s="874" t="s">
        <v>6</v>
      </c>
      <c r="D7" s="874" t="s">
        <v>14</v>
      </c>
      <c r="E7" s="941" t="s">
        <v>5</v>
      </c>
      <c r="F7" s="942"/>
      <c r="G7" s="874" t="s">
        <v>1</v>
      </c>
      <c r="H7" s="874" t="s">
        <v>2</v>
      </c>
      <c r="I7" s="874" t="s">
        <v>0</v>
      </c>
      <c r="J7" s="874" t="s">
        <v>51</v>
      </c>
      <c r="K7" s="874" t="s">
        <v>52</v>
      </c>
      <c r="L7" s="867" t="s">
        <v>284</v>
      </c>
      <c r="M7" s="871" t="s">
        <v>8</v>
      </c>
      <c r="N7" s="872"/>
      <c r="O7" s="873"/>
      <c r="P7" s="797" t="s">
        <v>349</v>
      </c>
      <c r="Q7" s="846"/>
      <c r="R7" s="849" t="s">
        <v>67</v>
      </c>
      <c r="S7" s="850"/>
      <c r="T7" s="853" t="s">
        <v>68</v>
      </c>
      <c r="U7" s="854"/>
      <c r="V7" s="853" t="s">
        <v>69</v>
      </c>
      <c r="W7" s="854"/>
      <c r="X7" s="849" t="s">
        <v>70</v>
      </c>
      <c r="Y7" s="850"/>
      <c r="Z7" s="853" t="s">
        <v>71</v>
      </c>
      <c r="AA7" s="860"/>
      <c r="AB7" s="860"/>
      <c r="AC7" s="861"/>
      <c r="AD7" s="862"/>
      <c r="AE7" s="797" t="s">
        <v>72</v>
      </c>
      <c r="AF7" s="798"/>
      <c r="AG7" s="798"/>
      <c r="AH7" s="798"/>
      <c r="AI7" s="799"/>
      <c r="AJ7" s="857" t="s">
        <v>73</v>
      </c>
      <c r="AK7" s="903" t="s">
        <v>74</v>
      </c>
      <c r="AL7" s="904"/>
      <c r="AM7" s="904"/>
      <c r="AN7" s="905"/>
      <c r="AO7" s="841" t="s">
        <v>75</v>
      </c>
      <c r="AP7" s="846"/>
      <c r="AQ7" s="849" t="s">
        <v>67</v>
      </c>
      <c r="AR7" s="850"/>
      <c r="AS7" s="853" t="s">
        <v>68</v>
      </c>
      <c r="AT7" s="854"/>
      <c r="AU7" s="853" t="s">
        <v>69</v>
      </c>
      <c r="AV7" s="854"/>
      <c r="AW7" s="1020" t="s">
        <v>70</v>
      </c>
      <c r="AX7" s="1021"/>
      <c r="AY7" s="1024" t="s">
        <v>71</v>
      </c>
      <c r="AZ7" s="1025"/>
      <c r="BA7" s="797" t="s">
        <v>72</v>
      </c>
      <c r="BB7" s="1028"/>
      <c r="BC7" s="857" t="s">
        <v>73</v>
      </c>
      <c r="BD7" s="1031" t="s">
        <v>74</v>
      </c>
      <c r="BE7" s="1032"/>
      <c r="BF7" s="1032"/>
      <c r="BG7" s="1033"/>
      <c r="BH7" s="841" t="s">
        <v>75</v>
      </c>
      <c r="BI7" s="903" t="s">
        <v>102</v>
      </c>
      <c r="BJ7" s="904"/>
      <c r="BK7" s="904"/>
      <c r="BL7" s="905"/>
      <c r="BM7" s="903" t="s">
        <v>103</v>
      </c>
      <c r="BN7" s="904"/>
      <c r="BO7" s="904"/>
      <c r="BP7" s="905"/>
    </row>
    <row r="8" spans="1:68" ht="15.75" customHeight="1">
      <c r="A8" s="940"/>
      <c r="B8" s="940"/>
      <c r="C8" s="875"/>
      <c r="D8" s="875"/>
      <c r="E8" s="943"/>
      <c r="F8" s="944"/>
      <c r="G8" s="875"/>
      <c r="H8" s="875"/>
      <c r="I8" s="875"/>
      <c r="J8" s="875"/>
      <c r="K8" s="875"/>
      <c r="L8" s="819"/>
      <c r="M8" s="731" t="s">
        <v>86</v>
      </c>
      <c r="N8" s="858" t="s">
        <v>262</v>
      </c>
      <c r="O8" s="869">
        <v>2021</v>
      </c>
      <c r="P8" s="847"/>
      <c r="Q8" s="848"/>
      <c r="R8" s="851"/>
      <c r="S8" s="852"/>
      <c r="T8" s="855"/>
      <c r="U8" s="856"/>
      <c r="V8" s="855"/>
      <c r="W8" s="856"/>
      <c r="X8" s="851"/>
      <c r="Y8" s="852"/>
      <c r="Z8" s="863"/>
      <c r="AA8" s="864"/>
      <c r="AB8" s="864"/>
      <c r="AC8" s="865"/>
      <c r="AD8" s="866"/>
      <c r="AE8" s="800"/>
      <c r="AF8" s="801"/>
      <c r="AG8" s="801"/>
      <c r="AH8" s="801"/>
      <c r="AI8" s="802"/>
      <c r="AJ8" s="858"/>
      <c r="AK8" s="844" t="s">
        <v>76</v>
      </c>
      <c r="AL8" s="844" t="s">
        <v>77</v>
      </c>
      <c r="AM8" s="845" t="s">
        <v>78</v>
      </c>
      <c r="AN8" s="845"/>
      <c r="AO8" s="842"/>
      <c r="AP8" s="848"/>
      <c r="AQ8" s="851"/>
      <c r="AR8" s="852"/>
      <c r="AS8" s="855"/>
      <c r="AT8" s="856"/>
      <c r="AU8" s="855"/>
      <c r="AV8" s="856"/>
      <c r="AW8" s="1022"/>
      <c r="AX8" s="1023"/>
      <c r="AY8" s="1026"/>
      <c r="AZ8" s="1027"/>
      <c r="BA8" s="1029"/>
      <c r="BB8" s="1030"/>
      <c r="BC8" s="858"/>
      <c r="BD8" s="844" t="s">
        <v>76</v>
      </c>
      <c r="BE8" s="844" t="s">
        <v>77</v>
      </c>
      <c r="BF8" s="845" t="s">
        <v>78</v>
      </c>
      <c r="BG8" s="845"/>
      <c r="BH8" s="842"/>
      <c r="BI8" s="1017" t="s">
        <v>104</v>
      </c>
      <c r="BJ8" s="1018"/>
      <c r="BK8" s="1017" t="s">
        <v>82</v>
      </c>
      <c r="BL8" s="1018"/>
      <c r="BM8" s="903" t="s">
        <v>104</v>
      </c>
      <c r="BN8" s="904"/>
      <c r="BO8" s="1017" t="s">
        <v>82</v>
      </c>
      <c r="BP8" s="1019"/>
    </row>
    <row r="9" spans="1:68" ht="33" customHeight="1">
      <c r="A9" s="940"/>
      <c r="B9" s="940"/>
      <c r="C9" s="876"/>
      <c r="D9" s="876"/>
      <c r="E9" s="719" t="s">
        <v>64</v>
      </c>
      <c r="F9" s="719" t="s">
        <v>65</v>
      </c>
      <c r="G9" s="876"/>
      <c r="H9" s="876"/>
      <c r="I9" s="876"/>
      <c r="J9" s="876"/>
      <c r="K9" s="876"/>
      <c r="L9" s="868"/>
      <c r="M9" s="709" t="s">
        <v>90</v>
      </c>
      <c r="N9" s="859"/>
      <c r="O9" s="870"/>
      <c r="P9" s="458" t="s">
        <v>79</v>
      </c>
      <c r="Q9" s="65" t="s">
        <v>80</v>
      </c>
      <c r="R9" s="367" t="s">
        <v>81</v>
      </c>
      <c r="S9" s="367" t="s">
        <v>82</v>
      </c>
      <c r="T9" s="65" t="s">
        <v>81</v>
      </c>
      <c r="U9" s="65" t="s">
        <v>82</v>
      </c>
      <c r="V9" s="65" t="s">
        <v>83</v>
      </c>
      <c r="W9" s="65" t="s">
        <v>82</v>
      </c>
      <c r="X9" s="367" t="s">
        <v>83</v>
      </c>
      <c r="Y9" s="367" t="s">
        <v>82</v>
      </c>
      <c r="Z9" s="65" t="s">
        <v>339</v>
      </c>
      <c r="AA9" s="65" t="s">
        <v>256</v>
      </c>
      <c r="AB9" s="65" t="s">
        <v>268</v>
      </c>
      <c r="AC9" s="65" t="s">
        <v>278</v>
      </c>
      <c r="AD9" s="65" t="s">
        <v>279</v>
      </c>
      <c r="AE9" s="729" t="s">
        <v>340</v>
      </c>
      <c r="AF9" s="729" t="s">
        <v>254</v>
      </c>
      <c r="AG9" s="729" t="s">
        <v>255</v>
      </c>
      <c r="AH9" s="729" t="s">
        <v>278</v>
      </c>
      <c r="AI9" s="729" t="s">
        <v>279</v>
      </c>
      <c r="AJ9" s="859"/>
      <c r="AK9" s="844"/>
      <c r="AL9" s="844"/>
      <c r="AM9" s="730" t="s">
        <v>84</v>
      </c>
      <c r="AN9" s="730" t="s">
        <v>85</v>
      </c>
      <c r="AO9" s="843"/>
      <c r="AP9" s="66" t="s">
        <v>80</v>
      </c>
      <c r="AQ9" s="367" t="s">
        <v>81</v>
      </c>
      <c r="AR9" s="367" t="s">
        <v>82</v>
      </c>
      <c r="AS9" s="65" t="s">
        <v>81</v>
      </c>
      <c r="AT9" s="65" t="s">
        <v>82</v>
      </c>
      <c r="AU9" s="65" t="s">
        <v>83</v>
      </c>
      <c r="AV9" s="65" t="s">
        <v>82</v>
      </c>
      <c r="AW9" s="367" t="s">
        <v>83</v>
      </c>
      <c r="AX9" s="386" t="s">
        <v>82</v>
      </c>
      <c r="AY9" s="729" t="s">
        <v>156</v>
      </c>
      <c r="AZ9" s="67" t="s">
        <v>227</v>
      </c>
      <c r="BA9" s="729" t="s">
        <v>156</v>
      </c>
      <c r="BB9" s="729" t="s">
        <v>227</v>
      </c>
      <c r="BC9" s="859"/>
      <c r="BD9" s="844"/>
      <c r="BE9" s="844"/>
      <c r="BF9" s="730" t="s">
        <v>84</v>
      </c>
      <c r="BG9" s="730" t="s">
        <v>85</v>
      </c>
      <c r="BH9" s="843"/>
      <c r="BI9" s="119" t="s">
        <v>105</v>
      </c>
      <c r="BJ9" s="119" t="s">
        <v>106</v>
      </c>
      <c r="BK9" s="119" t="s">
        <v>105</v>
      </c>
      <c r="BL9" s="119" t="s">
        <v>106</v>
      </c>
      <c r="BM9" s="119" t="s">
        <v>105</v>
      </c>
      <c r="BN9" s="119" t="s">
        <v>106</v>
      </c>
      <c r="BO9" s="119" t="s">
        <v>105</v>
      </c>
      <c r="BP9" s="119" t="s">
        <v>106</v>
      </c>
    </row>
    <row r="10" spans="1:68" ht="15.75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  <c r="I10" s="14">
        <v>3</v>
      </c>
      <c r="J10" s="14"/>
      <c r="K10" s="14"/>
      <c r="L10" s="14">
        <v>4</v>
      </c>
      <c r="M10" s="14">
        <v>17</v>
      </c>
      <c r="N10" s="14">
        <v>18</v>
      </c>
      <c r="O10" s="14">
        <v>19</v>
      </c>
      <c r="P10" s="732">
        <v>5</v>
      </c>
      <c r="Q10" s="69">
        <v>6</v>
      </c>
      <c r="R10" s="384">
        <v>7</v>
      </c>
      <c r="S10" s="384">
        <v>6</v>
      </c>
      <c r="T10" s="69">
        <v>9</v>
      </c>
      <c r="U10" s="69">
        <v>10</v>
      </c>
      <c r="V10" s="69">
        <v>11</v>
      </c>
      <c r="W10" s="69">
        <v>12</v>
      </c>
      <c r="X10" s="732">
        <v>13</v>
      </c>
      <c r="Y10" s="384">
        <v>14</v>
      </c>
      <c r="Z10" s="69">
        <v>7</v>
      </c>
      <c r="AA10" s="69">
        <v>8</v>
      </c>
      <c r="AB10" s="69">
        <v>17</v>
      </c>
      <c r="AC10" s="69">
        <v>18</v>
      </c>
      <c r="AD10" s="69">
        <v>16</v>
      </c>
      <c r="AE10" s="69">
        <v>9</v>
      </c>
      <c r="AF10" s="69">
        <v>10</v>
      </c>
      <c r="AG10" s="69">
        <v>19</v>
      </c>
      <c r="AH10" s="69">
        <v>20</v>
      </c>
      <c r="AI10" s="69">
        <v>18</v>
      </c>
      <c r="AJ10" s="69">
        <v>11</v>
      </c>
      <c r="AK10" s="69">
        <v>12</v>
      </c>
      <c r="AL10" s="69">
        <v>13</v>
      </c>
      <c r="AM10" s="69">
        <v>14</v>
      </c>
      <c r="AN10" s="69">
        <v>15</v>
      </c>
      <c r="AO10" s="69">
        <v>16</v>
      </c>
      <c r="AP10" s="69">
        <v>6</v>
      </c>
      <c r="AQ10" s="384">
        <v>7</v>
      </c>
      <c r="AR10" s="384">
        <v>8</v>
      </c>
      <c r="AS10" s="69">
        <v>9</v>
      </c>
      <c r="AT10" s="69">
        <v>10</v>
      </c>
      <c r="AU10" s="69">
        <v>11</v>
      </c>
      <c r="AV10" s="69">
        <v>12</v>
      </c>
      <c r="AW10" s="732">
        <v>13</v>
      </c>
      <c r="AX10" s="384">
        <v>14</v>
      </c>
      <c r="AY10" s="69">
        <v>15</v>
      </c>
      <c r="AZ10" s="69">
        <v>16</v>
      </c>
      <c r="BA10" s="69">
        <v>17</v>
      </c>
      <c r="BB10" s="69">
        <v>18</v>
      </c>
      <c r="BC10" s="384">
        <v>19</v>
      </c>
      <c r="BD10" s="70">
        <v>20</v>
      </c>
      <c r="BE10" s="70">
        <v>21</v>
      </c>
      <c r="BF10" s="383">
        <v>22</v>
      </c>
      <c r="BG10" s="383">
        <v>23</v>
      </c>
      <c r="BH10" s="297">
        <v>24</v>
      </c>
      <c r="BI10" s="120">
        <v>8</v>
      </c>
      <c r="BJ10" s="120">
        <v>9</v>
      </c>
      <c r="BK10" s="120">
        <v>10</v>
      </c>
      <c r="BL10" s="120">
        <v>11</v>
      </c>
      <c r="BM10" s="120">
        <v>12</v>
      </c>
      <c r="BN10" s="120">
        <v>13</v>
      </c>
      <c r="BO10" s="120">
        <v>14</v>
      </c>
      <c r="BP10" s="120">
        <v>15</v>
      </c>
    </row>
    <row r="11" spans="1:68" ht="15.75">
      <c r="A11" s="328"/>
      <c r="B11" s="959" t="s">
        <v>11</v>
      </c>
      <c r="C11" s="960"/>
      <c r="D11" s="960"/>
      <c r="E11" s="960"/>
      <c r="F11" s="961"/>
      <c r="G11" s="88"/>
      <c r="H11" s="88"/>
      <c r="I11" s="89"/>
      <c r="J11" s="90">
        <f>J12+J13+J14+J15</f>
        <v>2106395.81</v>
      </c>
      <c r="K11" s="90">
        <f>K12+K13+K14+K15</f>
        <v>979387.0199999999</v>
      </c>
      <c r="L11" s="90">
        <f>L12+L13+L14+L15</f>
        <v>2984552.38</v>
      </c>
      <c r="M11" s="90">
        <f t="shared" ref="M11:P11" si="0">M12+M13+M14+M15</f>
        <v>1176698.6399999999</v>
      </c>
      <c r="N11" s="90">
        <f>N12+N13+N14+N15</f>
        <v>980121.65</v>
      </c>
      <c r="O11" s="90">
        <f t="shared" si="0"/>
        <v>497854.22000000003</v>
      </c>
      <c r="P11" s="90">
        <f t="shared" si="0"/>
        <v>294382.21399999998</v>
      </c>
      <c r="Q11" s="90" t="e">
        <f>Q12+Q13+Q14+Q15</f>
        <v>#REF!</v>
      </c>
      <c r="R11" s="90" t="e">
        <f t="shared" ref="R11:AN11" si="1">R12+R13+R14+R15</f>
        <v>#REF!</v>
      </c>
      <c r="S11" s="90" t="e">
        <f t="shared" si="1"/>
        <v>#REF!</v>
      </c>
      <c r="T11" s="90" t="e">
        <f t="shared" si="1"/>
        <v>#REF!</v>
      </c>
      <c r="U11" s="90" t="e">
        <f t="shared" si="1"/>
        <v>#REF!</v>
      </c>
      <c r="V11" s="90">
        <f t="shared" si="1"/>
        <v>114227.00535000001</v>
      </c>
      <c r="W11" s="90">
        <f t="shared" si="1"/>
        <v>118400.82535</v>
      </c>
      <c r="X11" s="90">
        <f t="shared" si="1"/>
        <v>0</v>
      </c>
      <c r="Y11" s="90">
        <f t="shared" si="1"/>
        <v>48.6</v>
      </c>
      <c r="Z11" s="90">
        <f>Z12+Z13+Z14+Z15</f>
        <v>177497.40912</v>
      </c>
      <c r="AA11" s="90">
        <f>AA12+AA13+AA14+AA15</f>
        <v>24535.34</v>
      </c>
      <c r="AB11" s="90">
        <f>AB12+AB13+AB14+AB15</f>
        <v>43024.270000000004</v>
      </c>
      <c r="AC11" s="90">
        <f t="shared" ref="AC11:AD11" si="2">AC12+AC13+AC14+AC15</f>
        <v>109937.79912000001</v>
      </c>
      <c r="AD11" s="90">
        <f t="shared" si="2"/>
        <v>0</v>
      </c>
      <c r="AE11" s="90">
        <f>AE12+AE13+AE14+AE15</f>
        <v>0</v>
      </c>
      <c r="AF11" s="90">
        <f>AF12+AF13+AF14+AF15</f>
        <v>0</v>
      </c>
      <c r="AG11" s="90">
        <f t="shared" ref="AG11:AI11" si="3">AG12+AG13+AG14+AG15</f>
        <v>0</v>
      </c>
      <c r="AH11" s="90">
        <f t="shared" si="3"/>
        <v>0</v>
      </c>
      <c r="AI11" s="90">
        <f t="shared" si="3"/>
        <v>0</v>
      </c>
      <c r="AJ11" s="90">
        <f>AJ12+AJ13+AJ14+AJ15</f>
        <v>133756.41899999999</v>
      </c>
      <c r="AK11" s="90">
        <f t="shared" si="1"/>
        <v>133756.41899999999</v>
      </c>
      <c r="AL11" s="90" t="e">
        <f>ROUND((Q11*100%/P11*100),2)</f>
        <v>#REF!</v>
      </c>
      <c r="AM11" s="90">
        <f t="shared" si="1"/>
        <v>0</v>
      </c>
      <c r="AN11" s="90">
        <f t="shared" si="1"/>
        <v>0</v>
      </c>
      <c r="AO11" s="400"/>
      <c r="AP11" s="90" t="e">
        <f>AP12+AP13+AP14+AP15</f>
        <v>#REF!</v>
      </c>
      <c r="AQ11" s="90" t="e">
        <f t="shared" ref="AQ11:BG11" si="4">AQ12+AQ13+AQ14+AQ15</f>
        <v>#REF!</v>
      </c>
      <c r="AR11" s="90" t="e">
        <f t="shared" si="4"/>
        <v>#REF!</v>
      </c>
      <c r="AS11" s="90" t="e">
        <f t="shared" si="4"/>
        <v>#REF!</v>
      </c>
      <c r="AT11" s="90" t="e">
        <f t="shared" si="4"/>
        <v>#REF!</v>
      </c>
      <c r="AU11" s="90" t="e">
        <f t="shared" si="4"/>
        <v>#REF!</v>
      </c>
      <c r="AV11" s="90" t="e">
        <f t="shared" si="4"/>
        <v>#REF!</v>
      </c>
      <c r="AW11" s="90" t="e">
        <f t="shared" si="4"/>
        <v>#REF!</v>
      </c>
      <c r="AX11" s="90" t="e">
        <f t="shared" si="4"/>
        <v>#REF!</v>
      </c>
      <c r="AY11" s="90" t="e">
        <f>AY12+AY13+AY14+AY15</f>
        <v>#REF!</v>
      </c>
      <c r="AZ11" s="90" t="e">
        <f>AZ12+AZ13+AZ14+AZ15</f>
        <v>#REF!</v>
      </c>
      <c r="BA11" s="90" t="e">
        <f>BA12+BA13+BA14+BA15</f>
        <v>#REF!</v>
      </c>
      <c r="BB11" s="90" t="e">
        <f>BB12+BB13+BB14+BB15</f>
        <v>#REF!</v>
      </c>
      <c r="BC11" s="90" t="e">
        <f>BC12+BC13+BC14+BC15</f>
        <v>#REF!</v>
      </c>
      <c r="BD11" s="90" t="e">
        <f t="shared" si="4"/>
        <v>#REF!</v>
      </c>
      <c r="BE11" s="90" t="e">
        <f>ROUND((AP11*100%/#REF!*100),2)</f>
        <v>#REF!</v>
      </c>
      <c r="BF11" s="90" t="e">
        <f t="shared" si="4"/>
        <v>#REF!</v>
      </c>
      <c r="BG11" s="90" t="e">
        <f t="shared" si="4"/>
        <v>#REF!</v>
      </c>
      <c r="BH11" s="298"/>
      <c r="BI11" s="90">
        <f t="shared" ref="BI11:BK11" si="5">BI12+BI13+BI14+BI15</f>
        <v>0</v>
      </c>
      <c r="BJ11" s="90">
        <f t="shared" si="5"/>
        <v>0</v>
      </c>
      <c r="BK11" s="90">
        <f t="shared" si="5"/>
        <v>0</v>
      </c>
      <c r="BL11" s="90">
        <f>BL12+BL13+BL14+BL15</f>
        <v>0</v>
      </c>
      <c r="BM11" s="90">
        <f t="shared" ref="BM11:BP11" si="6">BM12+BM13+BM14+BM15</f>
        <v>0</v>
      </c>
      <c r="BN11" s="90">
        <f t="shared" si="6"/>
        <v>0</v>
      </c>
      <c r="BO11" s="90">
        <f t="shared" si="6"/>
        <v>0</v>
      </c>
      <c r="BP11" s="90">
        <f t="shared" si="6"/>
        <v>0</v>
      </c>
    </row>
    <row r="12" spans="1:68" ht="59.25" customHeight="1">
      <c r="A12" s="968"/>
      <c r="B12" s="969"/>
      <c r="C12" s="969"/>
      <c r="D12" s="969"/>
      <c r="E12" s="969"/>
      <c r="F12" s="969"/>
      <c r="G12" s="969"/>
      <c r="H12" s="970"/>
      <c r="I12" s="15" t="s">
        <v>19</v>
      </c>
      <c r="J12" s="16">
        <f t="shared" ref="J12:AK12" si="7">J18+J133</f>
        <v>1130844</v>
      </c>
      <c r="K12" s="16">
        <f t="shared" si="7"/>
        <v>277183.29999999993</v>
      </c>
      <c r="L12" s="16">
        <f t="shared" si="7"/>
        <v>943503.33999999985</v>
      </c>
      <c r="M12" s="16">
        <f t="shared" si="7"/>
        <v>139101.35</v>
      </c>
      <c r="N12" s="16">
        <f t="shared" si="7"/>
        <v>119048.09999999999</v>
      </c>
      <c r="O12" s="16">
        <f t="shared" si="7"/>
        <v>108418.62000000001</v>
      </c>
      <c r="P12" s="16">
        <f t="shared" si="7"/>
        <v>196255.70799999998</v>
      </c>
      <c r="Q12" s="16">
        <f t="shared" si="7"/>
        <v>6819.5860000000002</v>
      </c>
      <c r="R12" s="16">
        <f t="shared" si="7"/>
        <v>4135.3810000000003</v>
      </c>
      <c r="S12" s="16">
        <f t="shared" si="7"/>
        <v>4135.3810000000003</v>
      </c>
      <c r="T12" s="16">
        <f t="shared" si="7"/>
        <v>2684.2050000000004</v>
      </c>
      <c r="U12" s="16">
        <f t="shared" si="7"/>
        <v>2684.2050000000004</v>
      </c>
      <c r="V12" s="16">
        <f t="shared" si="7"/>
        <v>0</v>
      </c>
      <c r="W12" s="16">
        <f t="shared" si="7"/>
        <v>0</v>
      </c>
      <c r="X12" s="16">
        <f t="shared" si="7"/>
        <v>0</v>
      </c>
      <c r="Y12" s="16">
        <f t="shared" si="7"/>
        <v>0</v>
      </c>
      <c r="Z12" s="16">
        <f t="shared" si="7"/>
        <v>3501.2070000000003</v>
      </c>
      <c r="AA12" s="16">
        <f t="shared" si="7"/>
        <v>3463.4070000000002</v>
      </c>
      <c r="AB12" s="16">
        <f t="shared" si="7"/>
        <v>0</v>
      </c>
      <c r="AC12" s="16">
        <f t="shared" si="7"/>
        <v>37.799999999999997</v>
      </c>
      <c r="AD12" s="16">
        <f t="shared" si="7"/>
        <v>0</v>
      </c>
      <c r="AE12" s="16">
        <f t="shared" si="7"/>
        <v>0</v>
      </c>
      <c r="AF12" s="16">
        <f t="shared" si="7"/>
        <v>0</v>
      </c>
      <c r="AG12" s="16">
        <f t="shared" si="7"/>
        <v>0</v>
      </c>
      <c r="AH12" s="16">
        <f t="shared" si="7"/>
        <v>0</v>
      </c>
      <c r="AI12" s="16">
        <f t="shared" si="7"/>
        <v>0</v>
      </c>
      <c r="AJ12" s="16">
        <f t="shared" si="7"/>
        <v>152066.53599999999</v>
      </c>
      <c r="AK12" s="16">
        <f t="shared" si="7"/>
        <v>152066.53599999999</v>
      </c>
      <c r="AL12" s="388">
        <f>ROUND((Q12*100%/P12*100),2)</f>
        <v>3.47</v>
      </c>
      <c r="AM12" s="16">
        <f t="shared" ref="AM12:AN15" si="8">AM18+AM133</f>
        <v>0</v>
      </c>
      <c r="AN12" s="16">
        <f t="shared" si="8"/>
        <v>0</v>
      </c>
      <c r="AO12" s="401"/>
      <c r="AP12" s="16" t="e">
        <f t="shared" ref="AP12:BG15" si="9">AP18+AP106</f>
        <v>#REF!</v>
      </c>
      <c r="AQ12" s="16" t="e">
        <f t="shared" si="9"/>
        <v>#REF!</v>
      </c>
      <c r="AR12" s="16" t="e">
        <f t="shared" si="9"/>
        <v>#REF!</v>
      </c>
      <c r="AS12" s="16" t="e">
        <f t="shared" si="9"/>
        <v>#REF!</v>
      </c>
      <c r="AT12" s="16" t="e">
        <f t="shared" si="9"/>
        <v>#REF!</v>
      </c>
      <c r="AU12" s="16" t="e">
        <f t="shared" si="9"/>
        <v>#REF!</v>
      </c>
      <c r="AV12" s="16" t="e">
        <f t="shared" si="9"/>
        <v>#REF!</v>
      </c>
      <c r="AW12" s="16" t="e">
        <f t="shared" si="9"/>
        <v>#REF!</v>
      </c>
      <c r="AX12" s="16" t="e">
        <f t="shared" si="9"/>
        <v>#REF!</v>
      </c>
      <c r="AY12" s="16" t="e">
        <f t="shared" si="9"/>
        <v>#REF!</v>
      </c>
      <c r="AZ12" s="16" t="e">
        <f t="shared" si="9"/>
        <v>#REF!</v>
      </c>
      <c r="BA12" s="16" t="e">
        <f t="shared" si="9"/>
        <v>#REF!</v>
      </c>
      <c r="BB12" s="16" t="e">
        <f t="shared" si="9"/>
        <v>#REF!</v>
      </c>
      <c r="BC12" s="16" t="e">
        <f t="shared" si="9"/>
        <v>#REF!</v>
      </c>
      <c r="BD12" s="16" t="e">
        <f t="shared" si="9"/>
        <v>#REF!</v>
      </c>
      <c r="BE12" s="388" t="e">
        <f>ROUND((AP12*100%/#REF!*100),2)</f>
        <v>#REF!</v>
      </c>
      <c r="BF12" s="16" t="e">
        <f t="shared" si="9"/>
        <v>#REF!</v>
      </c>
      <c r="BG12" s="16" t="e">
        <f t="shared" si="9"/>
        <v>#REF!</v>
      </c>
      <c r="BH12" s="299"/>
      <c r="BI12" s="16">
        <f>BI18+BI106</f>
        <v>0</v>
      </c>
      <c r="BJ12" s="16">
        <f>BJ18+BJ81</f>
        <v>0</v>
      </c>
      <c r="BK12" s="16">
        <f>BK18+BK106</f>
        <v>0</v>
      </c>
      <c r="BL12" s="16">
        <f>BL18+BL106</f>
        <v>0</v>
      </c>
      <c r="BM12" s="16">
        <f t="shared" ref="BM12:BP15" si="10">BM18+BM106</f>
        <v>0</v>
      </c>
      <c r="BN12" s="16">
        <f t="shared" si="10"/>
        <v>0</v>
      </c>
      <c r="BO12" s="16">
        <f t="shared" si="10"/>
        <v>0</v>
      </c>
      <c r="BP12" s="16">
        <f t="shared" si="10"/>
        <v>0</v>
      </c>
    </row>
    <row r="13" spans="1:68" ht="44.25" customHeight="1">
      <c r="A13" s="971"/>
      <c r="B13" s="972"/>
      <c r="C13" s="972"/>
      <c r="D13" s="972"/>
      <c r="E13" s="972"/>
      <c r="F13" s="972"/>
      <c r="G13" s="972"/>
      <c r="H13" s="973"/>
      <c r="I13" s="15" t="s">
        <v>20</v>
      </c>
      <c r="J13" s="16">
        <f t="shared" ref="J13:AK13" si="11">J19+J134</f>
        <v>249930.72999999998</v>
      </c>
      <c r="K13" s="16">
        <f t="shared" si="11"/>
        <v>0</v>
      </c>
      <c r="L13" s="16">
        <f t="shared" si="11"/>
        <v>583894.28999999992</v>
      </c>
      <c r="M13" s="16">
        <f t="shared" si="11"/>
        <v>60774.350000000006</v>
      </c>
      <c r="N13" s="16">
        <f t="shared" si="11"/>
        <v>134872.99000000002</v>
      </c>
      <c r="O13" s="16">
        <f t="shared" si="11"/>
        <v>91691.959999999992</v>
      </c>
      <c r="P13" s="16">
        <f t="shared" si="11"/>
        <v>98126.505999999994</v>
      </c>
      <c r="Q13" s="16" t="e">
        <f t="shared" si="11"/>
        <v>#REF!</v>
      </c>
      <c r="R13" s="16" t="e">
        <f t="shared" si="11"/>
        <v>#REF!</v>
      </c>
      <c r="S13" s="16" t="e">
        <f t="shared" si="11"/>
        <v>#REF!</v>
      </c>
      <c r="T13" s="16" t="e">
        <f t="shared" si="11"/>
        <v>#REF!</v>
      </c>
      <c r="U13" s="16" t="e">
        <f t="shared" si="11"/>
        <v>#REF!</v>
      </c>
      <c r="V13" s="16">
        <f t="shared" si="11"/>
        <v>3340.33</v>
      </c>
      <c r="W13" s="16">
        <f t="shared" si="11"/>
        <v>7514.15</v>
      </c>
      <c r="X13" s="16">
        <f t="shared" si="11"/>
        <v>0</v>
      </c>
      <c r="Y13" s="16">
        <f t="shared" si="11"/>
        <v>48.6</v>
      </c>
      <c r="Z13" s="16">
        <f t="shared" si="11"/>
        <v>14175.657999999999</v>
      </c>
      <c r="AA13" s="16">
        <f t="shared" si="11"/>
        <v>48.6</v>
      </c>
      <c r="AB13" s="16">
        <f t="shared" si="11"/>
        <v>4519.0349999999999</v>
      </c>
      <c r="AC13" s="16">
        <f t="shared" si="11"/>
        <v>9608.023000000001</v>
      </c>
      <c r="AD13" s="16">
        <f t="shared" si="11"/>
        <v>0</v>
      </c>
      <c r="AE13" s="16">
        <f t="shared" si="11"/>
        <v>0</v>
      </c>
      <c r="AF13" s="16">
        <f t="shared" si="11"/>
        <v>0</v>
      </c>
      <c r="AG13" s="16">
        <f t="shared" si="11"/>
        <v>0</v>
      </c>
      <c r="AH13" s="16">
        <f t="shared" si="11"/>
        <v>0</v>
      </c>
      <c r="AI13" s="16">
        <f t="shared" si="11"/>
        <v>0</v>
      </c>
      <c r="AJ13" s="16">
        <f t="shared" si="11"/>
        <v>-18824.807000000001</v>
      </c>
      <c r="AK13" s="16">
        <f t="shared" si="11"/>
        <v>-18824.807000000001</v>
      </c>
      <c r="AL13" s="388" t="e">
        <f>ROUND((Q13*100%/P13*100),2)</f>
        <v>#REF!</v>
      </c>
      <c r="AM13" s="16">
        <f t="shared" si="8"/>
        <v>0</v>
      </c>
      <c r="AN13" s="16">
        <f t="shared" si="8"/>
        <v>0</v>
      </c>
      <c r="AO13" s="401"/>
      <c r="AP13" s="16">
        <f t="shared" si="9"/>
        <v>25655.911</v>
      </c>
      <c r="AQ13" s="16">
        <f t="shared" si="9"/>
        <v>33.478999999999999</v>
      </c>
      <c r="AR13" s="16">
        <f t="shared" si="9"/>
        <v>33.478999999999999</v>
      </c>
      <c r="AS13" s="16">
        <f t="shared" si="9"/>
        <v>0</v>
      </c>
      <c r="AT13" s="16">
        <f t="shared" si="9"/>
        <v>370</v>
      </c>
      <c r="AU13" s="16">
        <f t="shared" si="9"/>
        <v>3059.114</v>
      </c>
      <c r="AV13" s="16">
        <f t="shared" si="9"/>
        <v>3059.11</v>
      </c>
      <c r="AW13" s="16">
        <f t="shared" si="9"/>
        <v>25203.302</v>
      </c>
      <c r="AX13" s="16">
        <f t="shared" si="9"/>
        <v>22193.322</v>
      </c>
      <c r="AY13" s="16">
        <f t="shared" si="9"/>
        <v>33773.891000000003</v>
      </c>
      <c r="AZ13" s="16">
        <f t="shared" si="9"/>
        <v>33731.301000000007</v>
      </c>
      <c r="BA13" s="16">
        <f t="shared" si="9"/>
        <v>0</v>
      </c>
      <c r="BB13" s="16">
        <f t="shared" si="9"/>
        <v>0</v>
      </c>
      <c r="BC13" s="16" t="e">
        <f>BC19+BC107</f>
        <v>#REF!</v>
      </c>
      <c r="BD13" s="16" t="e">
        <f t="shared" si="9"/>
        <v>#REF!</v>
      </c>
      <c r="BE13" s="388" t="e">
        <f>ROUND((AP13*100%/#REF!*100),2)</f>
        <v>#REF!</v>
      </c>
      <c r="BF13" s="16">
        <f t="shared" si="9"/>
        <v>0</v>
      </c>
      <c r="BG13" s="16">
        <f t="shared" si="9"/>
        <v>0</v>
      </c>
      <c r="BH13" s="299"/>
      <c r="BI13" s="16">
        <f t="shared" ref="BI13:BJ13" si="12">BI19+BI107</f>
        <v>0</v>
      </c>
      <c r="BJ13" s="16">
        <f t="shared" si="12"/>
        <v>0</v>
      </c>
      <c r="BK13" s="16">
        <f>BK19+BK107</f>
        <v>0</v>
      </c>
      <c r="BL13" s="16">
        <f>BL19+BL107</f>
        <v>0</v>
      </c>
      <c r="BM13" s="16">
        <f t="shared" si="10"/>
        <v>0</v>
      </c>
      <c r="BN13" s="16">
        <f t="shared" si="10"/>
        <v>0</v>
      </c>
      <c r="BO13" s="16">
        <f t="shared" si="10"/>
        <v>0</v>
      </c>
      <c r="BP13" s="16">
        <f t="shared" si="10"/>
        <v>0</v>
      </c>
    </row>
    <row r="14" spans="1:68" ht="25.5" customHeight="1">
      <c r="A14" s="971"/>
      <c r="B14" s="972"/>
      <c r="C14" s="972"/>
      <c r="D14" s="972"/>
      <c r="E14" s="972"/>
      <c r="F14" s="972"/>
      <c r="G14" s="972"/>
      <c r="H14" s="973"/>
      <c r="I14" s="15" t="s">
        <v>10</v>
      </c>
      <c r="J14" s="16">
        <f t="shared" ref="J14:AK14" si="13">J20+J135</f>
        <v>23417.360000000001</v>
      </c>
      <c r="K14" s="16">
        <f t="shared" si="13"/>
        <v>0</v>
      </c>
      <c r="L14" s="16">
        <f t="shared" si="13"/>
        <v>667536.91</v>
      </c>
      <c r="M14" s="16">
        <f t="shared" si="13"/>
        <v>627881.75</v>
      </c>
      <c r="N14" s="16">
        <f t="shared" si="13"/>
        <v>529727.44999999995</v>
      </c>
      <c r="O14" s="16">
        <f t="shared" si="13"/>
        <v>297742.64</v>
      </c>
      <c r="P14" s="16">
        <f t="shared" si="13"/>
        <v>0</v>
      </c>
      <c r="Q14" s="16">
        <f t="shared" si="13"/>
        <v>228400.92835</v>
      </c>
      <c r="R14" s="16">
        <f t="shared" si="13"/>
        <v>21023.332999999999</v>
      </c>
      <c r="S14" s="16">
        <f t="shared" si="13"/>
        <v>21023.332999999999</v>
      </c>
      <c r="T14" s="16">
        <f t="shared" si="13"/>
        <v>96490.92</v>
      </c>
      <c r="U14" s="16">
        <f t="shared" si="13"/>
        <v>96490.92</v>
      </c>
      <c r="V14" s="16">
        <f t="shared" si="13"/>
        <v>110886.67535</v>
      </c>
      <c r="W14" s="16">
        <f t="shared" si="13"/>
        <v>110886.67535</v>
      </c>
      <c r="X14" s="16">
        <f t="shared" si="13"/>
        <v>0</v>
      </c>
      <c r="Y14" s="16">
        <f t="shared" si="13"/>
        <v>0</v>
      </c>
      <c r="Z14" s="16">
        <f t="shared" si="13"/>
        <v>159820.54412000001</v>
      </c>
      <c r="AA14" s="16">
        <f t="shared" si="13"/>
        <v>21023.332999999999</v>
      </c>
      <c r="AB14" s="16">
        <f t="shared" si="13"/>
        <v>38505.235000000001</v>
      </c>
      <c r="AC14" s="16">
        <f t="shared" si="13"/>
        <v>100291.97612000001</v>
      </c>
      <c r="AD14" s="16">
        <f t="shared" si="13"/>
        <v>0</v>
      </c>
      <c r="AE14" s="16">
        <f t="shared" si="13"/>
        <v>0</v>
      </c>
      <c r="AF14" s="16">
        <f t="shared" si="13"/>
        <v>0</v>
      </c>
      <c r="AG14" s="16">
        <f t="shared" si="13"/>
        <v>0</v>
      </c>
      <c r="AH14" s="16">
        <f t="shared" si="13"/>
        <v>0</v>
      </c>
      <c r="AI14" s="16">
        <f t="shared" si="13"/>
        <v>0</v>
      </c>
      <c r="AJ14" s="16">
        <f t="shared" si="13"/>
        <v>514.68999999999994</v>
      </c>
      <c r="AK14" s="16">
        <f t="shared" si="13"/>
        <v>514.68999999999994</v>
      </c>
      <c r="AL14" s="388">
        <v>0</v>
      </c>
      <c r="AM14" s="16">
        <f t="shared" si="8"/>
        <v>0</v>
      </c>
      <c r="AN14" s="16">
        <f t="shared" si="8"/>
        <v>0</v>
      </c>
      <c r="AO14" s="401"/>
      <c r="AP14" s="16">
        <f>AP20+AP108</f>
        <v>109472.18</v>
      </c>
      <c r="AQ14" s="16">
        <f t="shared" si="9"/>
        <v>83335.64</v>
      </c>
      <c r="AR14" s="16">
        <f t="shared" si="9"/>
        <v>83335.64</v>
      </c>
      <c r="AS14" s="16">
        <f t="shared" si="9"/>
        <v>0</v>
      </c>
      <c r="AT14" s="16">
        <f t="shared" si="9"/>
        <v>0</v>
      </c>
      <c r="AU14" s="16">
        <f t="shared" si="9"/>
        <v>0</v>
      </c>
      <c r="AV14" s="16">
        <f t="shared" si="9"/>
        <v>0</v>
      </c>
      <c r="AW14" s="16">
        <f t="shared" si="9"/>
        <v>0</v>
      </c>
      <c r="AX14" s="16">
        <f t="shared" si="9"/>
        <v>26136.54</v>
      </c>
      <c r="AY14" s="16">
        <f t="shared" si="9"/>
        <v>109472.18</v>
      </c>
      <c r="AZ14" s="16">
        <f t="shared" si="9"/>
        <v>26136.54</v>
      </c>
      <c r="BA14" s="16">
        <f t="shared" si="9"/>
        <v>83335.64</v>
      </c>
      <c r="BB14" s="16">
        <f t="shared" si="9"/>
        <v>0</v>
      </c>
      <c r="BC14" s="16" t="e">
        <f t="shared" si="9"/>
        <v>#REF!</v>
      </c>
      <c r="BD14" s="16" t="e">
        <f t="shared" si="9"/>
        <v>#REF!</v>
      </c>
      <c r="BE14" s="388" t="e">
        <f>ROUND((AP14*100%/#REF!*100),2)</f>
        <v>#REF!</v>
      </c>
      <c r="BF14" s="16">
        <f t="shared" si="9"/>
        <v>0</v>
      </c>
      <c r="BG14" s="16">
        <f t="shared" si="9"/>
        <v>0</v>
      </c>
      <c r="BH14" s="299"/>
      <c r="BI14" s="16">
        <f t="shared" ref="BI14" si="14">BJ14+BK14+BL14</f>
        <v>0</v>
      </c>
      <c r="BJ14" s="16">
        <f t="shared" ref="BJ14:BL14" si="15">BJ20+BJ83</f>
        <v>0</v>
      </c>
      <c r="BK14" s="16">
        <f t="shared" si="15"/>
        <v>0</v>
      </c>
      <c r="BL14" s="16">
        <f t="shared" si="15"/>
        <v>0</v>
      </c>
      <c r="BM14" s="16">
        <f t="shared" si="10"/>
        <v>0</v>
      </c>
      <c r="BN14" s="16">
        <f t="shared" si="10"/>
        <v>0</v>
      </c>
      <c r="BO14" s="16">
        <f t="shared" si="10"/>
        <v>0</v>
      </c>
      <c r="BP14" s="16">
        <f t="shared" si="10"/>
        <v>0</v>
      </c>
    </row>
    <row r="15" spans="1:68" ht="25.5">
      <c r="A15" s="974"/>
      <c r="B15" s="975"/>
      <c r="C15" s="975"/>
      <c r="D15" s="975"/>
      <c r="E15" s="975"/>
      <c r="F15" s="975"/>
      <c r="G15" s="975"/>
      <c r="H15" s="976"/>
      <c r="I15" s="15" t="s">
        <v>9</v>
      </c>
      <c r="J15" s="16">
        <f t="shared" ref="J15:AK15" si="16">J21+J136</f>
        <v>702203.72</v>
      </c>
      <c r="K15" s="16">
        <f t="shared" si="16"/>
        <v>702203.72</v>
      </c>
      <c r="L15" s="16">
        <f t="shared" si="16"/>
        <v>789617.84</v>
      </c>
      <c r="M15" s="16">
        <f t="shared" si="16"/>
        <v>348941.19</v>
      </c>
      <c r="N15" s="16">
        <f t="shared" si="16"/>
        <v>196473.11</v>
      </c>
      <c r="O15" s="16">
        <f t="shared" si="16"/>
        <v>1</v>
      </c>
      <c r="P15" s="16">
        <f t="shared" si="16"/>
        <v>0</v>
      </c>
      <c r="Q15" s="16">
        <f t="shared" si="16"/>
        <v>37814.324000000001</v>
      </c>
      <c r="R15" s="16">
        <f t="shared" si="16"/>
        <v>37814.324000000001</v>
      </c>
      <c r="S15" s="16">
        <f t="shared" si="16"/>
        <v>37814.324000000001</v>
      </c>
      <c r="T15" s="16">
        <f t="shared" si="16"/>
        <v>0</v>
      </c>
      <c r="U15" s="16">
        <f t="shared" si="16"/>
        <v>0</v>
      </c>
      <c r="V15" s="16">
        <f t="shared" si="16"/>
        <v>0</v>
      </c>
      <c r="W15" s="16">
        <f t="shared" si="16"/>
        <v>0</v>
      </c>
      <c r="X15" s="16">
        <f t="shared" si="16"/>
        <v>0</v>
      </c>
      <c r="Y15" s="16">
        <f t="shared" si="16"/>
        <v>0</v>
      </c>
      <c r="Z15" s="16">
        <f t="shared" si="16"/>
        <v>0</v>
      </c>
      <c r="AA15" s="16">
        <f t="shared" si="16"/>
        <v>0</v>
      </c>
      <c r="AB15" s="16">
        <f t="shared" si="16"/>
        <v>0</v>
      </c>
      <c r="AC15" s="16">
        <f t="shared" si="16"/>
        <v>0</v>
      </c>
      <c r="AD15" s="16">
        <f t="shared" si="16"/>
        <v>0</v>
      </c>
      <c r="AE15" s="16">
        <f t="shared" si="16"/>
        <v>0</v>
      </c>
      <c r="AF15" s="16">
        <f t="shared" si="16"/>
        <v>0</v>
      </c>
      <c r="AG15" s="16">
        <f t="shared" si="16"/>
        <v>0</v>
      </c>
      <c r="AH15" s="16">
        <f t="shared" si="16"/>
        <v>0</v>
      </c>
      <c r="AI15" s="16">
        <f t="shared" si="16"/>
        <v>0</v>
      </c>
      <c r="AJ15" s="16">
        <f t="shared" si="16"/>
        <v>0</v>
      </c>
      <c r="AK15" s="16">
        <f t="shared" si="16"/>
        <v>0</v>
      </c>
      <c r="AL15" s="388">
        <v>0</v>
      </c>
      <c r="AM15" s="16">
        <f t="shared" si="8"/>
        <v>0</v>
      </c>
      <c r="AN15" s="16">
        <f t="shared" si="8"/>
        <v>0</v>
      </c>
      <c r="AO15" s="401"/>
      <c r="AP15" s="16">
        <f t="shared" si="9"/>
        <v>340731.15900000004</v>
      </c>
      <c r="AQ15" s="16">
        <f t="shared" si="9"/>
        <v>0</v>
      </c>
      <c r="AR15" s="16">
        <f t="shared" si="9"/>
        <v>0</v>
      </c>
      <c r="AS15" s="16">
        <f t="shared" si="9"/>
        <v>0</v>
      </c>
      <c r="AT15" s="16">
        <f t="shared" si="9"/>
        <v>233380.04500000001</v>
      </c>
      <c r="AU15" s="16">
        <f t="shared" si="9"/>
        <v>0</v>
      </c>
      <c r="AV15" s="16">
        <f t="shared" si="9"/>
        <v>59762.495999999999</v>
      </c>
      <c r="AW15" s="16">
        <f t="shared" si="9"/>
        <v>0</v>
      </c>
      <c r="AX15" s="16">
        <f t="shared" si="9"/>
        <v>47588.618000000002</v>
      </c>
      <c r="AY15" s="16">
        <f t="shared" si="9"/>
        <v>210711.94399999999</v>
      </c>
      <c r="AZ15" s="16">
        <f t="shared" si="9"/>
        <v>77225.87</v>
      </c>
      <c r="BA15" s="16">
        <f t="shared" si="9"/>
        <v>133486.07199999999</v>
      </c>
      <c r="BB15" s="16">
        <f t="shared" si="9"/>
        <v>0</v>
      </c>
      <c r="BC15" s="16">
        <f t="shared" si="9"/>
        <v>0</v>
      </c>
      <c r="BD15" s="16">
        <f t="shared" si="9"/>
        <v>0</v>
      </c>
      <c r="BE15" s="388" t="e">
        <f>ROUND((AP15*100%/#REF!*100),2)</f>
        <v>#REF!</v>
      </c>
      <c r="BF15" s="16">
        <f t="shared" si="9"/>
        <v>0</v>
      </c>
      <c r="BG15" s="16">
        <f t="shared" si="9"/>
        <v>0</v>
      </c>
      <c r="BH15" s="299"/>
      <c r="BI15" s="16">
        <f>BI21</f>
        <v>0</v>
      </c>
      <c r="BJ15" s="16">
        <f t="shared" ref="BJ15:BL15" si="17">BJ21</f>
        <v>0</v>
      </c>
      <c r="BK15" s="16">
        <f t="shared" si="17"/>
        <v>0</v>
      </c>
      <c r="BL15" s="16">
        <f t="shared" si="17"/>
        <v>0</v>
      </c>
      <c r="BM15" s="16">
        <f t="shared" si="10"/>
        <v>0</v>
      </c>
      <c r="BN15" s="16">
        <f t="shared" si="10"/>
        <v>0</v>
      </c>
      <c r="BO15" s="16">
        <f t="shared" si="10"/>
        <v>0</v>
      </c>
      <c r="BP15" s="16">
        <f t="shared" si="10"/>
        <v>0</v>
      </c>
    </row>
    <row r="16" spans="1:68" ht="15.75">
      <c r="A16" s="962" t="s">
        <v>12</v>
      </c>
      <c r="B16" s="963"/>
      <c r="C16" s="963"/>
      <c r="D16" s="963"/>
      <c r="E16" s="963"/>
      <c r="F16" s="963"/>
      <c r="G16" s="963"/>
      <c r="H16" s="964"/>
      <c r="I16" s="17"/>
      <c r="J16" s="17"/>
      <c r="K16" s="17"/>
      <c r="L16" s="18"/>
      <c r="M16" s="18"/>
      <c r="N16" s="18"/>
      <c r="O16" s="18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402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300"/>
      <c r="BI16" s="121"/>
      <c r="BJ16" s="121"/>
      <c r="BK16" s="121"/>
      <c r="BL16" s="121"/>
      <c r="BM16" s="121"/>
      <c r="BN16" s="121"/>
      <c r="BO16" s="121"/>
      <c r="BP16" s="121"/>
    </row>
    <row r="17" spans="1:68" ht="15.75">
      <c r="A17" s="977"/>
      <c r="B17" s="978"/>
      <c r="C17" s="978"/>
      <c r="D17" s="978"/>
      <c r="E17" s="978"/>
      <c r="F17" s="978"/>
      <c r="G17" s="978"/>
      <c r="H17" s="979"/>
      <c r="I17" s="19" t="s">
        <v>348</v>
      </c>
      <c r="J17" s="20">
        <f t="shared" ref="J17:O17" si="18">J18+J19+J20+J21</f>
        <v>1940430.69</v>
      </c>
      <c r="K17" s="20">
        <f t="shared" si="18"/>
        <v>954032.91999999993</v>
      </c>
      <c r="L17" s="20">
        <f>L18+L19+L20+L21</f>
        <v>1942433.19</v>
      </c>
      <c r="M17" s="20">
        <f>M18+M19+M20+M21</f>
        <v>605672.16</v>
      </c>
      <c r="N17" s="20">
        <f t="shared" si="18"/>
        <v>363282.47</v>
      </c>
      <c r="O17" s="20">
        <f t="shared" si="18"/>
        <v>116582.55</v>
      </c>
      <c r="P17" s="47">
        <f>P18+P19+P20+P21</f>
        <v>167554.31</v>
      </c>
      <c r="Q17" s="47" t="e">
        <f t="shared" ref="Q17:AN17" si="19">Q18+Q19+Q20+Q21</f>
        <v>#REF!</v>
      </c>
      <c r="R17" s="47" t="e">
        <f t="shared" si="19"/>
        <v>#REF!</v>
      </c>
      <c r="S17" s="47" t="e">
        <f t="shared" si="19"/>
        <v>#REF!</v>
      </c>
      <c r="T17" s="47" t="e">
        <f t="shared" si="19"/>
        <v>#REF!</v>
      </c>
      <c r="U17" s="47" t="e">
        <f t="shared" si="19"/>
        <v>#REF!</v>
      </c>
      <c r="V17" s="47">
        <f t="shared" si="19"/>
        <v>2024.52</v>
      </c>
      <c r="W17" s="47">
        <f t="shared" si="19"/>
        <v>2024.52</v>
      </c>
      <c r="X17" s="47">
        <f t="shared" si="19"/>
        <v>0</v>
      </c>
      <c r="Y17" s="47">
        <f t="shared" si="19"/>
        <v>48.6</v>
      </c>
      <c r="Z17" s="47">
        <f t="shared" si="19"/>
        <v>4570.4430000000002</v>
      </c>
      <c r="AA17" s="47">
        <f t="shared" si="19"/>
        <v>114.93</v>
      </c>
      <c r="AB17" s="47">
        <f t="shared" si="19"/>
        <v>1095.7</v>
      </c>
      <c r="AC17" s="47">
        <f t="shared" si="19"/>
        <v>3359.8130000000001</v>
      </c>
      <c r="AD17" s="47">
        <f t="shared" si="19"/>
        <v>0</v>
      </c>
      <c r="AE17" s="47">
        <f t="shared" si="19"/>
        <v>0</v>
      </c>
      <c r="AF17" s="47">
        <f t="shared" si="19"/>
        <v>0</v>
      </c>
      <c r="AG17" s="47">
        <f t="shared" si="19"/>
        <v>0</v>
      </c>
      <c r="AH17" s="47">
        <f t="shared" si="19"/>
        <v>0</v>
      </c>
      <c r="AI17" s="47">
        <f t="shared" si="19"/>
        <v>0</v>
      </c>
      <c r="AJ17" s="47">
        <f t="shared" si="19"/>
        <v>136182.56</v>
      </c>
      <c r="AK17" s="47">
        <f t="shared" si="19"/>
        <v>136182.56</v>
      </c>
      <c r="AL17" s="47">
        <f t="shared" si="19"/>
        <v>551.49</v>
      </c>
      <c r="AM17" s="47">
        <f t="shared" si="19"/>
        <v>0</v>
      </c>
      <c r="AN17" s="47">
        <f t="shared" si="19"/>
        <v>0</v>
      </c>
      <c r="AO17" s="403"/>
      <c r="AP17" s="47">
        <f t="shared" ref="AP17:BG17" si="20">AP18+AP19+AP20+AP21</f>
        <v>543123.68900000001</v>
      </c>
      <c r="AQ17" s="47">
        <f t="shared" si="20"/>
        <v>158519.08900000001</v>
      </c>
      <c r="AR17" s="47">
        <f t="shared" si="20"/>
        <v>158519.08900000001</v>
      </c>
      <c r="AS17" s="47">
        <f t="shared" si="20"/>
        <v>18363.297999999999</v>
      </c>
      <c r="AT17" s="47">
        <f t="shared" si="20"/>
        <v>252113.34300000002</v>
      </c>
      <c r="AU17" s="47">
        <f t="shared" si="20"/>
        <v>1.66</v>
      </c>
      <c r="AV17" s="47">
        <f t="shared" si="20"/>
        <v>72307.824999999997</v>
      </c>
      <c r="AW17" s="47">
        <f t="shared" si="20"/>
        <v>2919.9059999999999</v>
      </c>
      <c r="AX17" s="47">
        <f t="shared" si="20"/>
        <v>60183.432000000001</v>
      </c>
      <c r="AY17" s="47">
        <f t="shared" si="20"/>
        <v>389429.21100000001</v>
      </c>
      <c r="AZ17" s="47">
        <f t="shared" si="20"/>
        <v>63023.4</v>
      </c>
      <c r="BA17" s="47">
        <f t="shared" si="20"/>
        <v>326404.15499999997</v>
      </c>
      <c r="BB17" s="47">
        <f t="shared" si="20"/>
        <v>0</v>
      </c>
      <c r="BC17" s="47" t="e">
        <f t="shared" si="20"/>
        <v>#REF!</v>
      </c>
      <c r="BD17" s="47" t="e">
        <f t="shared" si="20"/>
        <v>#REF!</v>
      </c>
      <c r="BE17" s="47" t="e">
        <f t="shared" si="20"/>
        <v>#REF!</v>
      </c>
      <c r="BF17" s="47">
        <f t="shared" si="20"/>
        <v>0</v>
      </c>
      <c r="BG17" s="47">
        <f t="shared" si="20"/>
        <v>0</v>
      </c>
      <c r="BH17" s="301"/>
      <c r="BI17" s="47">
        <f t="shared" ref="BI17:BP17" si="21">BI18+BI19+BI20+BI21</f>
        <v>0</v>
      </c>
      <c r="BJ17" s="47">
        <f>BJ18+BJ19+BJ20+BJ21</f>
        <v>0</v>
      </c>
      <c r="BK17" s="47">
        <f>BK18+BK19+BK20+BK21</f>
        <v>0</v>
      </c>
      <c r="BL17" s="47">
        <f t="shared" si="21"/>
        <v>0</v>
      </c>
      <c r="BM17" s="47">
        <f t="shared" si="21"/>
        <v>0</v>
      </c>
      <c r="BN17" s="47">
        <f t="shared" si="21"/>
        <v>0</v>
      </c>
      <c r="BO17" s="47">
        <f t="shared" si="21"/>
        <v>0</v>
      </c>
      <c r="BP17" s="47">
        <f t="shared" si="21"/>
        <v>0</v>
      </c>
    </row>
    <row r="18" spans="1:68" ht="53.25" customHeight="1">
      <c r="A18" s="980"/>
      <c r="B18" s="981"/>
      <c r="C18" s="981"/>
      <c r="D18" s="981"/>
      <c r="E18" s="981"/>
      <c r="F18" s="981"/>
      <c r="G18" s="981"/>
      <c r="H18" s="982"/>
      <c r="I18" s="15" t="s">
        <v>19</v>
      </c>
      <c r="J18" s="16">
        <f t="shared" ref="J18:AN18" si="22">J22+J122</f>
        <v>977955.46</v>
      </c>
      <c r="K18" s="16">
        <f t="shared" si="22"/>
        <v>251829.19999999995</v>
      </c>
      <c r="L18" s="16">
        <f t="shared" si="22"/>
        <v>750480.15999999992</v>
      </c>
      <c r="M18" s="16">
        <f t="shared" si="22"/>
        <v>96658.23</v>
      </c>
      <c r="N18" s="16">
        <f t="shared" si="22"/>
        <v>83716.939999999988</v>
      </c>
      <c r="O18" s="16">
        <f t="shared" si="22"/>
        <v>78886.680000000008</v>
      </c>
      <c r="P18" s="47">
        <f t="shared" si="22"/>
        <v>129338.56</v>
      </c>
      <c r="Q18" s="22">
        <f t="shared" si="22"/>
        <v>384.70899999999995</v>
      </c>
      <c r="R18" s="22">
        <f t="shared" si="22"/>
        <v>384.70899999999995</v>
      </c>
      <c r="S18" s="22">
        <f t="shared" si="22"/>
        <v>384.70899999999995</v>
      </c>
      <c r="T18" s="22">
        <f t="shared" si="22"/>
        <v>0</v>
      </c>
      <c r="U18" s="22">
        <f t="shared" si="22"/>
        <v>0</v>
      </c>
      <c r="V18" s="22">
        <f t="shared" si="22"/>
        <v>0</v>
      </c>
      <c r="W18" s="22">
        <f t="shared" si="22"/>
        <v>0</v>
      </c>
      <c r="X18" s="22">
        <f t="shared" si="22"/>
        <v>0</v>
      </c>
      <c r="Y18" s="22">
        <f t="shared" si="22"/>
        <v>0</v>
      </c>
      <c r="Z18" s="22">
        <f t="shared" si="22"/>
        <v>66.33</v>
      </c>
      <c r="AA18" s="22">
        <f t="shared" si="22"/>
        <v>66.33</v>
      </c>
      <c r="AB18" s="22">
        <f t="shared" si="22"/>
        <v>0</v>
      </c>
      <c r="AC18" s="22">
        <f t="shared" si="22"/>
        <v>0</v>
      </c>
      <c r="AD18" s="22">
        <f t="shared" si="22"/>
        <v>0</v>
      </c>
      <c r="AE18" s="22">
        <f t="shared" si="22"/>
        <v>0</v>
      </c>
      <c r="AF18" s="22">
        <f t="shared" si="22"/>
        <v>0</v>
      </c>
      <c r="AG18" s="22">
        <f t="shared" si="22"/>
        <v>0</v>
      </c>
      <c r="AH18" s="22">
        <f t="shared" si="22"/>
        <v>0</v>
      </c>
      <c r="AI18" s="22">
        <f t="shared" si="22"/>
        <v>0</v>
      </c>
      <c r="AJ18" s="22">
        <f t="shared" si="22"/>
        <v>129338.56</v>
      </c>
      <c r="AK18" s="22">
        <f t="shared" si="22"/>
        <v>129338.56</v>
      </c>
      <c r="AL18" s="22">
        <f t="shared" si="22"/>
        <v>0</v>
      </c>
      <c r="AM18" s="22">
        <f t="shared" si="22"/>
        <v>0</v>
      </c>
      <c r="AN18" s="22">
        <f t="shared" si="22"/>
        <v>0</v>
      </c>
      <c r="AO18" s="404"/>
      <c r="AP18" s="22">
        <f t="shared" ref="AP18:BG18" si="23">AP22+AP97</f>
        <v>90762.328000000023</v>
      </c>
      <c r="AQ18" s="22">
        <f t="shared" si="23"/>
        <v>75183.449000000008</v>
      </c>
      <c r="AR18" s="22">
        <f t="shared" si="23"/>
        <v>75183.449000000008</v>
      </c>
      <c r="AS18" s="22">
        <f t="shared" si="23"/>
        <v>18363.297999999999</v>
      </c>
      <c r="AT18" s="22">
        <f t="shared" si="23"/>
        <v>18363.297999999999</v>
      </c>
      <c r="AU18" s="22">
        <f t="shared" si="23"/>
        <v>0</v>
      </c>
      <c r="AV18" s="22">
        <f t="shared" si="23"/>
        <v>12543.673000000001</v>
      </c>
      <c r="AW18" s="22">
        <f t="shared" si="23"/>
        <v>0</v>
      </c>
      <c r="AX18" s="22">
        <f t="shared" si="23"/>
        <v>-15328.092000000002</v>
      </c>
      <c r="AY18" s="22">
        <f t="shared" si="23"/>
        <v>67972.061000000002</v>
      </c>
      <c r="AZ18" s="22">
        <f t="shared" si="23"/>
        <v>-41610.375999999997</v>
      </c>
      <c r="BA18" s="22">
        <f t="shared" si="23"/>
        <v>109582.443</v>
      </c>
      <c r="BB18" s="22">
        <f t="shared" si="23"/>
        <v>0</v>
      </c>
      <c r="BC18" s="22" t="e">
        <f t="shared" si="23"/>
        <v>#REF!</v>
      </c>
      <c r="BD18" s="22" t="e">
        <f t="shared" si="23"/>
        <v>#REF!</v>
      </c>
      <c r="BE18" s="22" t="e">
        <f t="shared" si="23"/>
        <v>#REF!</v>
      </c>
      <c r="BF18" s="22">
        <f t="shared" si="23"/>
        <v>0</v>
      </c>
      <c r="BG18" s="22">
        <f t="shared" si="23"/>
        <v>0</v>
      </c>
      <c r="BH18" s="302"/>
      <c r="BI18" s="22">
        <f t="shared" ref="BI18:BK18" si="24">BI22+BI72</f>
        <v>0</v>
      </c>
      <c r="BJ18" s="22">
        <f>BJ22</f>
        <v>0</v>
      </c>
      <c r="BK18" s="22">
        <f t="shared" si="24"/>
        <v>0</v>
      </c>
      <c r="BL18" s="22">
        <f>BL22+BL68</f>
        <v>0</v>
      </c>
      <c r="BM18" s="22">
        <f t="shared" ref="BM18:BP18" si="25">BM22+BM72</f>
        <v>0</v>
      </c>
      <c r="BN18" s="22">
        <f t="shared" si="25"/>
        <v>0</v>
      </c>
      <c r="BO18" s="22">
        <f t="shared" si="25"/>
        <v>0</v>
      </c>
      <c r="BP18" s="22">
        <f t="shared" si="25"/>
        <v>0</v>
      </c>
    </row>
    <row r="19" spans="1:68" ht="38.25">
      <c r="A19" s="980"/>
      <c r="B19" s="981"/>
      <c r="C19" s="981"/>
      <c r="D19" s="981"/>
      <c r="E19" s="981"/>
      <c r="F19" s="981"/>
      <c r="G19" s="981"/>
      <c r="H19" s="982"/>
      <c r="I19" s="15" t="s">
        <v>20</v>
      </c>
      <c r="J19" s="16">
        <f>J23+J48+J55+J65+J73+J123</f>
        <v>236854.15</v>
      </c>
      <c r="K19" s="16">
        <f>K23+K65+K123</f>
        <v>0</v>
      </c>
      <c r="L19" s="16">
        <f t="shared" ref="L19:AN19" si="26">L23+L48+L55+L65+L73+L123</f>
        <v>230331.37</v>
      </c>
      <c r="M19" s="16">
        <f t="shared" si="26"/>
        <v>24568.73</v>
      </c>
      <c r="N19" s="16">
        <f t="shared" si="26"/>
        <v>46592.61</v>
      </c>
      <c r="O19" s="16">
        <f t="shared" si="26"/>
        <v>37695.869999999995</v>
      </c>
      <c r="P19" s="47">
        <f t="shared" si="26"/>
        <v>38215.75</v>
      </c>
      <c r="Q19" s="22" t="e">
        <f t="shared" si="26"/>
        <v>#REF!</v>
      </c>
      <c r="R19" s="22" t="e">
        <f t="shared" si="26"/>
        <v>#REF!</v>
      </c>
      <c r="S19" s="22" t="e">
        <f t="shared" si="26"/>
        <v>#REF!</v>
      </c>
      <c r="T19" s="22" t="e">
        <f t="shared" si="26"/>
        <v>#REF!</v>
      </c>
      <c r="U19" s="22" t="e">
        <f t="shared" si="26"/>
        <v>#REF!</v>
      </c>
      <c r="V19" s="22">
        <f t="shared" si="26"/>
        <v>2024.52</v>
      </c>
      <c r="W19" s="22">
        <f t="shared" si="26"/>
        <v>2024.52</v>
      </c>
      <c r="X19" s="22">
        <f t="shared" si="26"/>
        <v>0</v>
      </c>
      <c r="Y19" s="22">
        <f t="shared" si="26"/>
        <v>48.6</v>
      </c>
      <c r="Z19" s="22">
        <f t="shared" si="26"/>
        <v>4504.1130000000003</v>
      </c>
      <c r="AA19" s="22">
        <f t="shared" si="26"/>
        <v>48.6</v>
      </c>
      <c r="AB19" s="22">
        <f t="shared" si="26"/>
        <v>1095.7</v>
      </c>
      <c r="AC19" s="22">
        <f t="shared" si="26"/>
        <v>3359.8130000000001</v>
      </c>
      <c r="AD19" s="22">
        <f t="shared" si="26"/>
        <v>0</v>
      </c>
      <c r="AE19" s="22">
        <f t="shared" si="26"/>
        <v>0</v>
      </c>
      <c r="AF19" s="22">
        <f t="shared" si="26"/>
        <v>0</v>
      </c>
      <c r="AG19" s="22">
        <f t="shared" si="26"/>
        <v>0</v>
      </c>
      <c r="AH19" s="22">
        <f t="shared" si="26"/>
        <v>0</v>
      </c>
      <c r="AI19" s="22">
        <f t="shared" si="26"/>
        <v>0</v>
      </c>
      <c r="AJ19" s="22">
        <f t="shared" si="26"/>
        <v>6329.3099999999995</v>
      </c>
      <c r="AK19" s="22">
        <f t="shared" si="26"/>
        <v>6329.3099999999995</v>
      </c>
      <c r="AL19" s="22">
        <f t="shared" si="26"/>
        <v>551.49</v>
      </c>
      <c r="AM19" s="22">
        <f t="shared" si="26"/>
        <v>0</v>
      </c>
      <c r="AN19" s="22">
        <f t="shared" si="26"/>
        <v>0</v>
      </c>
      <c r="AO19" s="404"/>
      <c r="AP19" s="22">
        <f t="shared" ref="AP19:BG19" si="27">AP23+AP47+AP52+AP61+AP69+AP98</f>
        <v>2158.0219999999999</v>
      </c>
      <c r="AQ19" s="22">
        <f t="shared" si="27"/>
        <v>0</v>
      </c>
      <c r="AR19" s="22">
        <f t="shared" si="27"/>
        <v>0</v>
      </c>
      <c r="AS19" s="22">
        <f t="shared" si="27"/>
        <v>0</v>
      </c>
      <c r="AT19" s="22">
        <f t="shared" si="27"/>
        <v>370</v>
      </c>
      <c r="AU19" s="22">
        <f t="shared" si="27"/>
        <v>1.66</v>
      </c>
      <c r="AV19" s="22">
        <f t="shared" si="27"/>
        <v>1.6559999999999999</v>
      </c>
      <c r="AW19" s="22">
        <f t="shared" si="27"/>
        <v>2919.9059999999999</v>
      </c>
      <c r="AX19" s="22">
        <f t="shared" si="27"/>
        <v>1786.366</v>
      </c>
      <c r="AY19" s="22">
        <f t="shared" si="27"/>
        <v>1273.0260000000001</v>
      </c>
      <c r="AZ19" s="22">
        <f t="shared" si="27"/>
        <v>1271.366</v>
      </c>
      <c r="BA19" s="22">
        <f t="shared" si="27"/>
        <v>0</v>
      </c>
      <c r="BB19" s="22">
        <f t="shared" si="27"/>
        <v>0</v>
      </c>
      <c r="BC19" s="22" t="e">
        <f t="shared" si="27"/>
        <v>#REF!</v>
      </c>
      <c r="BD19" s="22" t="e">
        <f t="shared" si="27"/>
        <v>#REF!</v>
      </c>
      <c r="BE19" s="22" t="e">
        <f t="shared" si="27"/>
        <v>#REF!</v>
      </c>
      <c r="BF19" s="22">
        <f t="shared" si="27"/>
        <v>0</v>
      </c>
      <c r="BG19" s="22">
        <f t="shared" si="27"/>
        <v>0</v>
      </c>
      <c r="BH19" s="302"/>
      <c r="BI19" s="22">
        <f t="shared" ref="BI19:BJ19" si="28">BI23+BI43+BI48+BI57+BI64+BI73</f>
        <v>0</v>
      </c>
      <c r="BJ19" s="22">
        <f t="shared" si="28"/>
        <v>0</v>
      </c>
      <c r="BK19" s="22">
        <f>BK23+BK43+BK48+BK57+BK64+BK72</f>
        <v>0</v>
      </c>
      <c r="BL19" s="22">
        <f>BL23+BL43+BL48+BL57+BL64+BL73</f>
        <v>0</v>
      </c>
      <c r="BM19" s="22">
        <f t="shared" ref="BM19:BP19" si="29">BM23+BM43+BM48+BM57+BM64+BM73</f>
        <v>0</v>
      </c>
      <c r="BN19" s="22">
        <f t="shared" si="29"/>
        <v>0</v>
      </c>
      <c r="BO19" s="22">
        <f t="shared" si="29"/>
        <v>0</v>
      </c>
      <c r="BP19" s="22">
        <f t="shared" si="29"/>
        <v>0</v>
      </c>
    </row>
    <row r="20" spans="1:68" ht="25.5">
      <c r="A20" s="980"/>
      <c r="B20" s="981"/>
      <c r="C20" s="981"/>
      <c r="D20" s="981"/>
      <c r="E20" s="981"/>
      <c r="F20" s="981"/>
      <c r="G20" s="981"/>
      <c r="H20" s="982"/>
      <c r="I20" s="15" t="s">
        <v>10</v>
      </c>
      <c r="J20" s="16">
        <f t="shared" ref="J20:AN20" si="30">J24+J66+J124+J49</f>
        <v>23417.360000000001</v>
      </c>
      <c r="K20" s="16">
        <f t="shared" si="30"/>
        <v>0</v>
      </c>
      <c r="L20" s="16">
        <f t="shared" si="30"/>
        <v>172003.82</v>
      </c>
      <c r="M20" s="16">
        <f t="shared" si="30"/>
        <v>135504.01</v>
      </c>
      <c r="N20" s="16">
        <f t="shared" si="30"/>
        <v>36499.81</v>
      </c>
      <c r="O20" s="16">
        <f t="shared" si="30"/>
        <v>0</v>
      </c>
      <c r="P20" s="22">
        <f t="shared" si="30"/>
        <v>0</v>
      </c>
      <c r="Q20" s="22">
        <f t="shared" si="30"/>
        <v>64161.036999999997</v>
      </c>
      <c r="R20" s="22">
        <f t="shared" si="30"/>
        <v>0</v>
      </c>
      <c r="S20" s="22">
        <f t="shared" si="30"/>
        <v>0</v>
      </c>
      <c r="T20" s="22">
        <f t="shared" si="30"/>
        <v>64161.036999999997</v>
      </c>
      <c r="U20" s="22">
        <f t="shared" si="30"/>
        <v>64161.036999999997</v>
      </c>
      <c r="V20" s="22">
        <f t="shared" si="30"/>
        <v>0</v>
      </c>
      <c r="W20" s="22">
        <f t="shared" si="30"/>
        <v>0</v>
      </c>
      <c r="X20" s="22">
        <f t="shared" si="30"/>
        <v>0</v>
      </c>
      <c r="Y20" s="22">
        <f t="shared" si="30"/>
        <v>0</v>
      </c>
      <c r="Z20" s="22">
        <f t="shared" si="30"/>
        <v>0</v>
      </c>
      <c r="AA20" s="22">
        <f t="shared" si="30"/>
        <v>0</v>
      </c>
      <c r="AB20" s="22">
        <f t="shared" si="30"/>
        <v>0</v>
      </c>
      <c r="AC20" s="22">
        <f t="shared" si="30"/>
        <v>0</v>
      </c>
      <c r="AD20" s="22">
        <f t="shared" si="30"/>
        <v>0</v>
      </c>
      <c r="AE20" s="22">
        <f t="shared" si="30"/>
        <v>0</v>
      </c>
      <c r="AF20" s="22">
        <f t="shared" si="30"/>
        <v>0</v>
      </c>
      <c r="AG20" s="22">
        <f t="shared" si="30"/>
        <v>0</v>
      </c>
      <c r="AH20" s="22">
        <f t="shared" si="30"/>
        <v>0</v>
      </c>
      <c r="AI20" s="22">
        <f t="shared" si="30"/>
        <v>0</v>
      </c>
      <c r="AJ20" s="22">
        <f t="shared" si="30"/>
        <v>514.68999999999994</v>
      </c>
      <c r="AK20" s="22">
        <f t="shared" si="30"/>
        <v>514.68999999999994</v>
      </c>
      <c r="AL20" s="22">
        <f t="shared" si="30"/>
        <v>0</v>
      </c>
      <c r="AM20" s="22">
        <f t="shared" si="30"/>
        <v>0</v>
      </c>
      <c r="AN20" s="22">
        <f t="shared" si="30"/>
        <v>0</v>
      </c>
      <c r="AO20" s="404"/>
      <c r="AP20" s="22">
        <f>AP24+AP62+AP99+AP48</f>
        <v>109472.18</v>
      </c>
      <c r="AQ20" s="22">
        <f t="shared" ref="AQ20:BG20" si="31">AQ24+AQ62+AQ99+AQ48</f>
        <v>83335.64</v>
      </c>
      <c r="AR20" s="22">
        <f t="shared" si="31"/>
        <v>83335.64</v>
      </c>
      <c r="AS20" s="22">
        <f t="shared" si="31"/>
        <v>0</v>
      </c>
      <c r="AT20" s="22">
        <f t="shared" si="31"/>
        <v>0</v>
      </c>
      <c r="AU20" s="22">
        <f t="shared" si="31"/>
        <v>0</v>
      </c>
      <c r="AV20" s="22">
        <f t="shared" si="31"/>
        <v>0</v>
      </c>
      <c r="AW20" s="22">
        <f t="shared" si="31"/>
        <v>0</v>
      </c>
      <c r="AX20" s="22">
        <f t="shared" si="31"/>
        <v>26136.54</v>
      </c>
      <c r="AY20" s="22">
        <f t="shared" si="31"/>
        <v>109472.18</v>
      </c>
      <c r="AZ20" s="22">
        <f t="shared" si="31"/>
        <v>26136.54</v>
      </c>
      <c r="BA20" s="22">
        <f t="shared" si="31"/>
        <v>83335.64</v>
      </c>
      <c r="BB20" s="22">
        <f t="shared" si="31"/>
        <v>0</v>
      </c>
      <c r="BC20" s="22" t="e">
        <f t="shared" si="31"/>
        <v>#REF!</v>
      </c>
      <c r="BD20" s="22" t="e">
        <f t="shared" si="31"/>
        <v>#REF!</v>
      </c>
      <c r="BE20" s="22">
        <f t="shared" si="31"/>
        <v>0</v>
      </c>
      <c r="BF20" s="22">
        <f t="shared" si="31"/>
        <v>0</v>
      </c>
      <c r="BG20" s="22">
        <f t="shared" si="31"/>
        <v>0</v>
      </c>
      <c r="BH20" s="302"/>
      <c r="BI20" s="22">
        <f t="shared" ref="BI20:BP20" si="32">BI24+BI58+BI74+BI44</f>
        <v>0</v>
      </c>
      <c r="BJ20" s="22">
        <f t="shared" si="32"/>
        <v>0</v>
      </c>
      <c r="BK20" s="22">
        <f t="shared" si="32"/>
        <v>0</v>
      </c>
      <c r="BL20" s="22">
        <f t="shared" si="32"/>
        <v>0</v>
      </c>
      <c r="BM20" s="22">
        <f t="shared" si="32"/>
        <v>0</v>
      </c>
      <c r="BN20" s="22">
        <f t="shared" si="32"/>
        <v>0</v>
      </c>
      <c r="BO20" s="22">
        <f t="shared" si="32"/>
        <v>0</v>
      </c>
      <c r="BP20" s="22">
        <f t="shared" si="32"/>
        <v>0</v>
      </c>
    </row>
    <row r="21" spans="1:68" ht="25.5">
      <c r="A21" s="983"/>
      <c r="B21" s="984"/>
      <c r="C21" s="984"/>
      <c r="D21" s="984"/>
      <c r="E21" s="984"/>
      <c r="F21" s="984"/>
      <c r="G21" s="984"/>
      <c r="H21" s="985"/>
      <c r="I21" s="15" t="s">
        <v>9</v>
      </c>
      <c r="J21" s="21">
        <f t="shared" ref="J21:AN21" si="33">J25+J67+J125</f>
        <v>702203.72</v>
      </c>
      <c r="K21" s="21">
        <f t="shared" si="33"/>
        <v>702203.72</v>
      </c>
      <c r="L21" s="21">
        <f t="shared" si="33"/>
        <v>789617.84</v>
      </c>
      <c r="M21" s="21">
        <f t="shared" si="33"/>
        <v>348941.19</v>
      </c>
      <c r="N21" s="21">
        <f t="shared" si="33"/>
        <v>196473.11</v>
      </c>
      <c r="O21" s="21">
        <f t="shared" si="33"/>
        <v>0</v>
      </c>
      <c r="P21" s="72">
        <f t="shared" si="33"/>
        <v>0</v>
      </c>
      <c r="Q21" s="72">
        <f t="shared" si="33"/>
        <v>37814.324000000001</v>
      </c>
      <c r="R21" s="72">
        <f t="shared" si="33"/>
        <v>37814.324000000001</v>
      </c>
      <c r="S21" s="72">
        <f t="shared" si="33"/>
        <v>37814.324000000001</v>
      </c>
      <c r="T21" s="72">
        <f t="shared" si="33"/>
        <v>0</v>
      </c>
      <c r="U21" s="72">
        <f t="shared" si="33"/>
        <v>0</v>
      </c>
      <c r="V21" s="72">
        <f t="shared" si="33"/>
        <v>0</v>
      </c>
      <c r="W21" s="72">
        <f t="shared" si="33"/>
        <v>0</v>
      </c>
      <c r="X21" s="72">
        <f t="shared" si="33"/>
        <v>0</v>
      </c>
      <c r="Y21" s="72">
        <f t="shared" si="33"/>
        <v>0</v>
      </c>
      <c r="Z21" s="72">
        <f t="shared" si="33"/>
        <v>0</v>
      </c>
      <c r="AA21" s="72">
        <f t="shared" si="33"/>
        <v>0</v>
      </c>
      <c r="AB21" s="72">
        <f t="shared" si="33"/>
        <v>0</v>
      </c>
      <c r="AC21" s="72">
        <f t="shared" si="33"/>
        <v>0</v>
      </c>
      <c r="AD21" s="72">
        <f t="shared" si="33"/>
        <v>0</v>
      </c>
      <c r="AE21" s="72">
        <f t="shared" si="33"/>
        <v>0</v>
      </c>
      <c r="AF21" s="72">
        <f t="shared" si="33"/>
        <v>0</v>
      </c>
      <c r="AG21" s="72">
        <f t="shared" si="33"/>
        <v>0</v>
      </c>
      <c r="AH21" s="72">
        <f t="shared" si="33"/>
        <v>0</v>
      </c>
      <c r="AI21" s="72">
        <f t="shared" si="33"/>
        <v>0</v>
      </c>
      <c r="AJ21" s="72">
        <f t="shared" si="33"/>
        <v>0</v>
      </c>
      <c r="AK21" s="72">
        <f t="shared" si="33"/>
        <v>0</v>
      </c>
      <c r="AL21" s="72">
        <f t="shared" si="33"/>
        <v>0</v>
      </c>
      <c r="AM21" s="72">
        <f t="shared" si="33"/>
        <v>0</v>
      </c>
      <c r="AN21" s="72">
        <f t="shared" si="33"/>
        <v>0</v>
      </c>
      <c r="AO21" s="405"/>
      <c r="AP21" s="72">
        <f t="shared" ref="AP21:BG21" si="34">AP25+AP63+AP100</f>
        <v>340731.15900000004</v>
      </c>
      <c r="AQ21" s="72">
        <f t="shared" si="34"/>
        <v>0</v>
      </c>
      <c r="AR21" s="72">
        <f t="shared" si="34"/>
        <v>0</v>
      </c>
      <c r="AS21" s="72">
        <f t="shared" si="34"/>
        <v>0</v>
      </c>
      <c r="AT21" s="72">
        <f t="shared" si="34"/>
        <v>233380.04500000001</v>
      </c>
      <c r="AU21" s="72">
        <f t="shared" si="34"/>
        <v>0</v>
      </c>
      <c r="AV21" s="72">
        <f t="shared" si="34"/>
        <v>59762.495999999999</v>
      </c>
      <c r="AW21" s="72">
        <f t="shared" si="34"/>
        <v>0</v>
      </c>
      <c r="AX21" s="72">
        <f t="shared" si="34"/>
        <v>47588.618000000002</v>
      </c>
      <c r="AY21" s="72">
        <f t="shared" si="34"/>
        <v>210711.94399999999</v>
      </c>
      <c r="AZ21" s="72">
        <f t="shared" si="34"/>
        <v>77225.87</v>
      </c>
      <c r="BA21" s="72">
        <f t="shared" si="34"/>
        <v>133486.07199999999</v>
      </c>
      <c r="BB21" s="72">
        <f t="shared" si="34"/>
        <v>0</v>
      </c>
      <c r="BC21" s="72">
        <f t="shared" si="34"/>
        <v>0</v>
      </c>
      <c r="BD21" s="72">
        <f t="shared" si="34"/>
        <v>0</v>
      </c>
      <c r="BE21" s="72">
        <f t="shared" si="34"/>
        <v>0</v>
      </c>
      <c r="BF21" s="72">
        <f t="shared" si="34"/>
        <v>0</v>
      </c>
      <c r="BG21" s="72">
        <f t="shared" si="34"/>
        <v>0</v>
      </c>
      <c r="BH21" s="303"/>
      <c r="BI21" s="72">
        <f t="shared" ref="BI21:BP21" si="35">BI25+BI59+BI75</f>
        <v>0</v>
      </c>
      <c r="BJ21" s="72">
        <f>BJ25</f>
        <v>0</v>
      </c>
      <c r="BK21" s="72">
        <f t="shared" si="35"/>
        <v>0</v>
      </c>
      <c r="BL21" s="72">
        <f t="shared" si="35"/>
        <v>0</v>
      </c>
      <c r="BM21" s="72">
        <f t="shared" si="35"/>
        <v>0</v>
      </c>
      <c r="BN21" s="72">
        <f t="shared" si="35"/>
        <v>0</v>
      </c>
      <c r="BO21" s="72">
        <f t="shared" si="35"/>
        <v>0</v>
      </c>
      <c r="BP21" s="72">
        <f t="shared" si="35"/>
        <v>0</v>
      </c>
    </row>
    <row r="22" spans="1:68" ht="51.75" customHeight="1">
      <c r="A22" s="986" t="s">
        <v>25</v>
      </c>
      <c r="B22" s="921" t="s">
        <v>40</v>
      </c>
      <c r="C22" s="922"/>
      <c r="D22" s="922"/>
      <c r="E22" s="922"/>
      <c r="F22" s="922"/>
      <c r="G22" s="922"/>
      <c r="H22" s="923"/>
      <c r="I22" s="15" t="s">
        <v>19</v>
      </c>
      <c r="J22" s="22">
        <f t="shared" ref="J22:AN22" si="36">J27+J40+J43</f>
        <v>977955.46</v>
      </c>
      <c r="K22" s="22">
        <f t="shared" si="36"/>
        <v>251829.19999999995</v>
      </c>
      <c r="L22" s="16">
        <f t="shared" si="36"/>
        <v>750480.15999999992</v>
      </c>
      <c r="M22" s="16">
        <f t="shared" si="36"/>
        <v>96658.23</v>
      </c>
      <c r="N22" s="16">
        <f t="shared" si="36"/>
        <v>83716.939999999988</v>
      </c>
      <c r="O22" s="16">
        <f t="shared" si="36"/>
        <v>78886.680000000008</v>
      </c>
      <c r="P22" s="22">
        <f t="shared" si="36"/>
        <v>129338.56</v>
      </c>
      <c r="Q22" s="22">
        <f>Q27+Q40+Q43</f>
        <v>384.70899999999995</v>
      </c>
      <c r="R22" s="22">
        <f t="shared" si="36"/>
        <v>384.70899999999995</v>
      </c>
      <c r="S22" s="22">
        <f t="shared" si="36"/>
        <v>384.70899999999995</v>
      </c>
      <c r="T22" s="22">
        <f t="shared" si="36"/>
        <v>0</v>
      </c>
      <c r="U22" s="22">
        <f t="shared" si="36"/>
        <v>0</v>
      </c>
      <c r="V22" s="22">
        <f t="shared" si="36"/>
        <v>0</v>
      </c>
      <c r="W22" s="22">
        <f t="shared" si="36"/>
        <v>0</v>
      </c>
      <c r="X22" s="22">
        <f t="shared" si="36"/>
        <v>0</v>
      </c>
      <c r="Y22" s="22">
        <f t="shared" si="36"/>
        <v>0</v>
      </c>
      <c r="Z22" s="22">
        <f t="shared" si="36"/>
        <v>66.33</v>
      </c>
      <c r="AA22" s="22">
        <f t="shared" si="36"/>
        <v>66.33</v>
      </c>
      <c r="AB22" s="22">
        <f t="shared" si="36"/>
        <v>0</v>
      </c>
      <c r="AC22" s="22">
        <f t="shared" si="36"/>
        <v>0</v>
      </c>
      <c r="AD22" s="22">
        <f t="shared" si="36"/>
        <v>0</v>
      </c>
      <c r="AE22" s="22">
        <f t="shared" si="36"/>
        <v>0</v>
      </c>
      <c r="AF22" s="22">
        <f t="shared" si="36"/>
        <v>0</v>
      </c>
      <c r="AG22" s="22">
        <f t="shared" si="36"/>
        <v>0</v>
      </c>
      <c r="AH22" s="22">
        <f t="shared" si="36"/>
        <v>0</v>
      </c>
      <c r="AI22" s="22">
        <f t="shared" si="36"/>
        <v>0</v>
      </c>
      <c r="AJ22" s="22">
        <f t="shared" si="36"/>
        <v>129338.56</v>
      </c>
      <c r="AK22" s="22">
        <f t="shared" si="36"/>
        <v>129338.56</v>
      </c>
      <c r="AL22" s="22">
        <f t="shared" si="36"/>
        <v>0</v>
      </c>
      <c r="AM22" s="22">
        <f t="shared" si="36"/>
        <v>0</v>
      </c>
      <c r="AN22" s="22">
        <f t="shared" si="36"/>
        <v>0</v>
      </c>
      <c r="AO22" s="404"/>
      <c r="AP22" s="22">
        <f t="shared" ref="AP22:BG22" si="37">AP27+AP40+AP43</f>
        <v>90762.328000000023</v>
      </c>
      <c r="AQ22" s="22">
        <f t="shared" si="37"/>
        <v>75183.449000000008</v>
      </c>
      <c r="AR22" s="22">
        <f t="shared" si="37"/>
        <v>75183.449000000008</v>
      </c>
      <c r="AS22" s="22">
        <f t="shared" si="37"/>
        <v>18363.297999999999</v>
      </c>
      <c r="AT22" s="22">
        <f t="shared" si="37"/>
        <v>18363.297999999999</v>
      </c>
      <c r="AU22" s="22">
        <f t="shared" si="37"/>
        <v>0</v>
      </c>
      <c r="AV22" s="22">
        <f t="shared" si="37"/>
        <v>12543.673000000001</v>
      </c>
      <c r="AW22" s="22">
        <f t="shared" si="37"/>
        <v>0</v>
      </c>
      <c r="AX22" s="22">
        <f t="shared" si="37"/>
        <v>-15328.092000000002</v>
      </c>
      <c r="AY22" s="22">
        <f t="shared" si="37"/>
        <v>67972.061000000002</v>
      </c>
      <c r="AZ22" s="22">
        <f t="shared" si="37"/>
        <v>-41610.375999999997</v>
      </c>
      <c r="BA22" s="22">
        <f t="shared" si="37"/>
        <v>109582.443</v>
      </c>
      <c r="BB22" s="22">
        <f t="shared" si="37"/>
        <v>0</v>
      </c>
      <c r="BC22" s="22" t="e">
        <f t="shared" si="37"/>
        <v>#REF!</v>
      </c>
      <c r="BD22" s="22" t="e">
        <f t="shared" si="37"/>
        <v>#REF!</v>
      </c>
      <c r="BE22" s="22" t="e">
        <f t="shared" si="37"/>
        <v>#REF!</v>
      </c>
      <c r="BF22" s="22">
        <f t="shared" si="37"/>
        <v>0</v>
      </c>
      <c r="BG22" s="22">
        <f t="shared" si="37"/>
        <v>0</v>
      </c>
      <c r="BH22" s="302"/>
      <c r="BI22" s="22">
        <f t="shared" ref="BI22:BP22" si="38">BI27+BI37+BI39</f>
        <v>0</v>
      </c>
      <c r="BJ22" s="22">
        <f>BJ27+BJ37+BJ39</f>
        <v>0</v>
      </c>
      <c r="BK22" s="22">
        <f t="shared" si="38"/>
        <v>0</v>
      </c>
      <c r="BL22" s="22">
        <f t="shared" si="38"/>
        <v>0</v>
      </c>
      <c r="BM22" s="22">
        <f t="shared" si="38"/>
        <v>0</v>
      </c>
      <c r="BN22" s="22">
        <f t="shared" si="38"/>
        <v>0</v>
      </c>
      <c r="BO22" s="22">
        <f t="shared" si="38"/>
        <v>0</v>
      </c>
      <c r="BP22" s="22">
        <f t="shared" si="38"/>
        <v>0</v>
      </c>
    </row>
    <row r="23" spans="1:68" ht="38.25">
      <c r="A23" s="987"/>
      <c r="B23" s="924"/>
      <c r="C23" s="925"/>
      <c r="D23" s="925"/>
      <c r="E23" s="925"/>
      <c r="F23" s="925"/>
      <c r="G23" s="925"/>
      <c r="H23" s="926"/>
      <c r="I23" s="15" t="s">
        <v>20</v>
      </c>
      <c r="J23" s="16">
        <v>0</v>
      </c>
      <c r="K23" s="16">
        <v>0</v>
      </c>
      <c r="L23" s="16">
        <v>0</v>
      </c>
      <c r="M23" s="16">
        <v>0</v>
      </c>
      <c r="N23" s="22">
        <v>0</v>
      </c>
      <c r="O23" s="22">
        <v>2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404"/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0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2">
        <v>0</v>
      </c>
      <c r="BF23" s="22">
        <v>0</v>
      </c>
      <c r="BG23" s="22">
        <v>0</v>
      </c>
      <c r="BH23" s="302"/>
      <c r="BI23" s="125">
        <v>0</v>
      </c>
      <c r="BJ23" s="126">
        <v>0</v>
      </c>
      <c r="BK23" s="126">
        <v>0</v>
      </c>
      <c r="BL23" s="126">
        <v>0</v>
      </c>
      <c r="BM23" s="125">
        <v>0</v>
      </c>
      <c r="BN23" s="126">
        <v>0</v>
      </c>
      <c r="BO23" s="126">
        <v>0</v>
      </c>
      <c r="BP23" s="126">
        <v>0</v>
      </c>
    </row>
    <row r="24" spans="1:68" ht="25.5">
      <c r="A24" s="987"/>
      <c r="B24" s="924"/>
      <c r="C24" s="925"/>
      <c r="D24" s="925"/>
      <c r="E24" s="925"/>
      <c r="F24" s="925"/>
      <c r="G24" s="925"/>
      <c r="H24" s="926"/>
      <c r="I24" s="15" t="s">
        <v>10</v>
      </c>
      <c r="J24" s="16">
        <v>0</v>
      </c>
      <c r="K24" s="16">
        <v>0</v>
      </c>
      <c r="L24" s="16">
        <f t="shared" ref="L24:L72" si="39">M24+N24+O24</f>
        <v>172003.82</v>
      </c>
      <c r="M24" s="16">
        <f>M37</f>
        <v>135504.01</v>
      </c>
      <c r="N24" s="22">
        <f>N37</f>
        <v>36499.81</v>
      </c>
      <c r="O24" s="22">
        <f>O37</f>
        <v>0</v>
      </c>
      <c r="P24" s="22">
        <f>P37</f>
        <v>0</v>
      </c>
      <c r="Q24" s="22">
        <f>Q37</f>
        <v>64161.036999999997</v>
      </c>
      <c r="R24" s="22">
        <f t="shared" ref="R24:AI24" si="40">R37</f>
        <v>0</v>
      </c>
      <c r="S24" s="22">
        <f t="shared" si="40"/>
        <v>0</v>
      </c>
      <c r="T24" s="22">
        <f t="shared" si="40"/>
        <v>64161.036999999997</v>
      </c>
      <c r="U24" s="22">
        <f t="shared" si="40"/>
        <v>64161.036999999997</v>
      </c>
      <c r="V24" s="22">
        <f t="shared" si="40"/>
        <v>0</v>
      </c>
      <c r="W24" s="22">
        <f t="shared" si="40"/>
        <v>0</v>
      </c>
      <c r="X24" s="22">
        <f t="shared" si="40"/>
        <v>0</v>
      </c>
      <c r="Y24" s="22">
        <f t="shared" si="40"/>
        <v>0</v>
      </c>
      <c r="Z24" s="22">
        <f t="shared" si="40"/>
        <v>0</v>
      </c>
      <c r="AA24" s="22">
        <f t="shared" si="40"/>
        <v>0</v>
      </c>
      <c r="AB24" s="22">
        <f t="shared" si="40"/>
        <v>0</v>
      </c>
      <c r="AC24" s="22">
        <f t="shared" si="40"/>
        <v>0</v>
      </c>
      <c r="AD24" s="22">
        <f t="shared" si="40"/>
        <v>0</v>
      </c>
      <c r="AE24" s="22">
        <f t="shared" si="40"/>
        <v>0</v>
      </c>
      <c r="AF24" s="22">
        <f t="shared" si="40"/>
        <v>0</v>
      </c>
      <c r="AG24" s="22">
        <f t="shared" si="40"/>
        <v>0</v>
      </c>
      <c r="AH24" s="22">
        <f t="shared" si="40"/>
        <v>0</v>
      </c>
      <c r="AI24" s="22">
        <f t="shared" si="40"/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404"/>
      <c r="AP24" s="22">
        <f t="shared" ref="AP24:BB24" si="41">AP37</f>
        <v>109472.18</v>
      </c>
      <c r="AQ24" s="22">
        <f t="shared" si="41"/>
        <v>83335.64</v>
      </c>
      <c r="AR24" s="22">
        <f t="shared" si="41"/>
        <v>83335.64</v>
      </c>
      <c r="AS24" s="22">
        <f t="shared" si="41"/>
        <v>0</v>
      </c>
      <c r="AT24" s="22">
        <f t="shared" si="41"/>
        <v>0</v>
      </c>
      <c r="AU24" s="22">
        <f t="shared" si="41"/>
        <v>0</v>
      </c>
      <c r="AV24" s="22">
        <f t="shared" si="41"/>
        <v>0</v>
      </c>
      <c r="AW24" s="22">
        <f t="shared" si="41"/>
        <v>0</v>
      </c>
      <c r="AX24" s="22">
        <f t="shared" si="41"/>
        <v>26136.54</v>
      </c>
      <c r="AY24" s="22">
        <f t="shared" si="41"/>
        <v>109472.18</v>
      </c>
      <c r="AZ24" s="22">
        <f t="shared" si="41"/>
        <v>26136.54</v>
      </c>
      <c r="BA24" s="22">
        <f t="shared" si="41"/>
        <v>83335.64</v>
      </c>
      <c r="BB24" s="22">
        <f t="shared" si="41"/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302"/>
      <c r="BI24" s="125">
        <v>0</v>
      </c>
      <c r="BJ24" s="126">
        <v>0</v>
      </c>
      <c r="BK24" s="126">
        <v>0</v>
      </c>
      <c r="BL24" s="126">
        <v>0</v>
      </c>
      <c r="BM24" s="125">
        <v>0</v>
      </c>
      <c r="BN24" s="126">
        <v>0</v>
      </c>
      <c r="BO24" s="126">
        <v>0</v>
      </c>
      <c r="BP24" s="126">
        <v>0</v>
      </c>
    </row>
    <row r="25" spans="1:68" ht="25.5">
      <c r="A25" s="988"/>
      <c r="B25" s="927"/>
      <c r="C25" s="928"/>
      <c r="D25" s="928"/>
      <c r="E25" s="928"/>
      <c r="F25" s="928"/>
      <c r="G25" s="928"/>
      <c r="H25" s="929"/>
      <c r="I25" s="15" t="s">
        <v>9</v>
      </c>
      <c r="J25" s="16">
        <f>J35</f>
        <v>702203.72</v>
      </c>
      <c r="K25" s="16">
        <f t="shared" ref="K25" si="42">K35</f>
        <v>702203.72</v>
      </c>
      <c r="L25" s="16">
        <f>L35</f>
        <v>789617.84</v>
      </c>
      <c r="M25" s="16">
        <f>M35</f>
        <v>348941.19</v>
      </c>
      <c r="N25" s="22">
        <f t="shared" ref="N25:O25" si="43">N35</f>
        <v>196473.11</v>
      </c>
      <c r="O25" s="22">
        <f t="shared" si="43"/>
        <v>0</v>
      </c>
      <c r="P25" s="22">
        <f>P35</f>
        <v>0</v>
      </c>
      <c r="Q25" s="22">
        <f t="shared" ref="Q25:AN25" si="44">Q35</f>
        <v>37814.324000000001</v>
      </c>
      <c r="R25" s="22">
        <f t="shared" si="44"/>
        <v>37814.324000000001</v>
      </c>
      <c r="S25" s="22">
        <f t="shared" si="44"/>
        <v>37814.324000000001</v>
      </c>
      <c r="T25" s="22">
        <f t="shared" si="44"/>
        <v>0</v>
      </c>
      <c r="U25" s="22">
        <f t="shared" si="44"/>
        <v>0</v>
      </c>
      <c r="V25" s="22">
        <f t="shared" si="44"/>
        <v>0</v>
      </c>
      <c r="W25" s="22">
        <f t="shared" si="44"/>
        <v>0</v>
      </c>
      <c r="X25" s="22">
        <f t="shared" si="44"/>
        <v>0</v>
      </c>
      <c r="Y25" s="22">
        <f t="shared" si="44"/>
        <v>0</v>
      </c>
      <c r="Z25" s="22">
        <f t="shared" si="44"/>
        <v>0</v>
      </c>
      <c r="AA25" s="22">
        <f t="shared" si="44"/>
        <v>0</v>
      </c>
      <c r="AB25" s="22">
        <f t="shared" si="44"/>
        <v>0</v>
      </c>
      <c r="AC25" s="22">
        <f t="shared" si="44"/>
        <v>0</v>
      </c>
      <c r="AD25" s="22">
        <f t="shared" si="44"/>
        <v>0</v>
      </c>
      <c r="AE25" s="22">
        <f t="shared" si="44"/>
        <v>0</v>
      </c>
      <c r="AF25" s="22">
        <f t="shared" si="44"/>
        <v>0</v>
      </c>
      <c r="AG25" s="22">
        <f t="shared" si="44"/>
        <v>0</v>
      </c>
      <c r="AH25" s="22">
        <f t="shared" si="44"/>
        <v>0</v>
      </c>
      <c r="AI25" s="22">
        <f t="shared" si="44"/>
        <v>0</v>
      </c>
      <c r="AJ25" s="22">
        <f t="shared" si="44"/>
        <v>0</v>
      </c>
      <c r="AK25" s="22">
        <f t="shared" si="44"/>
        <v>0</v>
      </c>
      <c r="AL25" s="22">
        <f t="shared" si="44"/>
        <v>0</v>
      </c>
      <c r="AM25" s="22">
        <f t="shared" si="44"/>
        <v>0</v>
      </c>
      <c r="AN25" s="22">
        <f t="shared" si="44"/>
        <v>0</v>
      </c>
      <c r="AO25" s="404"/>
      <c r="AP25" s="22">
        <f t="shared" ref="AP25:BG25" si="45">AP35</f>
        <v>340731.15900000004</v>
      </c>
      <c r="AQ25" s="22">
        <f t="shared" si="45"/>
        <v>0</v>
      </c>
      <c r="AR25" s="22">
        <f t="shared" si="45"/>
        <v>0</v>
      </c>
      <c r="AS25" s="22">
        <f t="shared" si="45"/>
        <v>0</v>
      </c>
      <c r="AT25" s="22">
        <f t="shared" si="45"/>
        <v>233380.04500000001</v>
      </c>
      <c r="AU25" s="22">
        <f t="shared" si="45"/>
        <v>0</v>
      </c>
      <c r="AV25" s="22">
        <f t="shared" si="45"/>
        <v>59762.495999999999</v>
      </c>
      <c r="AW25" s="22">
        <f t="shared" si="45"/>
        <v>0</v>
      </c>
      <c r="AX25" s="22">
        <f t="shared" si="45"/>
        <v>47588.618000000002</v>
      </c>
      <c r="AY25" s="22">
        <f t="shared" si="45"/>
        <v>210711.94399999999</v>
      </c>
      <c r="AZ25" s="22">
        <f t="shared" si="45"/>
        <v>77225.87</v>
      </c>
      <c r="BA25" s="22">
        <f t="shared" si="45"/>
        <v>133486.07199999999</v>
      </c>
      <c r="BB25" s="22">
        <f t="shared" si="45"/>
        <v>0</v>
      </c>
      <c r="BC25" s="22">
        <f t="shared" si="45"/>
        <v>0</v>
      </c>
      <c r="BD25" s="22">
        <f t="shared" si="45"/>
        <v>0</v>
      </c>
      <c r="BE25" s="22">
        <f t="shared" si="45"/>
        <v>0</v>
      </c>
      <c r="BF25" s="22">
        <f t="shared" si="45"/>
        <v>0</v>
      </c>
      <c r="BG25" s="22">
        <f t="shared" si="45"/>
        <v>0</v>
      </c>
      <c r="BH25" s="302"/>
      <c r="BI25" s="22">
        <f t="shared" ref="BI25:BP25" si="46">BI33</f>
        <v>0</v>
      </c>
      <c r="BJ25" s="22">
        <f>BJ35</f>
        <v>0</v>
      </c>
      <c r="BK25" s="22">
        <f t="shared" si="46"/>
        <v>0</v>
      </c>
      <c r="BL25" s="22">
        <f t="shared" si="46"/>
        <v>0</v>
      </c>
      <c r="BM25" s="22">
        <f t="shared" si="46"/>
        <v>0</v>
      </c>
      <c r="BN25" s="22">
        <f t="shared" si="46"/>
        <v>0</v>
      </c>
      <c r="BO25" s="22">
        <f t="shared" si="46"/>
        <v>0</v>
      </c>
      <c r="BP25" s="22">
        <f t="shared" si="46"/>
        <v>0</v>
      </c>
    </row>
    <row r="26" spans="1:68" ht="41.25" customHeight="1">
      <c r="A26" s="937" t="s">
        <v>26</v>
      </c>
      <c r="B26" s="78" t="s">
        <v>373</v>
      </c>
      <c r="C26" s="815"/>
      <c r="D26" s="815"/>
      <c r="E26" s="815"/>
      <c r="F26" s="989" t="s">
        <v>44</v>
      </c>
      <c r="G26" s="815">
        <v>2018</v>
      </c>
      <c r="H26" s="815">
        <v>2020</v>
      </c>
      <c r="I26" s="717"/>
      <c r="J26" s="24">
        <v>1075576.6499999999</v>
      </c>
      <c r="K26" s="25">
        <f>K27+K35</f>
        <v>954032.91999999993</v>
      </c>
      <c r="L26" s="79">
        <f>L27+L35+L37</f>
        <v>1083165.3899999999</v>
      </c>
      <c r="M26" s="79">
        <f>M27+M35+M37</f>
        <v>560860.31000000006</v>
      </c>
      <c r="N26" s="79">
        <f t="shared" ref="N26:O26" si="47">N27+N35+N37</f>
        <v>232972.91999999998</v>
      </c>
      <c r="O26" s="79">
        <f t="shared" si="47"/>
        <v>0</v>
      </c>
      <c r="P26" s="79">
        <f>P27+P35+P37</f>
        <v>0</v>
      </c>
      <c r="Q26" s="79">
        <f>Q27+Q35+Q37</f>
        <v>102360.07</v>
      </c>
      <c r="R26" s="79">
        <f t="shared" ref="R26:U26" si="48">R27+R35+R37</f>
        <v>38199.033000000003</v>
      </c>
      <c r="S26" s="79">
        <f t="shared" si="48"/>
        <v>38199.033000000003</v>
      </c>
      <c r="T26" s="79">
        <f t="shared" si="48"/>
        <v>64161.036999999997</v>
      </c>
      <c r="U26" s="79">
        <f t="shared" si="48"/>
        <v>64161.036999999997</v>
      </c>
      <c r="V26" s="79">
        <f t="shared" ref="V26:X26" si="49">V27+V35</f>
        <v>0</v>
      </c>
      <c r="W26" s="79">
        <f t="shared" si="49"/>
        <v>0</v>
      </c>
      <c r="X26" s="79">
        <f t="shared" si="49"/>
        <v>0</v>
      </c>
      <c r="Y26" s="79">
        <f>Y27+Y35+Y37</f>
        <v>0</v>
      </c>
      <c r="Z26" s="79">
        <f>Z27+Z35+Z37</f>
        <v>66.33</v>
      </c>
      <c r="AA26" s="79">
        <f>AA27+AA35</f>
        <v>66.33</v>
      </c>
      <c r="AB26" s="79">
        <f>AB27+AB35</f>
        <v>0</v>
      </c>
      <c r="AC26" s="79">
        <f t="shared" ref="AC26:AD26" si="50">AC27+AC35</f>
        <v>0</v>
      </c>
      <c r="AD26" s="79">
        <f t="shared" si="50"/>
        <v>0</v>
      </c>
      <c r="AE26" s="79">
        <f>AE27+AE35</f>
        <v>0</v>
      </c>
      <c r="AF26" s="79">
        <f t="shared" ref="AF26:AI26" si="51">AF27+AF35</f>
        <v>0</v>
      </c>
      <c r="AG26" s="79">
        <f t="shared" si="51"/>
        <v>0</v>
      </c>
      <c r="AH26" s="79">
        <f t="shared" si="51"/>
        <v>0</v>
      </c>
      <c r="AI26" s="79">
        <f t="shared" si="51"/>
        <v>0</v>
      </c>
      <c r="AJ26" s="79">
        <f>P26-Q26</f>
        <v>-102360.07</v>
      </c>
      <c r="AK26" s="79">
        <f>AJ26</f>
        <v>-102360.07</v>
      </c>
      <c r="AL26" s="79">
        <v>0</v>
      </c>
      <c r="AM26" s="79">
        <f>AM27+AM35</f>
        <v>0</v>
      </c>
      <c r="AN26" s="79">
        <f>AN27+AN35</f>
        <v>0</v>
      </c>
      <c r="AO26" s="512"/>
      <c r="AP26" s="79">
        <f>AP27+AP35+AP37</f>
        <v>540965.66700000013</v>
      </c>
      <c r="AQ26" s="79">
        <f t="shared" ref="AQ26:AW26" si="52">AQ27+AQ35</f>
        <v>75183.449000000008</v>
      </c>
      <c r="AR26" s="79">
        <f t="shared" si="52"/>
        <v>75183.449000000008</v>
      </c>
      <c r="AS26" s="79">
        <f t="shared" si="52"/>
        <v>18363.297999999999</v>
      </c>
      <c r="AT26" s="79">
        <f t="shared" si="52"/>
        <v>251743.34300000002</v>
      </c>
      <c r="AU26" s="79">
        <f t="shared" si="52"/>
        <v>0</v>
      </c>
      <c r="AV26" s="79">
        <f t="shared" si="52"/>
        <v>72306.168999999994</v>
      </c>
      <c r="AW26" s="79">
        <f t="shared" si="52"/>
        <v>0</v>
      </c>
      <c r="AX26" s="79">
        <f>AX27+AX35+AX37</f>
        <v>58397.065999999999</v>
      </c>
      <c r="AY26" s="79">
        <f>AY27+AY35+AY37</f>
        <v>388156.185</v>
      </c>
      <c r="AZ26" s="79">
        <f>AZ27+AZ35</f>
        <v>35615.493999999999</v>
      </c>
      <c r="BA26" s="79">
        <f>BA27+BA35</f>
        <v>243068.51499999998</v>
      </c>
      <c r="BB26" s="79">
        <f>BB27+BB35</f>
        <v>0</v>
      </c>
      <c r="BC26" s="79" t="e">
        <f>#REF!-AP26</f>
        <v>#REF!</v>
      </c>
      <c r="BD26" s="79" t="e">
        <f>BC26</f>
        <v>#REF!</v>
      </c>
      <c r="BE26" s="79" t="e">
        <f>ROUND((AP26*100%/#REF!*100),2)</f>
        <v>#REF!</v>
      </c>
      <c r="BF26" s="79">
        <f>BF27+BF35</f>
        <v>0</v>
      </c>
      <c r="BG26" s="79">
        <f>BG27+BG35</f>
        <v>0</v>
      </c>
      <c r="BH26" s="1014" t="s">
        <v>157</v>
      </c>
      <c r="BI26" s="79">
        <f t="shared" ref="BI26:BP26" si="53">BI27+BI33</f>
        <v>0</v>
      </c>
      <c r="BJ26" s="79">
        <f>BJ27+BJ35+BJ37</f>
        <v>0</v>
      </c>
      <c r="BK26" s="79">
        <f t="shared" si="53"/>
        <v>0</v>
      </c>
      <c r="BL26" s="79">
        <f t="shared" si="53"/>
        <v>0</v>
      </c>
      <c r="BM26" s="79">
        <f t="shared" si="53"/>
        <v>0</v>
      </c>
      <c r="BN26" s="79">
        <f t="shared" si="53"/>
        <v>0</v>
      </c>
      <c r="BO26" s="79">
        <f t="shared" si="53"/>
        <v>0</v>
      </c>
      <c r="BP26" s="79">
        <f t="shared" si="53"/>
        <v>0</v>
      </c>
    </row>
    <row r="27" spans="1:68" ht="51.75" customHeight="1">
      <c r="A27" s="938"/>
      <c r="B27" s="366" t="s">
        <v>16</v>
      </c>
      <c r="C27" s="816"/>
      <c r="D27" s="816"/>
      <c r="E27" s="816"/>
      <c r="F27" s="990"/>
      <c r="G27" s="816"/>
      <c r="H27" s="816"/>
      <c r="I27" s="717" t="s">
        <v>19</v>
      </c>
      <c r="J27" s="27">
        <v>373372.92999999993</v>
      </c>
      <c r="K27" s="28">
        <f>J27-L27</f>
        <v>251829.19999999995</v>
      </c>
      <c r="L27" s="3">
        <v>121543.73</v>
      </c>
      <c r="M27" s="47">
        <v>76415.11</v>
      </c>
      <c r="N27" s="47">
        <v>0</v>
      </c>
      <c r="O27" s="47">
        <v>0</v>
      </c>
      <c r="P27" s="47">
        <v>0</v>
      </c>
      <c r="Q27" s="47">
        <f>SUM(Q28:Q34)</f>
        <v>384.70899999999995</v>
      </c>
      <c r="R27" s="47">
        <f t="shared" ref="R27:Y27" si="54">SUM(R28:R34)</f>
        <v>384.70899999999995</v>
      </c>
      <c r="S27" s="47">
        <f t="shared" si="54"/>
        <v>384.70899999999995</v>
      </c>
      <c r="T27" s="47">
        <f t="shared" si="54"/>
        <v>0</v>
      </c>
      <c r="U27" s="47">
        <f t="shared" si="54"/>
        <v>0</v>
      </c>
      <c r="V27" s="47">
        <f t="shared" si="54"/>
        <v>0</v>
      </c>
      <c r="W27" s="47">
        <f>SUM(W28:W34)</f>
        <v>0</v>
      </c>
      <c r="X27" s="47">
        <f t="shared" si="54"/>
        <v>0</v>
      </c>
      <c r="Y27" s="47">
        <f t="shared" si="54"/>
        <v>0</v>
      </c>
      <c r="Z27" s="47">
        <f>SUM(Z28:Z34)</f>
        <v>66.33</v>
      </c>
      <c r="AA27" s="47">
        <f>SUM(AA28:AA34)</f>
        <v>66.33</v>
      </c>
      <c r="AB27" s="47">
        <f>SUM(AB28:AB34)</f>
        <v>0</v>
      </c>
      <c r="AC27" s="47">
        <f t="shared" ref="AC27:AD27" si="55">SUM(AC28:AC34)</f>
        <v>0</v>
      </c>
      <c r="AD27" s="47">
        <f t="shared" si="55"/>
        <v>0</v>
      </c>
      <c r="AE27" s="47">
        <f>SUM(AE28:AE34)</f>
        <v>0</v>
      </c>
      <c r="AF27" s="47">
        <f>SUM(AF28:AF34)</f>
        <v>0</v>
      </c>
      <c r="AG27" s="47">
        <f t="shared" ref="AG27:AI27" si="56">SUM(AG28:AG34)</f>
        <v>0</v>
      </c>
      <c r="AH27" s="47">
        <f t="shared" si="56"/>
        <v>0</v>
      </c>
      <c r="AI27" s="47">
        <f t="shared" si="56"/>
        <v>0</v>
      </c>
      <c r="AJ27" s="47">
        <v>0</v>
      </c>
      <c r="AK27" s="47">
        <v>0</v>
      </c>
      <c r="AL27" s="47">
        <v>0</v>
      </c>
      <c r="AM27" s="47">
        <v>0</v>
      </c>
      <c r="AN27" s="47">
        <v>0</v>
      </c>
      <c r="AO27" s="1003"/>
      <c r="AP27" s="47">
        <f>SUM(AP28:AP34)</f>
        <v>90762.328000000023</v>
      </c>
      <c r="AQ27" s="47">
        <f t="shared" ref="AQ27:AX27" si="57">SUM(AQ28:AQ34)</f>
        <v>75183.449000000008</v>
      </c>
      <c r="AR27" s="47">
        <f t="shared" si="57"/>
        <v>75183.449000000008</v>
      </c>
      <c r="AS27" s="47">
        <f t="shared" si="57"/>
        <v>18363.297999999999</v>
      </c>
      <c r="AT27" s="47">
        <f t="shared" si="57"/>
        <v>18363.297999999999</v>
      </c>
      <c r="AU27" s="47">
        <f t="shared" si="57"/>
        <v>0</v>
      </c>
      <c r="AV27" s="47">
        <f t="shared" si="57"/>
        <v>12543.673000000001</v>
      </c>
      <c r="AW27" s="47">
        <f t="shared" si="57"/>
        <v>0</v>
      </c>
      <c r="AX27" s="47">
        <f t="shared" si="57"/>
        <v>-15328.092000000002</v>
      </c>
      <c r="AY27" s="47">
        <f>SUM(AY28:AY34)</f>
        <v>67972.061000000002</v>
      </c>
      <c r="AZ27" s="47">
        <f>SUM(AZ28:AZ34)</f>
        <v>-41610.375999999997</v>
      </c>
      <c r="BA27" s="47">
        <f>SUM(BA28:BA34)</f>
        <v>109582.443</v>
      </c>
      <c r="BB27" s="47">
        <f t="shared" ref="BB27" si="58">SUM(BB28:BB34)</f>
        <v>0</v>
      </c>
      <c r="BC27" s="47">
        <v>0</v>
      </c>
      <c r="BD27" s="47">
        <v>0</v>
      </c>
      <c r="BE27" s="47">
        <v>0</v>
      </c>
      <c r="BF27" s="47">
        <v>0</v>
      </c>
      <c r="BG27" s="47">
        <v>0</v>
      </c>
      <c r="BH27" s="1015"/>
      <c r="BI27" s="125">
        <v>0</v>
      </c>
      <c r="BJ27" s="125">
        <v>0</v>
      </c>
      <c r="BK27" s="125">
        <v>0</v>
      </c>
      <c r="BL27" s="125">
        <v>0</v>
      </c>
      <c r="BM27" s="125">
        <v>0</v>
      </c>
      <c r="BN27" s="125">
        <v>0</v>
      </c>
      <c r="BO27" s="125">
        <v>0</v>
      </c>
      <c r="BP27" s="125">
        <v>0</v>
      </c>
    </row>
    <row r="28" spans="1:68" s="100" customFormat="1" ht="25.5" hidden="1" customHeight="1">
      <c r="A28" s="938"/>
      <c r="B28" s="369" t="s">
        <v>220</v>
      </c>
      <c r="C28" s="93"/>
      <c r="D28" s="93"/>
      <c r="E28" s="93"/>
      <c r="F28" s="94"/>
      <c r="G28" s="93"/>
      <c r="H28" s="93"/>
      <c r="I28" s="276">
        <f>R27+T27+V27</f>
        <v>384.70899999999995</v>
      </c>
      <c r="J28" s="96"/>
      <c r="K28" s="97"/>
      <c r="L28" s="98"/>
      <c r="M28" s="99"/>
      <c r="N28" s="99"/>
      <c r="O28" s="99"/>
      <c r="P28" s="99">
        <f>R28+T28+V28+X28</f>
        <v>66.332999999999998</v>
      </c>
      <c r="Q28" s="99">
        <f>S28+U28+W28+Y28</f>
        <v>66.332999999999998</v>
      </c>
      <c r="R28" s="99">
        <f t="shared" ref="R28:R29" si="59">S28</f>
        <v>66.332999999999998</v>
      </c>
      <c r="S28" s="99">
        <v>66.332999999999998</v>
      </c>
      <c r="T28" s="99">
        <v>0</v>
      </c>
      <c r="U28" s="99">
        <v>0</v>
      </c>
      <c r="V28" s="99">
        <v>0</v>
      </c>
      <c r="W28" s="99">
        <v>0</v>
      </c>
      <c r="X28" s="99">
        <v>0</v>
      </c>
      <c r="Y28" s="99">
        <v>0</v>
      </c>
      <c r="Z28" s="99">
        <f>AA28+AB28+AC28+AD28</f>
        <v>66.33</v>
      </c>
      <c r="AA28" s="99">
        <v>66.33</v>
      </c>
      <c r="AB28" s="99">
        <v>0</v>
      </c>
      <c r="AC28" s="99">
        <v>0</v>
      </c>
      <c r="AD28" s="99">
        <v>0</v>
      </c>
      <c r="AE28" s="99">
        <f t="shared" ref="AE28:AE34" si="60">SUM(AF28:AF28)</f>
        <v>0</v>
      </c>
      <c r="AF28" s="99"/>
      <c r="AG28" s="99"/>
      <c r="AH28" s="99"/>
      <c r="AI28" s="99"/>
      <c r="AJ28" s="99"/>
      <c r="AK28" s="99"/>
      <c r="AL28" s="99"/>
      <c r="AM28" s="99"/>
      <c r="AN28" s="99"/>
      <c r="AO28" s="1004"/>
      <c r="AP28" s="99">
        <f t="shared" ref="AP28:AP32" si="61">AR28+AT28+AV28+AX28</f>
        <v>985</v>
      </c>
      <c r="AQ28" s="99">
        <v>0</v>
      </c>
      <c r="AR28" s="99">
        <v>0</v>
      </c>
      <c r="AS28" s="99">
        <f>AT28</f>
        <v>394</v>
      </c>
      <c r="AT28" s="99">
        <f>98.5+98.5+98.5+98.5</f>
        <v>394</v>
      </c>
      <c r="AU28" s="99">
        <v>0</v>
      </c>
      <c r="AV28" s="99">
        <f>98.5+98.5+98.5</f>
        <v>295.5</v>
      </c>
      <c r="AW28" s="99"/>
      <c r="AX28" s="99">
        <f>98.5+98.5+98.5</f>
        <v>295.5</v>
      </c>
      <c r="AY28" s="99">
        <f>98.5+98.5+98.5+98.5+295.5+AZ28</f>
        <v>985</v>
      </c>
      <c r="AZ28" s="99">
        <f>98.5+98.5+98.5</f>
        <v>295.5</v>
      </c>
      <c r="BA28" s="99">
        <f>98.5+98.5+98.5+98.5+295.5+BB28</f>
        <v>689.5</v>
      </c>
      <c r="BB28" s="99">
        <v>0</v>
      </c>
      <c r="BC28" s="99"/>
      <c r="BD28" s="99"/>
      <c r="BE28" s="99"/>
      <c r="BF28" s="99"/>
      <c r="BG28" s="99"/>
      <c r="BH28" s="1015"/>
      <c r="BI28" s="125">
        <v>0</v>
      </c>
      <c r="BJ28" s="126">
        <v>0</v>
      </c>
      <c r="BK28" s="126">
        <v>0</v>
      </c>
      <c r="BL28" s="126">
        <v>0</v>
      </c>
      <c r="BM28" s="125">
        <v>0</v>
      </c>
      <c r="BN28" s="126">
        <v>0</v>
      </c>
      <c r="BO28" s="126">
        <v>0</v>
      </c>
      <c r="BP28" s="126">
        <v>0</v>
      </c>
    </row>
    <row r="29" spans="1:68" s="100" customFormat="1" ht="15" hidden="1" customHeight="1">
      <c r="A29" s="938"/>
      <c r="B29" s="369" t="s">
        <v>221</v>
      </c>
      <c r="C29" s="93"/>
      <c r="D29" s="93"/>
      <c r="E29" s="93"/>
      <c r="F29" s="94"/>
      <c r="G29" s="93"/>
      <c r="H29" s="93"/>
      <c r="I29" s="276">
        <f>S27+U27+W27</f>
        <v>384.70899999999995</v>
      </c>
      <c r="J29" s="96"/>
      <c r="K29" s="97"/>
      <c r="L29" s="98"/>
      <c r="M29" s="99"/>
      <c r="N29" s="99"/>
      <c r="O29" s="99"/>
      <c r="P29" s="99">
        <f>Q29</f>
        <v>204.93299999999999</v>
      </c>
      <c r="Q29" s="99">
        <f>S29+U29+W29+Y29</f>
        <v>204.93299999999999</v>
      </c>
      <c r="R29" s="99">
        <f t="shared" si="59"/>
        <v>204.93299999999999</v>
      </c>
      <c r="S29" s="99">
        <v>204.93299999999999</v>
      </c>
      <c r="T29" s="99">
        <v>0</v>
      </c>
      <c r="U29" s="99">
        <v>0</v>
      </c>
      <c r="V29" s="99">
        <v>0</v>
      </c>
      <c r="W29" s="99">
        <v>0</v>
      </c>
      <c r="X29" s="99">
        <v>0</v>
      </c>
      <c r="Y29" s="99">
        <v>0</v>
      </c>
      <c r="Z29" s="99">
        <f>AA29+AB29+AC29+AD29</f>
        <v>0</v>
      </c>
      <c r="AA29" s="99">
        <v>0</v>
      </c>
      <c r="AB29" s="99"/>
      <c r="AC29" s="99">
        <v>0</v>
      </c>
      <c r="AD29" s="99">
        <v>0</v>
      </c>
      <c r="AE29" s="99">
        <f t="shared" si="60"/>
        <v>0</v>
      </c>
      <c r="AF29" s="99"/>
      <c r="AG29" s="99"/>
      <c r="AH29" s="99"/>
      <c r="AI29" s="99"/>
      <c r="AJ29" s="99"/>
      <c r="AK29" s="99"/>
      <c r="AL29" s="99"/>
      <c r="AM29" s="99"/>
      <c r="AN29" s="99"/>
      <c r="AO29" s="1004"/>
      <c r="AP29" s="99">
        <f t="shared" si="61"/>
        <v>992.75499999999988</v>
      </c>
      <c r="AQ29" s="99">
        <f>AR29</f>
        <v>490.80799999999999</v>
      </c>
      <c r="AR29" s="99">
        <f>383.057+107.751</f>
        <v>490.80799999999999</v>
      </c>
      <c r="AS29" s="99">
        <f t="shared" ref="AS29:AS34" si="62">AT29</f>
        <v>217.298</v>
      </c>
      <c r="AT29" s="99">
        <f>96.905+120.393</f>
        <v>217.298</v>
      </c>
      <c r="AU29" s="99">
        <v>0</v>
      </c>
      <c r="AV29" s="99">
        <f>67.521+46.254+45.458</f>
        <v>159.233</v>
      </c>
      <c r="AW29" s="99"/>
      <c r="AX29" s="99">
        <f>54.694+70.722</f>
        <v>125.416</v>
      </c>
      <c r="AY29" s="99">
        <f>587.72+ 67.349+53.044+113.775+45.46+AZ29</f>
        <v>992.76300000000003</v>
      </c>
      <c r="AZ29" s="99">
        <f>54.694+37.08+33.641</f>
        <v>125.41499999999999</v>
      </c>
      <c r="BA29" s="99">
        <f>587.72+ 67.349+53.044+113.775+45.46+AC29</f>
        <v>867.34800000000007</v>
      </c>
      <c r="BB29" s="99">
        <v>0</v>
      </c>
      <c r="BC29" s="99"/>
      <c r="BD29" s="99"/>
      <c r="BE29" s="99"/>
      <c r="BF29" s="99"/>
      <c r="BG29" s="99"/>
      <c r="BH29" s="1015"/>
      <c r="BI29" s="125">
        <v>0</v>
      </c>
      <c r="BJ29" s="126">
        <v>0</v>
      </c>
      <c r="BK29" s="126">
        <v>0</v>
      </c>
      <c r="BL29" s="126">
        <v>0</v>
      </c>
      <c r="BM29" s="125">
        <v>0</v>
      </c>
      <c r="BN29" s="126">
        <v>0</v>
      </c>
      <c r="BO29" s="126">
        <v>0</v>
      </c>
      <c r="BP29" s="126">
        <v>0</v>
      </c>
    </row>
    <row r="30" spans="1:68" s="100" customFormat="1" ht="15" hidden="1" customHeight="1">
      <c r="A30" s="938"/>
      <c r="B30" s="369" t="s">
        <v>222</v>
      </c>
      <c r="C30" s="93"/>
      <c r="D30" s="93"/>
      <c r="E30" s="93"/>
      <c r="F30" s="94"/>
      <c r="G30" s="93"/>
      <c r="H30" s="93"/>
      <c r="I30" s="95"/>
      <c r="J30" s="96"/>
      <c r="K30" s="97"/>
      <c r="L30" s="98"/>
      <c r="M30" s="99"/>
      <c r="N30" s="99"/>
      <c r="O30" s="99"/>
      <c r="P30" s="99">
        <f t="shared" ref="P30:P31" si="63">R30</f>
        <v>113.443</v>
      </c>
      <c r="Q30" s="99">
        <f t="shared" ref="Q30:Q32" si="64">S30+U30+W30+Y30</f>
        <v>113.443</v>
      </c>
      <c r="R30" s="99">
        <f>S30</f>
        <v>113.443</v>
      </c>
      <c r="S30" s="99">
        <v>113.443</v>
      </c>
      <c r="T30" s="99">
        <f>U30</f>
        <v>0</v>
      </c>
      <c r="U30" s="99">
        <v>0</v>
      </c>
      <c r="V30" s="99">
        <v>0</v>
      </c>
      <c r="W30" s="99">
        <v>0</v>
      </c>
      <c r="X30" s="99">
        <v>0</v>
      </c>
      <c r="Y30" s="99">
        <v>0</v>
      </c>
      <c r="Z30" s="99">
        <f>AA30+AB30+AC30+AD30</f>
        <v>0</v>
      </c>
      <c r="AA30" s="99">
        <v>0</v>
      </c>
      <c r="AB30" s="99">
        <v>0</v>
      </c>
      <c r="AC30" s="99">
        <v>0</v>
      </c>
      <c r="AD30" s="99">
        <v>0</v>
      </c>
      <c r="AE30" s="99">
        <f t="shared" si="60"/>
        <v>0</v>
      </c>
      <c r="AF30" s="99"/>
      <c r="AG30" s="99"/>
      <c r="AH30" s="99"/>
      <c r="AI30" s="99"/>
      <c r="AJ30" s="99"/>
      <c r="AK30" s="99"/>
      <c r="AL30" s="99"/>
      <c r="AM30" s="99"/>
      <c r="AN30" s="99"/>
      <c r="AO30" s="1004"/>
      <c r="AP30" s="99">
        <f t="shared" si="61"/>
        <v>1485.463</v>
      </c>
      <c r="AQ30" s="99">
        <f t="shared" ref="AQ30:AQ34" si="65">AR30</f>
        <v>881.57399999999996</v>
      </c>
      <c r="AR30" s="99">
        <f>574.585+161.627+145.362</f>
        <v>881.57399999999996</v>
      </c>
      <c r="AS30" s="99">
        <f t="shared" si="62"/>
        <v>253.95600000000002</v>
      </c>
      <c r="AT30" s="99">
        <f>101.023+79.566+73.367</f>
        <v>253.95600000000002</v>
      </c>
      <c r="AU30" s="99">
        <v>0</v>
      </c>
      <c r="AV30" s="99">
        <f>94.174</f>
        <v>94.174000000000007</v>
      </c>
      <c r="AW30" s="99"/>
      <c r="AX30" s="99">
        <f>112.992+37.237+50.464+55.066</f>
        <v>255.75900000000001</v>
      </c>
      <c r="AY30" s="99">
        <f>881.57+101.023+79.566+73.367+94.174+150.23+AZ30</f>
        <v>1485.4580000000001</v>
      </c>
      <c r="AZ30" s="99">
        <f>50.462+55.066</f>
        <v>105.52800000000001</v>
      </c>
      <c r="BA30" s="99">
        <f>881.57+101.023+79.566+73.367+94.174+150.23+BB30</f>
        <v>1379.93</v>
      </c>
      <c r="BB30" s="99">
        <v>0</v>
      </c>
      <c r="BC30" s="99"/>
      <c r="BD30" s="99"/>
      <c r="BE30" s="99"/>
      <c r="BF30" s="99"/>
      <c r="BG30" s="99"/>
      <c r="BH30" s="1015"/>
      <c r="BI30" s="484">
        <v>0</v>
      </c>
      <c r="BJ30" s="485">
        <v>0</v>
      </c>
      <c r="BK30" s="485">
        <v>0</v>
      </c>
      <c r="BL30" s="485">
        <v>0</v>
      </c>
      <c r="BM30" s="130">
        <v>0</v>
      </c>
      <c r="BN30" s="127">
        <v>0</v>
      </c>
      <c r="BO30" s="127">
        <v>0</v>
      </c>
      <c r="BP30" s="127">
        <v>0</v>
      </c>
    </row>
    <row r="31" spans="1:68" s="100" customFormat="1" ht="15" hidden="1" customHeight="1">
      <c r="A31" s="938"/>
      <c r="B31" s="369" t="s">
        <v>223</v>
      </c>
      <c r="C31" s="93"/>
      <c r="D31" s="93"/>
      <c r="E31" s="93"/>
      <c r="F31" s="94"/>
      <c r="G31" s="93"/>
      <c r="H31" s="93"/>
      <c r="I31" s="95"/>
      <c r="J31" s="96"/>
      <c r="K31" s="97"/>
      <c r="L31" s="98"/>
      <c r="M31" s="99"/>
      <c r="N31" s="99"/>
      <c r="O31" s="99"/>
      <c r="P31" s="99">
        <f t="shared" si="63"/>
        <v>0</v>
      </c>
      <c r="Q31" s="99">
        <f t="shared" si="64"/>
        <v>0</v>
      </c>
      <c r="R31" s="99">
        <v>0</v>
      </c>
      <c r="S31" s="99">
        <v>0</v>
      </c>
      <c r="T31" s="99">
        <v>0</v>
      </c>
      <c r="U31" s="99">
        <v>0</v>
      </c>
      <c r="V31" s="99">
        <v>0</v>
      </c>
      <c r="W31" s="99">
        <v>0</v>
      </c>
      <c r="X31" s="99">
        <v>0</v>
      </c>
      <c r="Y31" s="99">
        <v>0</v>
      </c>
      <c r="Z31" s="99">
        <f t="shared" ref="Z31:Z33" si="66">AA31+AB31+AC31</f>
        <v>0</v>
      </c>
      <c r="AA31" s="99">
        <v>0</v>
      </c>
      <c r="AB31" s="99"/>
      <c r="AC31" s="99"/>
      <c r="AD31" s="99"/>
      <c r="AE31" s="99">
        <f t="shared" si="60"/>
        <v>0</v>
      </c>
      <c r="AF31" s="99"/>
      <c r="AG31" s="99"/>
      <c r="AH31" s="99"/>
      <c r="AI31" s="99"/>
      <c r="AJ31" s="99"/>
      <c r="AK31" s="99"/>
      <c r="AL31" s="99"/>
      <c r="AM31" s="99"/>
      <c r="AN31" s="99"/>
      <c r="AO31" s="1004"/>
      <c r="AP31" s="99">
        <f t="shared" si="61"/>
        <v>54.398999999999994</v>
      </c>
      <c r="AQ31" s="99">
        <f t="shared" si="65"/>
        <v>4.0810000000000004</v>
      </c>
      <c r="AR31" s="99">
        <v>4.0810000000000004</v>
      </c>
      <c r="AS31" s="99">
        <f t="shared" si="62"/>
        <v>22.061</v>
      </c>
      <c r="AT31" s="99">
        <f>9.026+13.035</f>
        <v>22.061</v>
      </c>
      <c r="AU31" s="99">
        <v>0</v>
      </c>
      <c r="AV31" s="99">
        <v>15.622</v>
      </c>
      <c r="AW31" s="99"/>
      <c r="AX31" s="99">
        <v>12.635</v>
      </c>
      <c r="AY31" s="99">
        <f>13.11+13.035+15.61+AZ31</f>
        <v>54.394999999999996</v>
      </c>
      <c r="AZ31" s="99">
        <v>12.64</v>
      </c>
      <c r="BA31" s="99">
        <f>13.11+13.035+15.62+BB31</f>
        <v>41.765000000000001</v>
      </c>
      <c r="BB31" s="99">
        <v>0</v>
      </c>
      <c r="BC31" s="99"/>
      <c r="BD31" s="99"/>
      <c r="BE31" s="99"/>
      <c r="BF31" s="99"/>
      <c r="BG31" s="99"/>
      <c r="BH31" s="1015"/>
      <c r="BI31" s="125">
        <v>0</v>
      </c>
      <c r="BJ31" s="126">
        <v>0</v>
      </c>
      <c r="BK31" s="126">
        <v>0</v>
      </c>
      <c r="BL31" s="126">
        <v>0</v>
      </c>
      <c r="BM31" s="125">
        <v>0</v>
      </c>
      <c r="BN31" s="126">
        <v>0</v>
      </c>
      <c r="BO31" s="126">
        <v>0</v>
      </c>
      <c r="BP31" s="126">
        <v>0</v>
      </c>
    </row>
    <row r="32" spans="1:68" s="100" customFormat="1" ht="15" hidden="1" customHeight="1">
      <c r="A32" s="938"/>
      <c r="B32" s="369" t="s">
        <v>269</v>
      </c>
      <c r="C32" s="93"/>
      <c r="D32" s="93"/>
      <c r="E32" s="93"/>
      <c r="F32" s="94"/>
      <c r="G32" s="93"/>
      <c r="H32" s="93"/>
      <c r="I32" s="95"/>
      <c r="J32" s="96"/>
      <c r="K32" s="97"/>
      <c r="L32" s="98"/>
      <c r="M32" s="99"/>
      <c r="N32" s="99"/>
      <c r="O32" s="99"/>
      <c r="P32" s="99">
        <v>0</v>
      </c>
      <c r="Q32" s="99">
        <f t="shared" si="64"/>
        <v>0</v>
      </c>
      <c r="R32" s="99">
        <v>0</v>
      </c>
      <c r="S32" s="99">
        <v>0</v>
      </c>
      <c r="T32" s="99">
        <v>0</v>
      </c>
      <c r="U32" s="99">
        <v>0</v>
      </c>
      <c r="V32" s="99">
        <v>0</v>
      </c>
      <c r="W32" s="99">
        <v>0</v>
      </c>
      <c r="X32" s="99">
        <v>0</v>
      </c>
      <c r="Y32" s="99">
        <v>0</v>
      </c>
      <c r="Z32" s="99">
        <f t="shared" si="66"/>
        <v>0</v>
      </c>
      <c r="AA32" s="99">
        <v>0</v>
      </c>
      <c r="AB32" s="99"/>
      <c r="AC32" s="99"/>
      <c r="AD32" s="99"/>
      <c r="AE32" s="99">
        <f t="shared" si="60"/>
        <v>0</v>
      </c>
      <c r="AF32" s="99"/>
      <c r="AG32" s="99"/>
      <c r="AH32" s="99"/>
      <c r="AI32" s="99"/>
      <c r="AJ32" s="99"/>
      <c r="AK32" s="99"/>
      <c r="AL32" s="99"/>
      <c r="AM32" s="99"/>
      <c r="AN32" s="99"/>
      <c r="AO32" s="1004"/>
      <c r="AP32" s="99">
        <f t="shared" si="61"/>
        <v>26.65</v>
      </c>
      <c r="AQ32" s="99"/>
      <c r="AR32" s="99"/>
      <c r="AS32" s="99"/>
      <c r="AT32" s="99"/>
      <c r="AU32" s="99">
        <v>0</v>
      </c>
      <c r="AV32" s="99">
        <v>26.65</v>
      </c>
      <c r="AW32" s="99"/>
      <c r="AX32" s="99"/>
      <c r="AY32" s="99">
        <v>37.799999999999997</v>
      </c>
      <c r="AZ32" s="99">
        <v>0</v>
      </c>
      <c r="BA32" s="99">
        <v>37.799999999999997</v>
      </c>
      <c r="BB32" s="99">
        <v>0</v>
      </c>
      <c r="BC32" s="99"/>
      <c r="BD32" s="99"/>
      <c r="BE32" s="99"/>
      <c r="BF32" s="99"/>
      <c r="BG32" s="99"/>
      <c r="BH32" s="1015"/>
      <c r="BI32" s="122"/>
      <c r="BJ32" s="123"/>
      <c r="BK32" s="123"/>
      <c r="BL32" s="123"/>
      <c r="BM32" s="122"/>
      <c r="BN32" s="123"/>
      <c r="BO32" s="123"/>
      <c r="BP32" s="123"/>
    </row>
    <row r="33" spans="1:68" s="100" customFormat="1" ht="15" hidden="1" customHeight="1">
      <c r="A33" s="938"/>
      <c r="B33" s="369" t="s">
        <v>228</v>
      </c>
      <c r="C33" s="93"/>
      <c r="D33" s="93"/>
      <c r="E33" s="93"/>
      <c r="F33" s="94"/>
      <c r="G33" s="93"/>
      <c r="H33" s="93"/>
      <c r="I33" s="95"/>
      <c r="J33" s="96"/>
      <c r="K33" s="97"/>
      <c r="L33" s="98"/>
      <c r="M33" s="99"/>
      <c r="N33" s="99"/>
      <c r="O33" s="99"/>
      <c r="P33" s="99">
        <v>0</v>
      </c>
      <c r="Q33" s="99">
        <f>S33+U33+W33+Y33</f>
        <v>0</v>
      </c>
      <c r="R33" s="99">
        <v>0</v>
      </c>
      <c r="S33" s="99">
        <v>0</v>
      </c>
      <c r="T33" s="99">
        <v>0</v>
      </c>
      <c r="U33" s="99">
        <v>0</v>
      </c>
      <c r="V33" s="99">
        <v>0</v>
      </c>
      <c r="W33" s="99">
        <v>0</v>
      </c>
      <c r="X33" s="99">
        <v>0</v>
      </c>
      <c r="Y33" s="99">
        <v>0</v>
      </c>
      <c r="Z33" s="99">
        <f t="shared" si="66"/>
        <v>0</v>
      </c>
      <c r="AA33" s="99">
        <v>0</v>
      </c>
      <c r="AB33" s="99"/>
      <c r="AC33" s="99"/>
      <c r="AD33" s="99"/>
      <c r="AE33" s="99">
        <f t="shared" si="60"/>
        <v>0</v>
      </c>
      <c r="AF33" s="99"/>
      <c r="AG33" s="99"/>
      <c r="AH33" s="99"/>
      <c r="AI33" s="99"/>
      <c r="AJ33" s="99"/>
      <c r="AK33" s="99"/>
      <c r="AL33" s="99"/>
      <c r="AM33" s="99"/>
      <c r="AN33" s="99"/>
      <c r="AO33" s="1004"/>
      <c r="AP33" s="99">
        <f>AR33+AT33+AV33+AX33</f>
        <v>379.82100000000003</v>
      </c>
      <c r="AQ33" s="99"/>
      <c r="AR33" s="99"/>
      <c r="AS33" s="99"/>
      <c r="AT33" s="99"/>
      <c r="AU33" s="99"/>
      <c r="AV33" s="99"/>
      <c r="AW33" s="99"/>
      <c r="AX33" s="99">
        <v>379.82100000000003</v>
      </c>
      <c r="AY33" s="99">
        <f>AZ33</f>
        <v>379.82100000000003</v>
      </c>
      <c r="AZ33" s="99">
        <v>379.82100000000003</v>
      </c>
      <c r="BA33" s="99"/>
      <c r="BB33" s="99"/>
      <c r="BC33" s="99"/>
      <c r="BD33" s="99"/>
      <c r="BE33" s="99"/>
      <c r="BF33" s="99"/>
      <c r="BG33" s="99"/>
      <c r="BH33" s="1015"/>
      <c r="BI33" s="125">
        <v>0</v>
      </c>
      <c r="BJ33" s="278">
        <v>0</v>
      </c>
      <c r="BK33" s="126">
        <v>0</v>
      </c>
      <c r="BL33" s="278">
        <v>0</v>
      </c>
      <c r="BM33" s="125">
        <v>0</v>
      </c>
      <c r="BN33" s="126">
        <v>0</v>
      </c>
      <c r="BO33" s="126">
        <v>0</v>
      </c>
      <c r="BP33" s="126">
        <v>0</v>
      </c>
    </row>
    <row r="34" spans="1:68" s="100" customFormat="1" ht="31.5" hidden="1" customHeight="1">
      <c r="A34" s="938"/>
      <c r="B34" s="369" t="s">
        <v>226</v>
      </c>
      <c r="C34" s="93"/>
      <c r="D34" s="93"/>
      <c r="E34" s="93"/>
      <c r="F34" s="94"/>
      <c r="G34" s="93"/>
      <c r="H34" s="93"/>
      <c r="I34" s="95"/>
      <c r="J34" s="96"/>
      <c r="K34" s="97"/>
      <c r="L34" s="98"/>
      <c r="M34" s="99"/>
      <c r="N34" s="99"/>
      <c r="O34" s="99"/>
      <c r="P34" s="99">
        <f>R34</f>
        <v>0</v>
      </c>
      <c r="Q34" s="99">
        <f>S34+U34+W34+Y34</f>
        <v>0</v>
      </c>
      <c r="R34" s="99">
        <f>S34</f>
        <v>0</v>
      </c>
      <c r="S34" s="99">
        <v>0</v>
      </c>
      <c r="T34" s="99">
        <v>0</v>
      </c>
      <c r="U34" s="99">
        <v>0</v>
      </c>
      <c r="V34" s="99">
        <v>0</v>
      </c>
      <c r="W34" s="99">
        <v>0</v>
      </c>
      <c r="X34" s="99">
        <v>0</v>
      </c>
      <c r="Y34" s="99">
        <v>0</v>
      </c>
      <c r="Z34" s="99">
        <f>SUM(AA34:AD34)</f>
        <v>0</v>
      </c>
      <c r="AA34" s="99">
        <v>0</v>
      </c>
      <c r="AB34" s="99">
        <v>0</v>
      </c>
      <c r="AC34" s="99">
        <v>0</v>
      </c>
      <c r="AD34" s="99">
        <v>0</v>
      </c>
      <c r="AE34" s="99">
        <f t="shared" si="60"/>
        <v>0</v>
      </c>
      <c r="AF34" s="99"/>
      <c r="AG34" s="99"/>
      <c r="AH34" s="99"/>
      <c r="AI34" s="99"/>
      <c r="AJ34" s="99"/>
      <c r="AK34" s="99"/>
      <c r="AL34" s="99"/>
      <c r="AM34" s="99"/>
      <c r="AN34" s="99"/>
      <c r="AO34" s="1004"/>
      <c r="AP34" s="99">
        <f>AR34+AT34+AV34+AX34</f>
        <v>86838.24000000002</v>
      </c>
      <c r="AQ34" s="99">
        <f t="shared" si="65"/>
        <v>73806.986000000004</v>
      </c>
      <c r="AR34" s="99">
        <f>19431.338+240.415+9150.073+10020.865+25951.879+9012.416</f>
        <v>73806.986000000004</v>
      </c>
      <c r="AS34" s="99">
        <f t="shared" si="62"/>
        <v>17475.983</v>
      </c>
      <c r="AT34" s="99">
        <f>6263.42+4933.086+6279.477</f>
        <v>17475.983</v>
      </c>
      <c r="AU34" s="99">
        <v>0</v>
      </c>
      <c r="AV34" s="99">
        <f>4419.724+4545.848+2986.922</f>
        <v>11952.494000000001</v>
      </c>
      <c r="AW34" s="99"/>
      <c r="AX34" s="99">
        <f>2482.504+3364.14+36.932+3671.08-25951.879</f>
        <v>-16397.223000000002</v>
      </c>
      <c r="AY34" s="99">
        <f>79868.89+5304.394+6752.126+4625.42+4545.848+2986.922+2482.504+AZ34</f>
        <v>64036.824000000008</v>
      </c>
      <c r="AZ34" s="99">
        <f>8745.274-25951.879-25322.675</f>
        <v>-42529.279999999999</v>
      </c>
      <c r="BA34" s="99">
        <f>79868.89+BB34+5304.394+6752.126+4625.42+10015.27</f>
        <v>106566.1</v>
      </c>
      <c r="BB34" s="99">
        <v>0</v>
      </c>
      <c r="BC34" s="99"/>
      <c r="BD34" s="99"/>
      <c r="BE34" s="99"/>
      <c r="BF34" s="99"/>
      <c r="BG34" s="99"/>
      <c r="BH34" s="1015"/>
      <c r="BI34" s="125">
        <v>0</v>
      </c>
      <c r="BJ34" s="126">
        <v>0</v>
      </c>
      <c r="BK34" s="126">
        <v>0</v>
      </c>
      <c r="BL34" s="126">
        <v>0</v>
      </c>
      <c r="BM34" s="125">
        <v>0</v>
      </c>
      <c r="BN34" s="126">
        <v>0</v>
      </c>
      <c r="BO34" s="126">
        <v>0</v>
      </c>
      <c r="BP34" s="126">
        <v>0</v>
      </c>
    </row>
    <row r="35" spans="1:68" ht="29.25" customHeight="1">
      <c r="A35" s="938"/>
      <c r="B35" s="459"/>
      <c r="C35" s="708"/>
      <c r="D35" s="708"/>
      <c r="E35" s="708"/>
      <c r="F35" s="715"/>
      <c r="G35" s="708"/>
      <c r="H35" s="708"/>
      <c r="I35" s="15" t="s">
        <v>9</v>
      </c>
      <c r="J35" s="726">
        <f>K35</f>
        <v>702203.72</v>
      </c>
      <c r="K35" s="29">
        <v>702203.72</v>
      </c>
      <c r="L35" s="74">
        <v>789617.84</v>
      </c>
      <c r="M35" s="74">
        <v>348941.19</v>
      </c>
      <c r="N35" s="74">
        <v>196473.11</v>
      </c>
      <c r="O35" s="74">
        <v>0</v>
      </c>
      <c r="P35" s="74">
        <v>0</v>
      </c>
      <c r="Q35" s="74">
        <f>SUM(Q36:Q36)</f>
        <v>37814.324000000001</v>
      </c>
      <c r="R35" s="74">
        <f>SUM(R36:R36)</f>
        <v>37814.324000000001</v>
      </c>
      <c r="S35" s="74">
        <f>SUM(S36:S36)</f>
        <v>37814.324000000001</v>
      </c>
      <c r="T35" s="74">
        <f t="shared" ref="T35:AI35" si="67">SUM(T36:T36)</f>
        <v>0</v>
      </c>
      <c r="U35" s="74">
        <f t="shared" si="67"/>
        <v>0</v>
      </c>
      <c r="V35" s="74">
        <f t="shared" si="67"/>
        <v>0</v>
      </c>
      <c r="W35" s="74">
        <f t="shared" si="67"/>
        <v>0</v>
      </c>
      <c r="X35" s="74">
        <v>0</v>
      </c>
      <c r="Y35" s="74">
        <f t="shared" si="67"/>
        <v>0</v>
      </c>
      <c r="Z35" s="74">
        <f t="shared" si="67"/>
        <v>0</v>
      </c>
      <c r="AA35" s="74">
        <f>SUM(AA36:AA36)</f>
        <v>0</v>
      </c>
      <c r="AB35" s="74">
        <f>SUM(AB36:AB36)</f>
        <v>0</v>
      </c>
      <c r="AC35" s="74">
        <f t="shared" ref="AC35:AD35" si="68">SUM(AC36:AC36)</f>
        <v>0</v>
      </c>
      <c r="AD35" s="74">
        <f t="shared" si="68"/>
        <v>0</v>
      </c>
      <c r="AE35" s="74">
        <f t="shared" si="67"/>
        <v>0</v>
      </c>
      <c r="AF35" s="74">
        <f t="shared" si="67"/>
        <v>0</v>
      </c>
      <c r="AG35" s="74">
        <f t="shared" si="67"/>
        <v>0</v>
      </c>
      <c r="AH35" s="74">
        <f t="shared" si="67"/>
        <v>0</v>
      </c>
      <c r="AI35" s="74">
        <f t="shared" si="67"/>
        <v>0</v>
      </c>
      <c r="AJ35" s="74">
        <v>0</v>
      </c>
      <c r="AK35" s="74">
        <v>0</v>
      </c>
      <c r="AL35" s="74">
        <v>0</v>
      </c>
      <c r="AM35" s="74">
        <v>0</v>
      </c>
      <c r="AN35" s="74">
        <v>0</v>
      </c>
      <c r="AO35" s="1004"/>
      <c r="AP35" s="74">
        <f>SUM(AP36:AP36)</f>
        <v>340731.15900000004</v>
      </c>
      <c r="AQ35" s="74">
        <v>0</v>
      </c>
      <c r="AR35" s="74">
        <f t="shared" ref="AR35:BB35" si="69">SUM(AR36:AR36)</f>
        <v>0</v>
      </c>
      <c r="AS35" s="74">
        <f t="shared" si="69"/>
        <v>0</v>
      </c>
      <c r="AT35" s="74">
        <f t="shared" si="69"/>
        <v>233380.04500000001</v>
      </c>
      <c r="AU35" s="74">
        <f t="shared" si="69"/>
        <v>0</v>
      </c>
      <c r="AV35" s="74">
        <f t="shared" si="69"/>
        <v>59762.495999999999</v>
      </c>
      <c r="AW35" s="74">
        <f t="shared" si="69"/>
        <v>0</v>
      </c>
      <c r="AX35" s="74">
        <f t="shared" si="69"/>
        <v>47588.618000000002</v>
      </c>
      <c r="AY35" s="74">
        <f t="shared" si="69"/>
        <v>210711.94399999999</v>
      </c>
      <c r="AZ35" s="74">
        <f>SUM(AZ36:AZ36)</f>
        <v>77225.87</v>
      </c>
      <c r="BA35" s="74">
        <f t="shared" si="69"/>
        <v>133486.07199999999</v>
      </c>
      <c r="BB35" s="74">
        <f t="shared" si="69"/>
        <v>0</v>
      </c>
      <c r="BC35" s="74">
        <v>0</v>
      </c>
      <c r="BD35" s="74">
        <v>0</v>
      </c>
      <c r="BE35" s="74">
        <v>0</v>
      </c>
      <c r="BF35" s="74">
        <v>0</v>
      </c>
      <c r="BG35" s="74">
        <v>0</v>
      </c>
      <c r="BH35" s="1016"/>
      <c r="BI35" s="486">
        <v>0</v>
      </c>
      <c r="BJ35" s="74">
        <v>0</v>
      </c>
      <c r="BK35" s="487">
        <v>0</v>
      </c>
      <c r="BL35" s="487">
        <v>0</v>
      </c>
      <c r="BM35" s="125">
        <v>0</v>
      </c>
      <c r="BN35" s="126">
        <v>0</v>
      </c>
      <c r="BO35" s="126">
        <v>0</v>
      </c>
      <c r="BP35" s="126">
        <v>0</v>
      </c>
    </row>
    <row r="36" spans="1:68" s="100" customFormat="1" ht="15.75" hidden="1" customHeight="1">
      <c r="A36" s="329"/>
      <c r="B36" s="437" t="s">
        <v>253</v>
      </c>
      <c r="C36" s="93"/>
      <c r="D36" s="93"/>
      <c r="E36" s="93"/>
      <c r="F36" s="94"/>
      <c r="G36" s="93"/>
      <c r="H36" s="93"/>
      <c r="I36" s="104"/>
      <c r="J36" s="101"/>
      <c r="K36" s="102"/>
      <c r="L36" s="103"/>
      <c r="M36" s="103"/>
      <c r="N36" s="103"/>
      <c r="O36" s="103"/>
      <c r="P36" s="99">
        <f>Q36</f>
        <v>37814.324000000001</v>
      </c>
      <c r="Q36" s="99">
        <f>S36+U36+W36+Y36</f>
        <v>37814.324000000001</v>
      </c>
      <c r="R36" s="99">
        <f>S36</f>
        <v>37814.324000000001</v>
      </c>
      <c r="S36" s="103">
        <v>37814.324000000001</v>
      </c>
      <c r="T36" s="103">
        <v>0</v>
      </c>
      <c r="U36" s="103">
        <v>0</v>
      </c>
      <c r="V36" s="103">
        <v>0</v>
      </c>
      <c r="W36" s="103">
        <v>0</v>
      </c>
      <c r="X36" s="103">
        <v>0</v>
      </c>
      <c r="Y36" s="103">
        <v>0</v>
      </c>
      <c r="Z36" s="99">
        <f>SUM(AA36:AD36)</f>
        <v>0</v>
      </c>
      <c r="AA36" s="103">
        <v>0</v>
      </c>
      <c r="AB36" s="103">
        <v>0</v>
      </c>
      <c r="AC36" s="103">
        <v>0</v>
      </c>
      <c r="AD36" s="103">
        <v>0</v>
      </c>
      <c r="AE36" s="99">
        <f>SUM(AF36:AF36)</f>
        <v>0</v>
      </c>
      <c r="AF36" s="103"/>
      <c r="AG36" s="103"/>
      <c r="AH36" s="103"/>
      <c r="AI36" s="103"/>
      <c r="AJ36" s="103"/>
      <c r="AK36" s="103"/>
      <c r="AL36" s="103"/>
      <c r="AM36" s="103"/>
      <c r="AN36" s="103"/>
      <c r="AO36" s="1004"/>
      <c r="AP36" s="99">
        <f>AR36+AT36+AV36+AX36</f>
        <v>340731.15900000004</v>
      </c>
      <c r="AQ36" s="99">
        <f>AR36</f>
        <v>0</v>
      </c>
      <c r="AR36" s="103">
        <v>0</v>
      </c>
      <c r="AS36" s="103">
        <v>0</v>
      </c>
      <c r="AT36" s="103">
        <f>50833.737+50104.326+45062.062+31317.102+24665.43+31397.388</f>
        <v>233380.04500000001</v>
      </c>
      <c r="AU36" s="103">
        <v>0</v>
      </c>
      <c r="AV36" s="103">
        <f>22098.622+22729.242+14934.612+0.02</f>
        <v>59762.495999999999</v>
      </c>
      <c r="AW36" s="103"/>
      <c r="AX36" s="103">
        <f>12412.518+16820.698+18355.402</f>
        <v>47588.618000000002</v>
      </c>
      <c r="AY36" s="103">
        <f>26521.968+33760.632+23127.102+22729.242+14934.612+12412.518+AZ36</f>
        <v>210711.94399999999</v>
      </c>
      <c r="AZ36" s="103">
        <f>43541.707+33684.163</f>
        <v>77225.87</v>
      </c>
      <c r="BA36" s="103">
        <f>26521.968+33760.632+23127.102+BB36+50076.37</f>
        <v>133486.07199999999</v>
      </c>
      <c r="BB36" s="103">
        <v>0</v>
      </c>
      <c r="BC36" s="103"/>
      <c r="BD36" s="103"/>
      <c r="BE36" s="103"/>
      <c r="BF36" s="103"/>
      <c r="BG36" s="103"/>
      <c r="BH36" s="304"/>
      <c r="BI36" s="125">
        <v>0</v>
      </c>
      <c r="BJ36" s="126">
        <v>0</v>
      </c>
      <c r="BK36" s="126">
        <v>0</v>
      </c>
      <c r="BL36" s="126">
        <v>0</v>
      </c>
      <c r="BM36" s="125">
        <v>0</v>
      </c>
      <c r="BN36" s="126">
        <v>0</v>
      </c>
      <c r="BO36" s="126">
        <v>0</v>
      </c>
      <c r="BP36" s="126">
        <v>0</v>
      </c>
    </row>
    <row r="37" spans="1:68" ht="25.5">
      <c r="A37" s="710"/>
      <c r="B37" s="459"/>
      <c r="C37" s="708"/>
      <c r="D37" s="708"/>
      <c r="E37" s="708"/>
      <c r="F37" s="715"/>
      <c r="G37" s="708"/>
      <c r="H37" s="708"/>
      <c r="I37" s="728" t="s">
        <v>10</v>
      </c>
      <c r="J37" s="703"/>
      <c r="K37" s="290"/>
      <c r="L37" s="74">
        <f>SUM(L38:L39)</f>
        <v>172003.82</v>
      </c>
      <c r="M37" s="74">
        <v>135504.01</v>
      </c>
      <c r="N37" s="74">
        <f>SUM(N38:N39)</f>
        <v>36499.81</v>
      </c>
      <c r="O37" s="74">
        <v>0</v>
      </c>
      <c r="P37" s="74">
        <v>0</v>
      </c>
      <c r="Q37" s="47">
        <f>SUM(Q38:Q39)</f>
        <v>64161.036999999997</v>
      </c>
      <c r="R37" s="47">
        <f t="shared" ref="R37:AI37" si="70">SUM(R38:R39)</f>
        <v>0</v>
      </c>
      <c r="S37" s="47">
        <f t="shared" si="70"/>
        <v>0</v>
      </c>
      <c r="T37" s="47">
        <f t="shared" si="70"/>
        <v>64161.036999999997</v>
      </c>
      <c r="U37" s="47">
        <f t="shared" si="70"/>
        <v>64161.036999999997</v>
      </c>
      <c r="V37" s="47">
        <f t="shared" si="70"/>
        <v>0</v>
      </c>
      <c r="W37" s="47">
        <f t="shared" si="70"/>
        <v>0</v>
      </c>
      <c r="X37" s="47">
        <v>0</v>
      </c>
      <c r="Y37" s="47">
        <f t="shared" si="70"/>
        <v>0</v>
      </c>
      <c r="Z37" s="47">
        <f t="shared" si="70"/>
        <v>0</v>
      </c>
      <c r="AA37" s="47">
        <f t="shared" si="70"/>
        <v>0</v>
      </c>
      <c r="AB37" s="47">
        <f t="shared" si="70"/>
        <v>0</v>
      </c>
      <c r="AC37" s="47">
        <f t="shared" si="70"/>
        <v>0</v>
      </c>
      <c r="AD37" s="47">
        <f t="shared" si="70"/>
        <v>0</v>
      </c>
      <c r="AE37" s="47">
        <f t="shared" si="70"/>
        <v>0</v>
      </c>
      <c r="AF37" s="47">
        <f t="shared" si="70"/>
        <v>0</v>
      </c>
      <c r="AG37" s="47">
        <f t="shared" si="70"/>
        <v>0</v>
      </c>
      <c r="AH37" s="47">
        <f t="shared" si="70"/>
        <v>0</v>
      </c>
      <c r="AI37" s="47">
        <f t="shared" si="70"/>
        <v>0</v>
      </c>
      <c r="AJ37" s="74">
        <v>0</v>
      </c>
      <c r="AK37" s="74">
        <v>0</v>
      </c>
      <c r="AL37" s="74">
        <v>0</v>
      </c>
      <c r="AM37" s="74">
        <v>0</v>
      </c>
      <c r="AN37" s="74">
        <v>0</v>
      </c>
      <c r="AO37" s="1005"/>
      <c r="AP37" s="47">
        <f>SUM(AP38:AP39)</f>
        <v>109472.18</v>
      </c>
      <c r="AQ37" s="47">
        <f t="shared" ref="AQ37:BB37" si="71">SUM(AQ38:AQ39)</f>
        <v>83335.64</v>
      </c>
      <c r="AR37" s="47">
        <f t="shared" si="71"/>
        <v>83335.64</v>
      </c>
      <c r="AS37" s="47">
        <f t="shared" si="71"/>
        <v>0</v>
      </c>
      <c r="AT37" s="47">
        <f t="shared" si="71"/>
        <v>0</v>
      </c>
      <c r="AU37" s="47">
        <f t="shared" si="71"/>
        <v>0</v>
      </c>
      <c r="AV37" s="47">
        <f t="shared" si="71"/>
        <v>0</v>
      </c>
      <c r="AW37" s="47">
        <f t="shared" si="71"/>
        <v>0</v>
      </c>
      <c r="AX37" s="47">
        <f t="shared" si="71"/>
        <v>26136.54</v>
      </c>
      <c r="AY37" s="47">
        <f t="shared" si="71"/>
        <v>109472.18</v>
      </c>
      <c r="AZ37" s="47">
        <f t="shared" si="71"/>
        <v>26136.54</v>
      </c>
      <c r="BA37" s="47">
        <f t="shared" si="71"/>
        <v>83335.64</v>
      </c>
      <c r="BB37" s="47">
        <f t="shared" si="71"/>
        <v>0</v>
      </c>
      <c r="BC37" s="74"/>
      <c r="BD37" s="74"/>
      <c r="BE37" s="74"/>
      <c r="BF37" s="74"/>
      <c r="BG37" s="74"/>
      <c r="BH37" s="305"/>
      <c r="BI37" s="125">
        <v>0</v>
      </c>
      <c r="BJ37" s="126">
        <v>0</v>
      </c>
      <c r="BK37" s="126">
        <v>0</v>
      </c>
      <c r="BL37" s="126">
        <v>0</v>
      </c>
      <c r="BM37" s="125">
        <v>0</v>
      </c>
      <c r="BN37" s="126">
        <v>0</v>
      </c>
      <c r="BO37" s="126">
        <v>0</v>
      </c>
      <c r="BP37" s="126">
        <v>0</v>
      </c>
    </row>
    <row r="38" spans="1:68" ht="15.75">
      <c r="A38" s="710"/>
      <c r="B38" s="495" t="s">
        <v>224</v>
      </c>
      <c r="C38" s="708"/>
      <c r="D38" s="708"/>
      <c r="E38" s="708"/>
      <c r="F38" s="715"/>
      <c r="G38" s="708"/>
      <c r="H38" s="708"/>
      <c r="I38" s="728"/>
      <c r="J38" s="703"/>
      <c r="K38" s="290"/>
      <c r="L38" s="74">
        <v>90003.82</v>
      </c>
      <c r="M38" s="74"/>
      <c r="N38" s="74">
        <v>62531.64</v>
      </c>
      <c r="O38" s="74"/>
      <c r="P38" s="47">
        <f t="shared" ref="P38:P39" si="72">Q38</f>
        <v>64161.036999999997</v>
      </c>
      <c r="Q38" s="47">
        <f>S38+U38+W38+Y38</f>
        <v>64161.036999999997</v>
      </c>
      <c r="R38" s="74">
        <v>0</v>
      </c>
      <c r="S38" s="74">
        <v>0</v>
      </c>
      <c r="T38" s="74">
        <f>374.667+18409.181+45377.189</f>
        <v>64161.036999999997</v>
      </c>
      <c r="U38" s="74">
        <f>374.667+18409.181+45377.189</f>
        <v>64161.036999999997</v>
      </c>
      <c r="V38" s="74">
        <v>0</v>
      </c>
      <c r="W38" s="74">
        <v>0</v>
      </c>
      <c r="X38" s="74">
        <v>0</v>
      </c>
      <c r="Y38" s="74">
        <v>0</v>
      </c>
      <c r="Z38" s="74">
        <v>0</v>
      </c>
      <c r="AA38" s="74">
        <v>0</v>
      </c>
      <c r="AB38" s="74"/>
      <c r="AC38" s="74"/>
      <c r="AD38" s="74"/>
      <c r="AE38" s="47">
        <f>SUM(AF38:AF38)</f>
        <v>0</v>
      </c>
      <c r="AF38" s="74">
        <v>0</v>
      </c>
      <c r="AG38" s="74"/>
      <c r="AH38" s="74"/>
      <c r="AI38" s="74"/>
      <c r="AJ38" s="74">
        <v>0</v>
      </c>
      <c r="AK38" s="74">
        <v>0</v>
      </c>
      <c r="AL38" s="74">
        <v>0</v>
      </c>
      <c r="AM38" s="74">
        <v>0</v>
      </c>
      <c r="AN38" s="74">
        <v>0</v>
      </c>
      <c r="AO38" s="496"/>
      <c r="AP38" s="99">
        <f>AR38+AT38+AV38+AX38</f>
        <v>27472.18</v>
      </c>
      <c r="AQ38" s="99">
        <f t="shared" ref="AQ38:AQ39" si="73">AR38</f>
        <v>1335.64</v>
      </c>
      <c r="AR38" s="103">
        <v>1335.64</v>
      </c>
      <c r="AS38" s="103">
        <v>0</v>
      </c>
      <c r="AT38" s="103">
        <v>0</v>
      </c>
      <c r="AU38" s="103">
        <v>0</v>
      </c>
      <c r="AV38" s="103">
        <v>0</v>
      </c>
      <c r="AW38" s="103"/>
      <c r="AX38" s="103">
        <f>25951.879+184.661</f>
        <v>26136.54</v>
      </c>
      <c r="AY38" s="99">
        <f>1335.64+AZ38</f>
        <v>27472.18</v>
      </c>
      <c r="AZ38" s="103">
        <f>25951.879+184.661</f>
        <v>26136.54</v>
      </c>
      <c r="BA38" s="99">
        <f>1335.64+BB38</f>
        <v>1335.64</v>
      </c>
      <c r="BB38" s="103">
        <v>0</v>
      </c>
      <c r="BC38" s="103"/>
      <c r="BD38" s="103"/>
      <c r="BE38" s="103"/>
      <c r="BF38" s="103"/>
      <c r="BG38" s="103"/>
      <c r="BH38" s="304"/>
      <c r="BI38" s="125">
        <v>0</v>
      </c>
      <c r="BJ38" s="126">
        <v>0</v>
      </c>
      <c r="BK38" s="126">
        <v>0</v>
      </c>
      <c r="BL38" s="126">
        <v>0</v>
      </c>
      <c r="BM38" s="125">
        <v>0</v>
      </c>
      <c r="BN38" s="126">
        <v>0</v>
      </c>
      <c r="BO38" s="126">
        <v>0</v>
      </c>
      <c r="BP38" s="126">
        <v>0</v>
      </c>
    </row>
    <row r="39" spans="1:68" ht="15.75">
      <c r="A39" s="710"/>
      <c r="B39" s="495" t="s">
        <v>225</v>
      </c>
      <c r="C39" s="708"/>
      <c r="D39" s="708"/>
      <c r="E39" s="708"/>
      <c r="F39" s="715"/>
      <c r="G39" s="708"/>
      <c r="H39" s="708"/>
      <c r="I39" s="728"/>
      <c r="J39" s="703"/>
      <c r="K39" s="290"/>
      <c r="L39" s="74">
        <v>82000</v>
      </c>
      <c r="M39" s="74"/>
      <c r="N39" s="74">
        <v>-26031.83</v>
      </c>
      <c r="O39" s="74"/>
      <c r="P39" s="47">
        <f t="shared" si="72"/>
        <v>0</v>
      </c>
      <c r="Q39" s="47">
        <f>S39+U39+W39</f>
        <v>0</v>
      </c>
      <c r="R39" s="74">
        <v>0</v>
      </c>
      <c r="S39" s="74">
        <v>0</v>
      </c>
      <c r="T39" s="74">
        <v>0</v>
      </c>
      <c r="U39" s="74">
        <v>0</v>
      </c>
      <c r="V39" s="74">
        <v>0</v>
      </c>
      <c r="W39" s="74">
        <v>0</v>
      </c>
      <c r="X39" s="74">
        <v>0</v>
      </c>
      <c r="Y39" s="74">
        <v>0</v>
      </c>
      <c r="Z39" s="74">
        <v>0</v>
      </c>
      <c r="AA39" s="74">
        <v>0</v>
      </c>
      <c r="AB39" s="74"/>
      <c r="AC39" s="74"/>
      <c r="AD39" s="74"/>
      <c r="AE39" s="47">
        <f>SUM(AF39:AF39)</f>
        <v>0</v>
      </c>
      <c r="AF39" s="74">
        <v>0</v>
      </c>
      <c r="AG39" s="74"/>
      <c r="AH39" s="74"/>
      <c r="AI39" s="74"/>
      <c r="AJ39" s="74">
        <v>0</v>
      </c>
      <c r="AK39" s="74">
        <v>0</v>
      </c>
      <c r="AL39" s="74">
        <v>0</v>
      </c>
      <c r="AM39" s="74">
        <v>0</v>
      </c>
      <c r="AN39" s="74">
        <v>0</v>
      </c>
      <c r="AO39" s="496"/>
      <c r="AP39" s="99">
        <f>AR39+AT39+AV39</f>
        <v>82000</v>
      </c>
      <c r="AQ39" s="99">
        <f t="shared" si="73"/>
        <v>82000</v>
      </c>
      <c r="AR39" s="103">
        <v>82000</v>
      </c>
      <c r="AS39" s="103">
        <v>0</v>
      </c>
      <c r="AT39" s="103">
        <v>0</v>
      </c>
      <c r="AU39" s="103">
        <v>0</v>
      </c>
      <c r="AV39" s="103"/>
      <c r="AW39" s="103"/>
      <c r="AX39" s="103"/>
      <c r="AY39" s="99">
        <f>82000+AZ39</f>
        <v>82000</v>
      </c>
      <c r="AZ39" s="103">
        <v>0</v>
      </c>
      <c r="BA39" s="99">
        <f>82000+BB39</f>
        <v>82000</v>
      </c>
      <c r="BB39" s="103">
        <v>0</v>
      </c>
      <c r="BC39" s="103"/>
      <c r="BD39" s="103"/>
      <c r="BE39" s="103"/>
      <c r="BF39" s="103"/>
      <c r="BG39" s="103"/>
      <c r="BH39" s="304"/>
      <c r="BI39" s="128">
        <v>0</v>
      </c>
      <c r="BJ39" s="129">
        <v>0</v>
      </c>
      <c r="BK39" s="129">
        <v>0</v>
      </c>
      <c r="BL39" s="129">
        <v>0</v>
      </c>
      <c r="BM39" s="128">
        <v>0</v>
      </c>
      <c r="BN39" s="129">
        <v>0</v>
      </c>
      <c r="BO39" s="129">
        <v>0</v>
      </c>
      <c r="BP39" s="129">
        <v>0</v>
      </c>
    </row>
    <row r="40" spans="1:68" ht="66" customHeight="1">
      <c r="A40" s="937" t="s">
        <v>33</v>
      </c>
      <c r="B40" s="80" t="s">
        <v>28</v>
      </c>
      <c r="C40" s="30"/>
      <c r="D40" s="30"/>
      <c r="E40" s="30"/>
      <c r="F40" s="31">
        <v>30000</v>
      </c>
      <c r="G40" s="721"/>
      <c r="H40" s="721"/>
      <c r="I40" s="820" t="s">
        <v>19</v>
      </c>
      <c r="J40" s="882">
        <f>K40+L40</f>
        <v>260501.25</v>
      </c>
      <c r="K40" s="882">
        <v>0</v>
      </c>
      <c r="L40" s="81">
        <f>L42+L41</f>
        <v>260501.25</v>
      </c>
      <c r="M40" s="81">
        <f t="shared" ref="M40:P40" si="74">M42+M41</f>
        <v>0</v>
      </c>
      <c r="N40" s="81">
        <f t="shared" si="74"/>
        <v>69943.709999999992</v>
      </c>
      <c r="O40" s="81">
        <f t="shared" si="74"/>
        <v>69943.710000000006</v>
      </c>
      <c r="P40" s="81">
        <f t="shared" si="74"/>
        <v>116395.59</v>
      </c>
      <c r="Q40" s="81">
        <f t="shared" ref="Q40:AN40" si="75">Q42</f>
        <v>0</v>
      </c>
      <c r="R40" s="81">
        <f t="shared" si="75"/>
        <v>0</v>
      </c>
      <c r="S40" s="81">
        <f t="shared" si="75"/>
        <v>0</v>
      </c>
      <c r="T40" s="81">
        <f t="shared" si="75"/>
        <v>0</v>
      </c>
      <c r="U40" s="81">
        <f t="shared" si="75"/>
        <v>0</v>
      </c>
      <c r="V40" s="81">
        <f t="shared" si="75"/>
        <v>0</v>
      </c>
      <c r="W40" s="81">
        <f t="shared" si="75"/>
        <v>0</v>
      </c>
      <c r="X40" s="81">
        <f t="shared" si="75"/>
        <v>0</v>
      </c>
      <c r="Y40" s="81">
        <f t="shared" si="75"/>
        <v>0</v>
      </c>
      <c r="Z40" s="81">
        <f t="shared" si="75"/>
        <v>0</v>
      </c>
      <c r="AA40" s="81">
        <f t="shared" si="75"/>
        <v>0</v>
      </c>
      <c r="AB40" s="81">
        <f t="shared" si="75"/>
        <v>0</v>
      </c>
      <c r="AC40" s="81">
        <f t="shared" si="75"/>
        <v>0</v>
      </c>
      <c r="AD40" s="81">
        <f t="shared" si="75"/>
        <v>0</v>
      </c>
      <c r="AE40" s="81">
        <f t="shared" si="75"/>
        <v>0</v>
      </c>
      <c r="AF40" s="81">
        <f t="shared" si="75"/>
        <v>0</v>
      </c>
      <c r="AG40" s="81">
        <f t="shared" si="75"/>
        <v>0</v>
      </c>
      <c r="AH40" s="81">
        <f t="shared" si="75"/>
        <v>0</v>
      </c>
      <c r="AI40" s="81">
        <f t="shared" si="75"/>
        <v>0</v>
      </c>
      <c r="AJ40" s="82">
        <f>P40-Q40</f>
        <v>116395.59</v>
      </c>
      <c r="AK40" s="82">
        <f>AJ40</f>
        <v>116395.59</v>
      </c>
      <c r="AL40" s="81">
        <f t="shared" si="75"/>
        <v>0</v>
      </c>
      <c r="AM40" s="81">
        <f t="shared" si="75"/>
        <v>0</v>
      </c>
      <c r="AN40" s="81">
        <f t="shared" si="75"/>
        <v>0</v>
      </c>
      <c r="AO40" s="431"/>
      <c r="AP40" s="81">
        <f t="shared" ref="AP40:BP40" si="76">AP41+AP42</f>
        <v>0</v>
      </c>
      <c r="AQ40" s="81">
        <f t="shared" si="76"/>
        <v>0</v>
      </c>
      <c r="AR40" s="81">
        <f t="shared" si="76"/>
        <v>0</v>
      </c>
      <c r="AS40" s="81">
        <f t="shared" si="76"/>
        <v>0</v>
      </c>
      <c r="AT40" s="81">
        <f t="shared" si="76"/>
        <v>0</v>
      </c>
      <c r="AU40" s="81">
        <f t="shared" si="76"/>
        <v>0</v>
      </c>
      <c r="AV40" s="81">
        <f t="shared" si="76"/>
        <v>0</v>
      </c>
      <c r="AW40" s="81">
        <f t="shared" si="76"/>
        <v>0</v>
      </c>
      <c r="AX40" s="81">
        <f t="shared" si="76"/>
        <v>0</v>
      </c>
      <c r="AY40" s="81">
        <f t="shared" si="76"/>
        <v>0</v>
      </c>
      <c r="AZ40" s="81">
        <f t="shared" si="76"/>
        <v>0</v>
      </c>
      <c r="BA40" s="81">
        <f t="shared" si="76"/>
        <v>0</v>
      </c>
      <c r="BB40" s="81">
        <f t="shared" si="76"/>
        <v>0</v>
      </c>
      <c r="BC40" s="81">
        <f t="shared" si="76"/>
        <v>0</v>
      </c>
      <c r="BD40" s="81">
        <f t="shared" si="76"/>
        <v>0</v>
      </c>
      <c r="BE40" s="81">
        <f t="shared" si="76"/>
        <v>0</v>
      </c>
      <c r="BF40" s="81">
        <f t="shared" si="76"/>
        <v>0</v>
      </c>
      <c r="BG40" s="81">
        <f t="shared" si="76"/>
        <v>0</v>
      </c>
      <c r="BH40" s="81">
        <f t="shared" si="76"/>
        <v>0</v>
      </c>
      <c r="BI40" s="81">
        <f t="shared" si="76"/>
        <v>0</v>
      </c>
      <c r="BJ40" s="81">
        <f t="shared" si="76"/>
        <v>0</v>
      </c>
      <c r="BK40" s="81">
        <f t="shared" si="76"/>
        <v>0</v>
      </c>
      <c r="BL40" s="81">
        <f t="shared" si="76"/>
        <v>0</v>
      </c>
      <c r="BM40" s="81">
        <f t="shared" si="76"/>
        <v>0</v>
      </c>
      <c r="BN40" s="81">
        <f t="shared" si="76"/>
        <v>0</v>
      </c>
      <c r="BO40" s="81">
        <f t="shared" si="76"/>
        <v>0</v>
      </c>
      <c r="BP40" s="81">
        <f t="shared" si="76"/>
        <v>0</v>
      </c>
    </row>
    <row r="41" spans="1:68" s="292" customFormat="1" ht="17.25" customHeight="1">
      <c r="A41" s="938"/>
      <c r="B41" s="1" t="s">
        <v>15</v>
      </c>
      <c r="C41" s="293"/>
      <c r="D41" s="293"/>
      <c r="E41" s="293"/>
      <c r="F41" s="294"/>
      <c r="G41" s="721"/>
      <c r="H41" s="721"/>
      <c r="I41" s="822"/>
      <c r="J41" s="917"/>
      <c r="K41" s="917"/>
      <c r="L41" s="75">
        <v>10164.5</v>
      </c>
      <c r="M41" s="75">
        <v>0</v>
      </c>
      <c r="N41" s="75">
        <v>4946.26</v>
      </c>
      <c r="O41" s="75">
        <v>0</v>
      </c>
      <c r="P41" s="75">
        <v>0</v>
      </c>
      <c r="Q41" s="75">
        <v>0</v>
      </c>
      <c r="R41" s="75">
        <v>0</v>
      </c>
      <c r="S41" s="75">
        <v>0</v>
      </c>
      <c r="T41" s="75">
        <v>0</v>
      </c>
      <c r="U41" s="75">
        <v>0</v>
      </c>
      <c r="V41" s="75">
        <v>0</v>
      </c>
      <c r="W41" s="75">
        <v>0</v>
      </c>
      <c r="X41" s="75">
        <v>0</v>
      </c>
      <c r="Y41" s="75">
        <v>0</v>
      </c>
      <c r="Z41" s="75">
        <v>0</v>
      </c>
      <c r="AA41" s="75">
        <v>0</v>
      </c>
      <c r="AB41" s="75">
        <v>0</v>
      </c>
      <c r="AC41" s="75">
        <v>0</v>
      </c>
      <c r="AD41" s="75">
        <v>0</v>
      </c>
      <c r="AE41" s="75">
        <v>0</v>
      </c>
      <c r="AF41" s="75">
        <v>0</v>
      </c>
      <c r="AG41" s="75">
        <v>0</v>
      </c>
      <c r="AH41" s="75">
        <v>0</v>
      </c>
      <c r="AI41" s="75">
        <v>0</v>
      </c>
      <c r="AJ41" s="295">
        <v>0</v>
      </c>
      <c r="AK41" s="295">
        <v>0</v>
      </c>
      <c r="AL41" s="75">
        <v>0</v>
      </c>
      <c r="AM41" s="75">
        <v>0</v>
      </c>
      <c r="AN41" s="75">
        <v>0</v>
      </c>
      <c r="AO41" s="1006"/>
      <c r="AP41" s="75">
        <v>0</v>
      </c>
      <c r="AQ41" s="75"/>
      <c r="AR41" s="75"/>
      <c r="AS41" s="75"/>
      <c r="AT41" s="75"/>
      <c r="AU41" s="75"/>
      <c r="AV41" s="75"/>
      <c r="AW41" s="263">
        <v>0</v>
      </c>
      <c r="AX41" s="263">
        <v>0</v>
      </c>
      <c r="AY41" s="75">
        <v>0</v>
      </c>
      <c r="AZ41" s="75">
        <v>0</v>
      </c>
      <c r="BA41" s="75">
        <v>0</v>
      </c>
      <c r="BB41" s="75">
        <v>0</v>
      </c>
      <c r="BC41" s="295">
        <v>0</v>
      </c>
      <c r="BD41" s="295">
        <v>0</v>
      </c>
      <c r="BE41" s="75">
        <v>0</v>
      </c>
      <c r="BF41" s="75">
        <v>0</v>
      </c>
      <c r="BG41" s="75">
        <v>0</v>
      </c>
      <c r="BH41" s="306"/>
      <c r="BI41" s="125">
        <v>0</v>
      </c>
      <c r="BJ41" s="126">
        <v>0</v>
      </c>
      <c r="BK41" s="126">
        <v>0</v>
      </c>
      <c r="BL41" s="126">
        <v>0</v>
      </c>
      <c r="BM41" s="125">
        <v>0</v>
      </c>
      <c r="BN41" s="126">
        <v>0</v>
      </c>
      <c r="BO41" s="126">
        <v>0</v>
      </c>
      <c r="BP41" s="126">
        <v>0</v>
      </c>
    </row>
    <row r="42" spans="1:68" ht="15.75" customHeight="1">
      <c r="A42" s="939"/>
      <c r="B42" s="1" t="s">
        <v>32</v>
      </c>
      <c r="C42" s="30"/>
      <c r="D42" s="30"/>
      <c r="E42" s="30"/>
      <c r="F42" s="32"/>
      <c r="G42" s="721">
        <v>2020</v>
      </c>
      <c r="H42" s="721">
        <v>2021</v>
      </c>
      <c r="I42" s="821"/>
      <c r="J42" s="883"/>
      <c r="K42" s="883"/>
      <c r="L42" s="75">
        <v>250336.75</v>
      </c>
      <c r="M42" s="75">
        <v>0</v>
      </c>
      <c r="N42" s="75">
        <v>64997.45</v>
      </c>
      <c r="O42" s="75">
        <v>69943.710000000006</v>
      </c>
      <c r="P42" s="75">
        <v>116395.59</v>
      </c>
      <c r="Q42" s="75">
        <v>0</v>
      </c>
      <c r="R42" s="75">
        <v>0</v>
      </c>
      <c r="S42" s="75">
        <v>0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75">
        <v>0</v>
      </c>
      <c r="Z42" s="75">
        <v>0</v>
      </c>
      <c r="AA42" s="75">
        <v>0</v>
      </c>
      <c r="AB42" s="75">
        <v>0</v>
      </c>
      <c r="AC42" s="75">
        <v>0</v>
      </c>
      <c r="AD42" s="75">
        <v>0</v>
      </c>
      <c r="AE42" s="75">
        <v>0</v>
      </c>
      <c r="AF42" s="75">
        <v>0</v>
      </c>
      <c r="AG42" s="75">
        <v>0</v>
      </c>
      <c r="AH42" s="75">
        <v>0</v>
      </c>
      <c r="AI42" s="75">
        <v>0</v>
      </c>
      <c r="AJ42" s="75">
        <v>0</v>
      </c>
      <c r="AK42" s="75">
        <v>0</v>
      </c>
      <c r="AL42" s="75">
        <v>0</v>
      </c>
      <c r="AM42" s="75">
        <v>0</v>
      </c>
      <c r="AN42" s="75">
        <v>0</v>
      </c>
      <c r="AO42" s="1007"/>
      <c r="AP42" s="75">
        <v>0</v>
      </c>
      <c r="AQ42" s="75">
        <v>0</v>
      </c>
      <c r="AR42" s="75">
        <v>0</v>
      </c>
      <c r="AS42" s="75">
        <v>0</v>
      </c>
      <c r="AT42" s="75">
        <v>0</v>
      </c>
      <c r="AU42" s="75">
        <v>0</v>
      </c>
      <c r="AV42" s="75">
        <v>0</v>
      </c>
      <c r="AW42" s="263">
        <v>0</v>
      </c>
      <c r="AX42" s="263">
        <v>0</v>
      </c>
      <c r="AY42" s="75">
        <v>0</v>
      </c>
      <c r="AZ42" s="75">
        <v>0</v>
      </c>
      <c r="BA42" s="75">
        <v>0</v>
      </c>
      <c r="BB42" s="75">
        <v>0</v>
      </c>
      <c r="BC42" s="75">
        <v>0</v>
      </c>
      <c r="BD42" s="75">
        <v>0</v>
      </c>
      <c r="BE42" s="75">
        <v>0</v>
      </c>
      <c r="BF42" s="75">
        <v>0</v>
      </c>
      <c r="BG42" s="75">
        <v>0</v>
      </c>
      <c r="BH42" s="306"/>
      <c r="BI42" s="125">
        <v>0</v>
      </c>
      <c r="BJ42" s="126">
        <v>0</v>
      </c>
      <c r="BK42" s="126">
        <v>0</v>
      </c>
      <c r="BL42" s="126">
        <v>0</v>
      </c>
      <c r="BM42" s="125">
        <v>0</v>
      </c>
      <c r="BN42" s="126">
        <v>0</v>
      </c>
      <c r="BO42" s="126">
        <v>0</v>
      </c>
      <c r="BP42" s="126">
        <v>0</v>
      </c>
    </row>
    <row r="43" spans="1:68" ht="56.25" hidden="1" customHeight="1">
      <c r="A43" s="937" t="s">
        <v>37</v>
      </c>
      <c r="B43" s="80" t="s">
        <v>36</v>
      </c>
      <c r="C43" s="30"/>
      <c r="D43" s="30"/>
      <c r="E43" s="30"/>
      <c r="F43" s="32"/>
      <c r="G43" s="721"/>
      <c r="H43" s="721"/>
      <c r="I43" s="820" t="s">
        <v>19</v>
      </c>
      <c r="J43" s="33">
        <v>344081.28</v>
      </c>
      <c r="K43" s="809">
        <v>0</v>
      </c>
      <c r="L43" s="79">
        <f>L44+L46</f>
        <v>368435.18</v>
      </c>
      <c r="M43" s="79">
        <f t="shared" ref="M43:AN43" si="77">M44+M46</f>
        <v>20243.12</v>
      </c>
      <c r="N43" s="79">
        <f t="shared" si="77"/>
        <v>13773.23</v>
      </c>
      <c r="O43" s="79">
        <f t="shared" si="77"/>
        <v>8942.9699999999993</v>
      </c>
      <c r="P43" s="79">
        <f t="shared" si="77"/>
        <v>12942.97</v>
      </c>
      <c r="Q43" s="79">
        <f t="shared" si="77"/>
        <v>0</v>
      </c>
      <c r="R43" s="79">
        <f t="shared" si="77"/>
        <v>0</v>
      </c>
      <c r="S43" s="79">
        <f t="shared" si="77"/>
        <v>0</v>
      </c>
      <c r="T43" s="79">
        <f t="shared" si="77"/>
        <v>0</v>
      </c>
      <c r="U43" s="79">
        <f t="shared" si="77"/>
        <v>0</v>
      </c>
      <c r="V43" s="79">
        <f t="shared" si="77"/>
        <v>0</v>
      </c>
      <c r="W43" s="79">
        <f t="shared" si="77"/>
        <v>0</v>
      </c>
      <c r="X43" s="79">
        <f t="shared" si="77"/>
        <v>0</v>
      </c>
      <c r="Y43" s="79">
        <f t="shared" si="77"/>
        <v>0</v>
      </c>
      <c r="Z43" s="79">
        <f t="shared" si="77"/>
        <v>0</v>
      </c>
      <c r="AA43" s="79">
        <f t="shared" si="77"/>
        <v>0</v>
      </c>
      <c r="AB43" s="79">
        <f t="shared" si="77"/>
        <v>0</v>
      </c>
      <c r="AC43" s="79">
        <f t="shared" si="77"/>
        <v>0</v>
      </c>
      <c r="AD43" s="79">
        <f t="shared" si="77"/>
        <v>0</v>
      </c>
      <c r="AE43" s="79">
        <f t="shared" si="77"/>
        <v>0</v>
      </c>
      <c r="AF43" s="79">
        <f t="shared" si="77"/>
        <v>0</v>
      </c>
      <c r="AG43" s="79">
        <f t="shared" si="77"/>
        <v>0</v>
      </c>
      <c r="AH43" s="79">
        <f t="shared" si="77"/>
        <v>0</v>
      </c>
      <c r="AI43" s="79">
        <f t="shared" si="77"/>
        <v>0</v>
      </c>
      <c r="AJ43" s="79">
        <f>P43-Q43</f>
        <v>12942.97</v>
      </c>
      <c r="AK43" s="79">
        <f>AJ43</f>
        <v>12942.97</v>
      </c>
      <c r="AL43" s="79">
        <f>ROUND((Q43*100%/P43*100),2)</f>
        <v>0</v>
      </c>
      <c r="AM43" s="79">
        <f t="shared" si="77"/>
        <v>0</v>
      </c>
      <c r="AN43" s="79">
        <f t="shared" si="77"/>
        <v>0</v>
      </c>
      <c r="AO43" s="406"/>
      <c r="AP43" s="79">
        <f t="shared" ref="AP43:BG43" si="78">AP44+AP45</f>
        <v>0</v>
      </c>
      <c r="AQ43" s="79">
        <f t="shared" si="78"/>
        <v>0</v>
      </c>
      <c r="AR43" s="79">
        <f t="shared" si="78"/>
        <v>0</v>
      </c>
      <c r="AS43" s="79">
        <f t="shared" si="78"/>
        <v>0</v>
      </c>
      <c r="AT43" s="79">
        <f t="shared" si="78"/>
        <v>0</v>
      </c>
      <c r="AU43" s="79">
        <f t="shared" si="78"/>
        <v>0</v>
      </c>
      <c r="AV43" s="79">
        <f t="shared" si="78"/>
        <v>0</v>
      </c>
      <c r="AW43" s="79">
        <f t="shared" si="78"/>
        <v>0</v>
      </c>
      <c r="AX43" s="79">
        <f t="shared" si="78"/>
        <v>0</v>
      </c>
      <c r="AY43" s="79">
        <f t="shared" si="78"/>
        <v>0</v>
      </c>
      <c r="AZ43" s="79">
        <f t="shared" si="78"/>
        <v>0</v>
      </c>
      <c r="BA43" s="79">
        <f t="shared" si="78"/>
        <v>0</v>
      </c>
      <c r="BB43" s="79">
        <f t="shared" si="78"/>
        <v>0</v>
      </c>
      <c r="BC43" s="79" t="e">
        <f>#REF!-AP43</f>
        <v>#REF!</v>
      </c>
      <c r="BD43" s="79" t="e">
        <f>BC43</f>
        <v>#REF!</v>
      </c>
      <c r="BE43" s="79" t="e">
        <f>ROUND((AP43*100%/#REF!*100),2)</f>
        <v>#REF!</v>
      </c>
      <c r="BF43" s="79">
        <f t="shared" si="78"/>
        <v>0</v>
      </c>
      <c r="BG43" s="79">
        <f t="shared" si="78"/>
        <v>0</v>
      </c>
      <c r="BH43" s="307"/>
      <c r="BI43" s="81">
        <f t="shared" ref="BI43:BP43" si="79">BI44+BI45</f>
        <v>0</v>
      </c>
      <c r="BJ43" s="81">
        <f t="shared" si="79"/>
        <v>0</v>
      </c>
      <c r="BK43" s="81">
        <f t="shared" si="79"/>
        <v>0</v>
      </c>
      <c r="BL43" s="81">
        <f t="shared" si="79"/>
        <v>0</v>
      </c>
      <c r="BM43" s="81">
        <f t="shared" si="79"/>
        <v>0</v>
      </c>
      <c r="BN43" s="81">
        <f t="shared" si="79"/>
        <v>0</v>
      </c>
      <c r="BO43" s="81">
        <f t="shared" si="79"/>
        <v>0</v>
      </c>
      <c r="BP43" s="81">
        <f t="shared" si="79"/>
        <v>0</v>
      </c>
    </row>
    <row r="44" spans="1:68" ht="15" hidden="1" customHeight="1">
      <c r="A44" s="938"/>
      <c r="B44" s="1" t="s">
        <v>15</v>
      </c>
      <c r="C44" s="30"/>
      <c r="D44" s="30"/>
      <c r="E44" s="30"/>
      <c r="F44" s="32"/>
      <c r="G44" s="721">
        <v>2019</v>
      </c>
      <c r="H44" s="721">
        <v>2019</v>
      </c>
      <c r="I44" s="822"/>
      <c r="J44" s="16">
        <v>31543.64</v>
      </c>
      <c r="K44" s="810"/>
      <c r="L44" s="47">
        <f>SUM(M44:O44)</f>
        <v>31543.64</v>
      </c>
      <c r="M44" s="4">
        <v>20243.12</v>
      </c>
      <c r="N44" s="4">
        <v>11300.52</v>
      </c>
      <c r="O44" s="4">
        <v>0</v>
      </c>
      <c r="P44" s="4">
        <v>0</v>
      </c>
      <c r="Q44" s="4">
        <f>Q45</f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f>X45</f>
        <v>0</v>
      </c>
      <c r="Y44" s="4">
        <f>Y45</f>
        <v>0</v>
      </c>
      <c r="Z44" s="4">
        <f>Z45</f>
        <v>0</v>
      </c>
      <c r="AA44" s="4">
        <v>0</v>
      </c>
      <c r="AB44" s="4">
        <v>0</v>
      </c>
      <c r="AC44" s="4">
        <v>0</v>
      </c>
      <c r="AD44" s="4">
        <f>AD45</f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698"/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738"/>
      <c r="BI44" s="125">
        <v>0</v>
      </c>
      <c r="BJ44" s="126">
        <v>0</v>
      </c>
      <c r="BK44" s="126">
        <v>0</v>
      </c>
      <c r="BL44" s="126">
        <v>0</v>
      </c>
      <c r="BM44" s="125">
        <v>0</v>
      </c>
      <c r="BN44" s="126">
        <v>0</v>
      </c>
      <c r="BO44" s="126">
        <v>0</v>
      </c>
      <c r="BP44" s="126">
        <v>0</v>
      </c>
    </row>
    <row r="45" spans="1:68" s="100" customFormat="1" ht="15" hidden="1" customHeight="1">
      <c r="A45" s="938"/>
      <c r="B45" s="105" t="s">
        <v>301</v>
      </c>
      <c r="C45" s="506"/>
      <c r="D45" s="506"/>
      <c r="E45" s="506"/>
      <c r="F45" s="507"/>
      <c r="G45" s="508"/>
      <c r="H45" s="508"/>
      <c r="I45" s="822"/>
      <c r="J45" s="110"/>
      <c r="K45" s="810"/>
      <c r="L45" s="99"/>
      <c r="M45" s="275"/>
      <c r="N45" s="275"/>
      <c r="O45" s="275"/>
      <c r="P45" s="275"/>
      <c r="Q45" s="275">
        <f>Y45</f>
        <v>0</v>
      </c>
      <c r="R45" s="275"/>
      <c r="S45" s="275"/>
      <c r="T45" s="275"/>
      <c r="U45" s="275"/>
      <c r="V45" s="275"/>
      <c r="W45" s="275"/>
      <c r="X45" s="275">
        <v>0</v>
      </c>
      <c r="Y45" s="275">
        <v>0</v>
      </c>
      <c r="Z45" s="275">
        <f>AD45</f>
        <v>0</v>
      </c>
      <c r="AA45" s="275"/>
      <c r="AB45" s="275"/>
      <c r="AC45" s="275"/>
      <c r="AD45" s="275">
        <v>0</v>
      </c>
      <c r="AE45" s="275"/>
      <c r="AF45" s="275"/>
      <c r="AG45" s="275"/>
      <c r="AH45" s="275"/>
      <c r="AI45" s="275"/>
      <c r="AJ45" s="275"/>
      <c r="AK45" s="275"/>
      <c r="AL45" s="275"/>
      <c r="AM45" s="275"/>
      <c r="AN45" s="275"/>
      <c r="AO45" s="509"/>
      <c r="AP45" s="47">
        <v>0</v>
      </c>
      <c r="AQ45" s="47">
        <v>0</v>
      </c>
      <c r="AR45" s="47">
        <v>0</v>
      </c>
      <c r="AS45" s="47">
        <v>0</v>
      </c>
      <c r="AT45" s="47">
        <v>0</v>
      </c>
      <c r="AU45" s="47">
        <v>0</v>
      </c>
      <c r="AV45" s="47">
        <v>0</v>
      </c>
      <c r="AW45" s="47">
        <v>0</v>
      </c>
      <c r="AX45" s="47">
        <v>0</v>
      </c>
      <c r="AY45" s="47">
        <v>0</v>
      </c>
      <c r="AZ45" s="47">
        <v>0</v>
      </c>
      <c r="BA45" s="47">
        <v>0</v>
      </c>
      <c r="BB45" s="47">
        <v>0</v>
      </c>
      <c r="BC45" s="47">
        <v>0</v>
      </c>
      <c r="BD45" s="47">
        <v>0</v>
      </c>
      <c r="BE45" s="47">
        <v>0</v>
      </c>
      <c r="BF45" s="47">
        <v>0</v>
      </c>
      <c r="BG45" s="47">
        <v>0</v>
      </c>
      <c r="BH45" s="301"/>
      <c r="BI45" s="125">
        <v>0</v>
      </c>
      <c r="BJ45" s="126">
        <v>0</v>
      </c>
      <c r="BK45" s="126">
        <v>0</v>
      </c>
      <c r="BL45" s="126">
        <v>0</v>
      </c>
      <c r="BM45" s="125">
        <v>0</v>
      </c>
      <c r="BN45" s="126">
        <v>0</v>
      </c>
      <c r="BO45" s="126">
        <v>0</v>
      </c>
      <c r="BP45" s="126">
        <v>0</v>
      </c>
    </row>
    <row r="46" spans="1:68" ht="14.25" hidden="1" customHeight="1">
      <c r="A46" s="939"/>
      <c r="B46" s="1" t="s">
        <v>16</v>
      </c>
      <c r="C46" s="30"/>
      <c r="D46" s="30"/>
      <c r="E46" s="30"/>
      <c r="F46" s="32"/>
      <c r="G46" s="721">
        <v>2020</v>
      </c>
      <c r="H46" s="721">
        <v>2021</v>
      </c>
      <c r="I46" s="821"/>
      <c r="J46" s="16">
        <v>312537.64</v>
      </c>
      <c r="K46" s="811"/>
      <c r="L46" s="47">
        <v>336891.54</v>
      </c>
      <c r="M46" s="4">
        <v>0</v>
      </c>
      <c r="N46" s="4">
        <v>2472.71</v>
      </c>
      <c r="O46" s="4">
        <v>8942.9699999999993</v>
      </c>
      <c r="P46" s="4">
        <v>12942.97</v>
      </c>
      <c r="Q46" s="47">
        <v>0</v>
      </c>
      <c r="R46" s="47">
        <v>0</v>
      </c>
      <c r="S46" s="47">
        <v>0</v>
      </c>
      <c r="T46" s="47">
        <v>0</v>
      </c>
      <c r="U46" s="47">
        <v>0</v>
      </c>
      <c r="V46" s="47">
        <v>0</v>
      </c>
      <c r="W46" s="47">
        <v>0</v>
      </c>
      <c r="X46" s="47">
        <v>0</v>
      </c>
      <c r="Y46" s="47">
        <v>0</v>
      </c>
      <c r="Z46" s="47">
        <v>0</v>
      </c>
      <c r="AA46" s="47">
        <v>0</v>
      </c>
      <c r="AB46" s="47">
        <v>0</v>
      </c>
      <c r="AC46" s="47">
        <v>0</v>
      </c>
      <c r="AD46" s="47">
        <v>0</v>
      </c>
      <c r="AE46" s="47">
        <v>0</v>
      </c>
      <c r="AF46" s="47">
        <v>0</v>
      </c>
      <c r="AG46" s="47">
        <v>0</v>
      </c>
      <c r="AH46" s="47">
        <v>0</v>
      </c>
      <c r="AI46" s="47">
        <v>0</v>
      </c>
      <c r="AJ46" s="47">
        <v>0</v>
      </c>
      <c r="AK46" s="47">
        <v>0</v>
      </c>
      <c r="AL46" s="47">
        <v>0</v>
      </c>
      <c r="AM46" s="47">
        <v>0</v>
      </c>
      <c r="AN46" s="47">
        <v>0</v>
      </c>
      <c r="AO46" s="403"/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P46" s="4">
        <v>0</v>
      </c>
    </row>
    <row r="47" spans="1:68" ht="53.25" customHeight="1">
      <c r="A47" s="937" t="s">
        <v>22</v>
      </c>
      <c r="B47" s="889" t="s">
        <v>49</v>
      </c>
      <c r="C47" s="890"/>
      <c r="D47" s="890"/>
      <c r="E47" s="890"/>
      <c r="F47" s="890"/>
      <c r="G47" s="890"/>
      <c r="H47" s="891"/>
      <c r="I47" s="15" t="s">
        <v>19</v>
      </c>
      <c r="J47" s="16">
        <v>0</v>
      </c>
      <c r="K47" s="16">
        <v>0</v>
      </c>
      <c r="L47" s="3">
        <v>0</v>
      </c>
      <c r="M47" s="325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698"/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738"/>
      <c r="BI47" s="125">
        <v>0</v>
      </c>
      <c r="BJ47" s="126">
        <v>0</v>
      </c>
      <c r="BK47" s="126">
        <v>0</v>
      </c>
      <c r="BL47" s="126">
        <v>0</v>
      </c>
      <c r="BM47" s="125">
        <v>0</v>
      </c>
      <c r="BN47" s="126">
        <v>0</v>
      </c>
      <c r="BO47" s="126">
        <v>0</v>
      </c>
      <c r="BP47" s="126">
        <v>0</v>
      </c>
    </row>
    <row r="48" spans="1:68" ht="39" customHeight="1">
      <c r="A48" s="938"/>
      <c r="B48" s="892"/>
      <c r="C48" s="893"/>
      <c r="D48" s="893"/>
      <c r="E48" s="893"/>
      <c r="F48" s="893"/>
      <c r="G48" s="893"/>
      <c r="H48" s="894"/>
      <c r="I48" s="15" t="s">
        <v>20</v>
      </c>
      <c r="J48" s="16">
        <v>0</v>
      </c>
      <c r="K48" s="16">
        <v>0</v>
      </c>
      <c r="L48" s="3">
        <f>L51</f>
        <v>4674.0700000000006</v>
      </c>
      <c r="M48" s="3">
        <f t="shared" ref="M48:AB48" si="80">M51</f>
        <v>0</v>
      </c>
      <c r="N48" s="47">
        <f t="shared" si="80"/>
        <v>0</v>
      </c>
      <c r="O48" s="47">
        <f t="shared" si="80"/>
        <v>0</v>
      </c>
      <c r="P48" s="47">
        <f t="shared" si="80"/>
        <v>521.89</v>
      </c>
      <c r="Q48" s="47">
        <f t="shared" si="80"/>
        <v>7.2</v>
      </c>
      <c r="R48" s="47">
        <f t="shared" si="80"/>
        <v>0</v>
      </c>
      <c r="S48" s="47">
        <f t="shared" si="80"/>
        <v>0</v>
      </c>
      <c r="T48" s="47">
        <f t="shared" si="80"/>
        <v>7.2</v>
      </c>
      <c r="U48" s="47">
        <f t="shared" si="80"/>
        <v>7.2</v>
      </c>
      <c r="V48" s="47">
        <f t="shared" si="80"/>
        <v>0</v>
      </c>
      <c r="W48" s="47">
        <f t="shared" si="80"/>
        <v>0</v>
      </c>
      <c r="X48" s="47">
        <f t="shared" si="80"/>
        <v>0</v>
      </c>
      <c r="Y48" s="47">
        <f t="shared" si="80"/>
        <v>0</v>
      </c>
      <c r="Z48" s="47">
        <f t="shared" si="80"/>
        <v>7.2</v>
      </c>
      <c r="AA48" s="47">
        <f t="shared" si="80"/>
        <v>0</v>
      </c>
      <c r="AB48" s="47">
        <f t="shared" si="80"/>
        <v>7.2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698"/>
      <c r="AP48" s="4">
        <f t="shared" ref="AP48:BG48" si="81">AP50</f>
        <v>0</v>
      </c>
      <c r="AQ48" s="4">
        <f t="shared" si="81"/>
        <v>0</v>
      </c>
      <c r="AR48" s="4">
        <f t="shared" si="81"/>
        <v>0</v>
      </c>
      <c r="AS48" s="4">
        <f t="shared" si="81"/>
        <v>0</v>
      </c>
      <c r="AT48" s="4">
        <f t="shared" si="81"/>
        <v>0</v>
      </c>
      <c r="AU48" s="4">
        <f t="shared" si="81"/>
        <v>0</v>
      </c>
      <c r="AV48" s="4">
        <f t="shared" si="81"/>
        <v>0</v>
      </c>
      <c r="AW48" s="4">
        <f t="shared" si="81"/>
        <v>0</v>
      </c>
      <c r="AX48" s="4">
        <f t="shared" si="81"/>
        <v>0</v>
      </c>
      <c r="AY48" s="4">
        <f t="shared" si="81"/>
        <v>0</v>
      </c>
      <c r="AZ48" s="4">
        <f t="shared" si="81"/>
        <v>0</v>
      </c>
      <c r="BA48" s="4">
        <f t="shared" si="81"/>
        <v>0</v>
      </c>
      <c r="BB48" s="4">
        <f t="shared" si="81"/>
        <v>0</v>
      </c>
      <c r="BC48" s="4" t="e">
        <f t="shared" si="81"/>
        <v>#REF!</v>
      </c>
      <c r="BD48" s="4" t="e">
        <f t="shared" si="81"/>
        <v>#REF!</v>
      </c>
      <c r="BE48" s="4">
        <f t="shared" si="81"/>
        <v>0</v>
      </c>
      <c r="BF48" s="4">
        <f t="shared" si="81"/>
        <v>0</v>
      </c>
      <c r="BG48" s="4">
        <f t="shared" si="81"/>
        <v>0</v>
      </c>
      <c r="BH48" s="738"/>
      <c r="BI48" s="125">
        <v>0</v>
      </c>
      <c r="BJ48" s="126">
        <v>0</v>
      </c>
      <c r="BK48" s="126">
        <v>0</v>
      </c>
      <c r="BL48" s="126">
        <v>0</v>
      </c>
      <c r="BM48" s="125">
        <v>0</v>
      </c>
      <c r="BN48" s="126">
        <v>0</v>
      </c>
      <c r="BO48" s="126">
        <v>0</v>
      </c>
      <c r="BP48" s="126">
        <v>0</v>
      </c>
    </row>
    <row r="49" spans="1:68" ht="27.75" customHeight="1">
      <c r="A49" s="938"/>
      <c r="B49" s="892"/>
      <c r="C49" s="893"/>
      <c r="D49" s="893"/>
      <c r="E49" s="893"/>
      <c r="F49" s="893"/>
      <c r="G49" s="893"/>
      <c r="H49" s="894"/>
      <c r="I49" s="15" t="s">
        <v>10</v>
      </c>
      <c r="J49" s="16">
        <f t="shared" ref="J49:AN49" si="82">J51</f>
        <v>23417.360000000001</v>
      </c>
      <c r="K49" s="16">
        <f t="shared" si="82"/>
        <v>0</v>
      </c>
      <c r="L49" s="3">
        <v>0</v>
      </c>
      <c r="M49" s="325">
        <f t="shared" si="82"/>
        <v>0</v>
      </c>
      <c r="N49" s="4">
        <f t="shared" si="82"/>
        <v>0</v>
      </c>
      <c r="O49" s="4">
        <f t="shared" si="82"/>
        <v>0</v>
      </c>
      <c r="P49" s="4">
        <v>0</v>
      </c>
      <c r="Q49" s="4">
        <v>0</v>
      </c>
      <c r="R49" s="4">
        <f t="shared" si="82"/>
        <v>0</v>
      </c>
      <c r="S49" s="4">
        <f t="shared" si="82"/>
        <v>0</v>
      </c>
      <c r="T49" s="4">
        <f>0</f>
        <v>0</v>
      </c>
      <c r="U49" s="4">
        <v>0</v>
      </c>
      <c r="V49" s="4">
        <f t="shared" si="82"/>
        <v>0</v>
      </c>
      <c r="W49" s="4">
        <f t="shared" si="82"/>
        <v>0</v>
      </c>
      <c r="X49" s="4">
        <f t="shared" si="82"/>
        <v>0</v>
      </c>
      <c r="Y49" s="4">
        <f t="shared" si="82"/>
        <v>0</v>
      </c>
      <c r="Z49" s="4">
        <f>0</f>
        <v>0</v>
      </c>
      <c r="AA49" s="4">
        <f t="shared" si="82"/>
        <v>0</v>
      </c>
      <c r="AB49" s="4">
        <v>0</v>
      </c>
      <c r="AC49" s="4">
        <f t="shared" ref="AC49:AD49" si="83">AC51</f>
        <v>0</v>
      </c>
      <c r="AD49" s="4">
        <f t="shared" si="83"/>
        <v>0</v>
      </c>
      <c r="AE49" s="4">
        <f t="shared" si="82"/>
        <v>0</v>
      </c>
      <c r="AF49" s="4">
        <f t="shared" si="82"/>
        <v>0</v>
      </c>
      <c r="AG49" s="4">
        <f t="shared" si="82"/>
        <v>0</v>
      </c>
      <c r="AH49" s="4">
        <f t="shared" si="82"/>
        <v>0</v>
      </c>
      <c r="AI49" s="4">
        <f t="shared" si="82"/>
        <v>0</v>
      </c>
      <c r="AJ49" s="4">
        <f t="shared" si="82"/>
        <v>514.68999999999994</v>
      </c>
      <c r="AK49" s="4">
        <f t="shared" si="82"/>
        <v>514.68999999999994</v>
      </c>
      <c r="AL49" s="4">
        <f t="shared" si="82"/>
        <v>0</v>
      </c>
      <c r="AM49" s="4">
        <f t="shared" si="82"/>
        <v>0</v>
      </c>
      <c r="AN49" s="4">
        <f t="shared" si="82"/>
        <v>0</v>
      </c>
      <c r="AO49" s="698"/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738"/>
      <c r="BI49" s="125">
        <v>0</v>
      </c>
      <c r="BJ49" s="126">
        <v>0</v>
      </c>
      <c r="BK49" s="126">
        <v>0</v>
      </c>
      <c r="BL49" s="126">
        <v>0</v>
      </c>
      <c r="BM49" s="125">
        <v>0</v>
      </c>
      <c r="BN49" s="126">
        <v>0</v>
      </c>
      <c r="BO49" s="126">
        <v>0</v>
      </c>
      <c r="BP49" s="126">
        <v>0</v>
      </c>
    </row>
    <row r="50" spans="1:68" ht="27.75" customHeight="1">
      <c r="A50" s="938"/>
      <c r="B50" s="895"/>
      <c r="C50" s="896"/>
      <c r="D50" s="896"/>
      <c r="E50" s="896"/>
      <c r="F50" s="896"/>
      <c r="G50" s="896"/>
      <c r="H50" s="897"/>
      <c r="I50" s="15" t="s">
        <v>9</v>
      </c>
      <c r="J50" s="16">
        <v>0</v>
      </c>
      <c r="K50" s="16">
        <v>0</v>
      </c>
      <c r="L50" s="3">
        <v>0</v>
      </c>
      <c r="M50" s="325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698"/>
      <c r="AP50" s="362">
        <v>0</v>
      </c>
      <c r="AQ50" s="362">
        <v>0</v>
      </c>
      <c r="AR50" s="362">
        <v>0</v>
      </c>
      <c r="AS50" s="362">
        <v>0</v>
      </c>
      <c r="AT50" s="362">
        <v>0</v>
      </c>
      <c r="AU50" s="362">
        <v>0</v>
      </c>
      <c r="AV50" s="362">
        <v>0</v>
      </c>
      <c r="AW50" s="362">
        <v>0</v>
      </c>
      <c r="AX50" s="362">
        <v>0</v>
      </c>
      <c r="AY50" s="362">
        <v>0</v>
      </c>
      <c r="AZ50" s="362">
        <v>0</v>
      </c>
      <c r="BA50" s="362">
        <v>0</v>
      </c>
      <c r="BB50" s="362">
        <v>0</v>
      </c>
      <c r="BC50" s="357" t="e">
        <f>#REF!-AP50</f>
        <v>#REF!</v>
      </c>
      <c r="BD50" s="357" t="e">
        <f>BC50</f>
        <v>#REF!</v>
      </c>
      <c r="BE50" s="362">
        <v>0</v>
      </c>
      <c r="BF50" s="362">
        <v>0</v>
      </c>
      <c r="BG50" s="362">
        <v>0</v>
      </c>
      <c r="BH50" s="363" t="s">
        <v>203</v>
      </c>
      <c r="BI50" s="125">
        <v>0</v>
      </c>
      <c r="BJ50" s="126">
        <v>0</v>
      </c>
      <c r="BK50" s="126">
        <v>0</v>
      </c>
      <c r="BL50" s="126">
        <v>0</v>
      </c>
      <c r="BM50" s="125">
        <v>0</v>
      </c>
      <c r="BN50" s="126">
        <v>0</v>
      </c>
      <c r="BO50" s="126">
        <v>0</v>
      </c>
      <c r="BP50" s="126">
        <v>0</v>
      </c>
    </row>
    <row r="51" spans="1:68" ht="57.75" customHeight="1">
      <c r="A51" s="965" t="s">
        <v>23</v>
      </c>
      <c r="B51" s="80" t="s">
        <v>285</v>
      </c>
      <c r="C51" s="720">
        <v>900</v>
      </c>
      <c r="D51" s="35">
        <v>28000</v>
      </c>
      <c r="E51" s="720"/>
      <c r="F51" s="36"/>
      <c r="G51" s="697"/>
      <c r="H51" s="697"/>
      <c r="I51" s="918" t="s">
        <v>20</v>
      </c>
      <c r="J51" s="882">
        <v>23417.360000000001</v>
      </c>
      <c r="K51" s="882">
        <v>0</v>
      </c>
      <c r="L51" s="81">
        <f>SUM(L52:L54)</f>
        <v>4674.0700000000006</v>
      </c>
      <c r="M51" s="81">
        <f t="shared" ref="M51:P51" si="84">SUM(M52:M54)</f>
        <v>0</v>
      </c>
      <c r="N51" s="81">
        <f t="shared" si="84"/>
        <v>0</v>
      </c>
      <c r="O51" s="81">
        <f t="shared" si="84"/>
        <v>0</v>
      </c>
      <c r="P51" s="81">
        <f t="shared" si="84"/>
        <v>521.89</v>
      </c>
      <c r="Q51" s="81">
        <f>Q52+Q54</f>
        <v>7.2</v>
      </c>
      <c r="R51" s="81">
        <f t="shared" ref="R51:AI51" si="85">R52+R54</f>
        <v>0</v>
      </c>
      <c r="S51" s="81">
        <f t="shared" si="85"/>
        <v>0</v>
      </c>
      <c r="T51" s="81">
        <f t="shared" si="85"/>
        <v>7.2</v>
      </c>
      <c r="U51" s="81">
        <f t="shared" si="85"/>
        <v>7.2</v>
      </c>
      <c r="V51" s="81">
        <f t="shared" si="85"/>
        <v>0</v>
      </c>
      <c r="W51" s="81">
        <f t="shared" si="85"/>
        <v>0</v>
      </c>
      <c r="X51" s="81">
        <f t="shared" si="85"/>
        <v>0</v>
      </c>
      <c r="Y51" s="81">
        <f t="shared" si="85"/>
        <v>0</v>
      </c>
      <c r="Z51" s="81">
        <f t="shared" si="85"/>
        <v>7.2</v>
      </c>
      <c r="AA51" s="81">
        <f t="shared" si="85"/>
        <v>0</v>
      </c>
      <c r="AB51" s="81">
        <f t="shared" si="85"/>
        <v>7.2</v>
      </c>
      <c r="AC51" s="81">
        <f t="shared" si="85"/>
        <v>0</v>
      </c>
      <c r="AD51" s="81">
        <f t="shared" si="85"/>
        <v>0</v>
      </c>
      <c r="AE51" s="81">
        <f t="shared" si="85"/>
        <v>0</v>
      </c>
      <c r="AF51" s="81">
        <f t="shared" si="85"/>
        <v>0</v>
      </c>
      <c r="AG51" s="81">
        <f t="shared" si="85"/>
        <v>0</v>
      </c>
      <c r="AH51" s="81">
        <f t="shared" si="85"/>
        <v>0</v>
      </c>
      <c r="AI51" s="81">
        <f t="shared" si="85"/>
        <v>0</v>
      </c>
      <c r="AJ51" s="82">
        <f>P51-Q51</f>
        <v>514.68999999999994</v>
      </c>
      <c r="AK51" s="82">
        <f>AJ51</f>
        <v>514.68999999999994</v>
      </c>
      <c r="AL51" s="81">
        <v>0</v>
      </c>
      <c r="AM51" s="81">
        <v>0</v>
      </c>
      <c r="AN51" s="81">
        <v>0</v>
      </c>
      <c r="AO51" s="432"/>
      <c r="AP51" s="75">
        <v>0</v>
      </c>
      <c r="AQ51" s="75">
        <v>0</v>
      </c>
      <c r="AR51" s="75">
        <v>0</v>
      </c>
      <c r="AS51" s="75">
        <v>0</v>
      </c>
      <c r="AT51" s="75">
        <v>0</v>
      </c>
      <c r="AU51" s="75">
        <v>0</v>
      </c>
      <c r="AV51" s="75">
        <v>0</v>
      </c>
      <c r="AW51" s="75">
        <v>0</v>
      </c>
      <c r="AX51" s="75">
        <v>0</v>
      </c>
      <c r="AY51" s="75">
        <v>0</v>
      </c>
      <c r="AZ51" s="75">
        <v>0</v>
      </c>
      <c r="BA51" s="75">
        <v>0</v>
      </c>
      <c r="BB51" s="75">
        <v>0</v>
      </c>
      <c r="BC51" s="75">
        <v>0</v>
      </c>
      <c r="BD51" s="75">
        <v>0</v>
      </c>
      <c r="BE51" s="75">
        <v>0</v>
      </c>
      <c r="BF51" s="75">
        <v>0</v>
      </c>
      <c r="BG51" s="75">
        <v>0</v>
      </c>
      <c r="BH51" s="306"/>
      <c r="BI51" s="81">
        <f t="shared" ref="BI51:BP51" si="86">BI52+BI53</f>
        <v>0</v>
      </c>
      <c r="BJ51" s="81">
        <f t="shared" si="86"/>
        <v>0</v>
      </c>
      <c r="BK51" s="81">
        <f t="shared" si="86"/>
        <v>0</v>
      </c>
      <c r="BL51" s="81">
        <f t="shared" si="86"/>
        <v>0</v>
      </c>
      <c r="BM51" s="81">
        <f t="shared" si="86"/>
        <v>0</v>
      </c>
      <c r="BN51" s="81">
        <f t="shared" si="86"/>
        <v>0</v>
      </c>
      <c r="BO51" s="81">
        <f t="shared" si="86"/>
        <v>0</v>
      </c>
      <c r="BP51" s="81">
        <f t="shared" si="86"/>
        <v>0</v>
      </c>
    </row>
    <row r="52" spans="1:68" s="292" customFormat="1" ht="15.75" customHeight="1">
      <c r="A52" s="966"/>
      <c r="B52" s="717" t="s">
        <v>15</v>
      </c>
      <c r="C52" s="725"/>
      <c r="D52" s="689"/>
      <c r="E52" s="725"/>
      <c r="F52" s="36"/>
      <c r="G52" s="697"/>
      <c r="H52" s="697"/>
      <c r="I52" s="919"/>
      <c r="J52" s="917"/>
      <c r="K52" s="917"/>
      <c r="L52" s="75">
        <v>521.89</v>
      </c>
      <c r="M52" s="75"/>
      <c r="N52" s="75">
        <v>0</v>
      </c>
      <c r="O52" s="76"/>
      <c r="P52" s="75">
        <v>521.89</v>
      </c>
      <c r="Q52" s="75">
        <f>Q53</f>
        <v>7.2</v>
      </c>
      <c r="R52" s="75"/>
      <c r="S52" s="75"/>
      <c r="T52" s="75">
        <f>T53</f>
        <v>7.2</v>
      </c>
      <c r="U52" s="75">
        <f>U53</f>
        <v>7.2</v>
      </c>
      <c r="V52" s="75">
        <f>V53</f>
        <v>0</v>
      </c>
      <c r="W52" s="75">
        <f t="shared" ref="W52:AG52" si="87">W53</f>
        <v>0</v>
      </c>
      <c r="X52" s="75">
        <f t="shared" si="87"/>
        <v>0</v>
      </c>
      <c r="Y52" s="75">
        <f t="shared" si="87"/>
        <v>0</v>
      </c>
      <c r="Z52" s="75">
        <f t="shared" si="87"/>
        <v>7.2</v>
      </c>
      <c r="AA52" s="75">
        <f t="shared" si="87"/>
        <v>0</v>
      </c>
      <c r="AB52" s="75">
        <f t="shared" si="87"/>
        <v>7.2</v>
      </c>
      <c r="AC52" s="75">
        <f t="shared" si="87"/>
        <v>0</v>
      </c>
      <c r="AD52" s="75">
        <f t="shared" si="87"/>
        <v>0</v>
      </c>
      <c r="AE52" s="75">
        <f t="shared" si="87"/>
        <v>0</v>
      </c>
      <c r="AF52" s="75">
        <f t="shared" si="87"/>
        <v>0</v>
      </c>
      <c r="AG52" s="75">
        <f t="shared" si="87"/>
        <v>0</v>
      </c>
      <c r="AH52" s="75"/>
      <c r="AI52" s="75"/>
      <c r="AJ52" s="295"/>
      <c r="AK52" s="295"/>
      <c r="AL52" s="75"/>
      <c r="AM52" s="75"/>
      <c r="AN52" s="75"/>
      <c r="AO52" s="690"/>
      <c r="AP52" s="75">
        <f>AP55+AP58</f>
        <v>0</v>
      </c>
      <c r="AQ52" s="75">
        <f t="shared" ref="AQ52:AR52" si="88">AQ55+AQ58</f>
        <v>0</v>
      </c>
      <c r="AR52" s="75">
        <f t="shared" si="88"/>
        <v>0</v>
      </c>
      <c r="AS52" s="75">
        <f>AS55+AS58</f>
        <v>0</v>
      </c>
      <c r="AT52" s="75">
        <f t="shared" ref="AT52:BG52" si="89">AT55+AT58</f>
        <v>0</v>
      </c>
      <c r="AU52" s="75">
        <f t="shared" si="89"/>
        <v>0</v>
      </c>
      <c r="AV52" s="75">
        <f t="shared" si="89"/>
        <v>0</v>
      </c>
      <c r="AW52" s="75">
        <f t="shared" si="89"/>
        <v>0</v>
      </c>
      <c r="AX52" s="75">
        <f t="shared" si="89"/>
        <v>0</v>
      </c>
      <c r="AY52" s="75">
        <f t="shared" si="89"/>
        <v>0</v>
      </c>
      <c r="AZ52" s="75">
        <f t="shared" si="89"/>
        <v>0</v>
      </c>
      <c r="BA52" s="75">
        <f t="shared" si="89"/>
        <v>0</v>
      </c>
      <c r="BB52" s="75">
        <f t="shared" si="89"/>
        <v>0</v>
      </c>
      <c r="BC52" s="75" t="e">
        <f t="shared" si="89"/>
        <v>#REF!</v>
      </c>
      <c r="BD52" s="75" t="e">
        <f t="shared" si="89"/>
        <v>#REF!</v>
      </c>
      <c r="BE52" s="75">
        <f t="shared" si="89"/>
        <v>0</v>
      </c>
      <c r="BF52" s="75">
        <f t="shared" si="89"/>
        <v>0</v>
      </c>
      <c r="BG52" s="75">
        <f t="shared" si="89"/>
        <v>0</v>
      </c>
      <c r="BH52" s="306"/>
      <c r="BI52" s="125">
        <v>0</v>
      </c>
      <c r="BJ52" s="126">
        <v>0</v>
      </c>
      <c r="BK52" s="126">
        <v>0</v>
      </c>
      <c r="BL52" s="126">
        <v>0</v>
      </c>
      <c r="BM52" s="125">
        <v>0</v>
      </c>
      <c r="BN52" s="126">
        <v>0</v>
      </c>
      <c r="BO52" s="126">
        <v>0</v>
      </c>
      <c r="BP52" s="126">
        <v>0</v>
      </c>
    </row>
    <row r="53" spans="1:68" s="273" customFormat="1" ht="15.75" hidden="1" customHeight="1">
      <c r="A53" s="966"/>
      <c r="B53" s="95" t="s">
        <v>350</v>
      </c>
      <c r="C53" s="107"/>
      <c r="D53" s="685"/>
      <c r="E53" s="107"/>
      <c r="F53" s="684"/>
      <c r="G53" s="267"/>
      <c r="H53" s="267"/>
      <c r="I53" s="919"/>
      <c r="J53" s="917"/>
      <c r="K53" s="917"/>
      <c r="L53" s="263"/>
      <c r="M53" s="263"/>
      <c r="N53" s="263"/>
      <c r="O53" s="686"/>
      <c r="P53" s="263"/>
      <c r="Q53" s="263">
        <f>U53</f>
        <v>7.2</v>
      </c>
      <c r="R53" s="263"/>
      <c r="S53" s="263"/>
      <c r="T53" s="263">
        <f>U53</f>
        <v>7.2</v>
      </c>
      <c r="U53" s="263">
        <v>7.2</v>
      </c>
      <c r="V53" s="263"/>
      <c r="W53" s="263"/>
      <c r="X53" s="263"/>
      <c r="Y53" s="263"/>
      <c r="Z53" s="263">
        <f>AB53</f>
        <v>7.2</v>
      </c>
      <c r="AA53" s="263"/>
      <c r="AB53" s="263">
        <v>7.2</v>
      </c>
      <c r="AC53" s="263"/>
      <c r="AD53" s="263"/>
      <c r="AE53" s="263">
        <f>AG53</f>
        <v>0</v>
      </c>
      <c r="AF53" s="263"/>
      <c r="AG53" s="263">
        <v>0</v>
      </c>
      <c r="AH53" s="263"/>
      <c r="AI53" s="263"/>
      <c r="AJ53" s="687"/>
      <c r="AK53" s="687"/>
      <c r="AL53" s="263"/>
      <c r="AM53" s="263"/>
      <c r="AN53" s="263"/>
      <c r="AO53" s="688"/>
      <c r="AP53" s="75">
        <v>0</v>
      </c>
      <c r="AQ53" s="75">
        <v>0</v>
      </c>
      <c r="AR53" s="75">
        <v>0</v>
      </c>
      <c r="AS53" s="75">
        <v>0</v>
      </c>
      <c r="AT53" s="75">
        <v>0</v>
      </c>
      <c r="AU53" s="75">
        <v>0</v>
      </c>
      <c r="AV53" s="75">
        <v>0</v>
      </c>
      <c r="AW53" s="75">
        <v>0</v>
      </c>
      <c r="AX53" s="75">
        <v>0</v>
      </c>
      <c r="AY53" s="75">
        <v>0</v>
      </c>
      <c r="AZ53" s="75">
        <v>0</v>
      </c>
      <c r="BA53" s="75">
        <v>0</v>
      </c>
      <c r="BB53" s="75">
        <v>0</v>
      </c>
      <c r="BC53" s="75">
        <v>0</v>
      </c>
      <c r="BD53" s="75">
        <v>0</v>
      </c>
      <c r="BE53" s="75">
        <v>0</v>
      </c>
      <c r="BF53" s="75">
        <v>0</v>
      </c>
      <c r="BG53" s="75">
        <v>0</v>
      </c>
      <c r="BH53" s="306"/>
      <c r="BI53" s="125">
        <v>0</v>
      </c>
      <c r="BJ53" s="126">
        <v>0</v>
      </c>
      <c r="BK53" s="126">
        <v>0</v>
      </c>
      <c r="BL53" s="126">
        <v>0</v>
      </c>
      <c r="BM53" s="125">
        <v>0</v>
      </c>
      <c r="BN53" s="126">
        <v>0</v>
      </c>
      <c r="BO53" s="126">
        <v>0</v>
      </c>
      <c r="BP53" s="126">
        <v>0</v>
      </c>
    </row>
    <row r="54" spans="1:68" ht="14.25" customHeight="1">
      <c r="A54" s="967"/>
      <c r="B54" s="717" t="s">
        <v>16</v>
      </c>
      <c r="C54" s="720"/>
      <c r="D54" s="720"/>
      <c r="E54" s="720"/>
      <c r="F54" s="36"/>
      <c r="G54" s="697">
        <v>2020</v>
      </c>
      <c r="H54" s="697">
        <v>2020</v>
      </c>
      <c r="I54" s="920"/>
      <c r="J54" s="883"/>
      <c r="K54" s="883"/>
      <c r="L54" s="500">
        <v>4152.18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5">
        <v>0</v>
      </c>
      <c r="V54" s="75">
        <v>0</v>
      </c>
      <c r="W54" s="75">
        <v>0</v>
      </c>
      <c r="X54" s="75">
        <v>0</v>
      </c>
      <c r="Y54" s="75">
        <v>0</v>
      </c>
      <c r="Z54" s="75">
        <v>0</v>
      </c>
      <c r="AA54" s="75">
        <v>0</v>
      </c>
      <c r="AB54" s="75">
        <v>0</v>
      </c>
      <c r="AC54" s="75">
        <v>0</v>
      </c>
      <c r="AD54" s="75">
        <v>0</v>
      </c>
      <c r="AE54" s="75">
        <v>0</v>
      </c>
      <c r="AF54" s="75">
        <v>0</v>
      </c>
      <c r="AG54" s="75">
        <v>0</v>
      </c>
      <c r="AH54" s="75">
        <v>0</v>
      </c>
      <c r="AI54" s="75">
        <v>0</v>
      </c>
      <c r="AJ54" s="75">
        <v>0</v>
      </c>
      <c r="AK54" s="75">
        <v>0</v>
      </c>
      <c r="AL54" s="75">
        <v>0</v>
      </c>
      <c r="AM54" s="75">
        <v>0</v>
      </c>
      <c r="AN54" s="75">
        <v>0</v>
      </c>
      <c r="AO54" s="75">
        <v>0</v>
      </c>
      <c r="AP54" s="75">
        <v>0</v>
      </c>
      <c r="AQ54" s="75">
        <v>0</v>
      </c>
      <c r="AR54" s="75">
        <v>0</v>
      </c>
      <c r="AS54" s="75">
        <v>0</v>
      </c>
      <c r="AT54" s="75">
        <v>0</v>
      </c>
      <c r="AU54" s="75">
        <v>0</v>
      </c>
      <c r="AV54" s="75">
        <v>0</v>
      </c>
      <c r="AW54" s="75">
        <v>0</v>
      </c>
      <c r="AX54" s="75">
        <v>0</v>
      </c>
      <c r="AY54" s="75">
        <v>0</v>
      </c>
      <c r="AZ54" s="75">
        <v>0</v>
      </c>
      <c r="BA54" s="75">
        <v>0</v>
      </c>
      <c r="BB54" s="75">
        <v>0</v>
      </c>
      <c r="BC54" s="75">
        <v>0</v>
      </c>
      <c r="BD54" s="75">
        <v>0</v>
      </c>
      <c r="BE54" s="75">
        <v>0</v>
      </c>
      <c r="BF54" s="75">
        <v>0</v>
      </c>
      <c r="BG54" s="75">
        <v>0</v>
      </c>
      <c r="BH54" s="75">
        <v>0</v>
      </c>
      <c r="BI54" s="75">
        <v>0</v>
      </c>
      <c r="BJ54" s="75">
        <v>0</v>
      </c>
      <c r="BK54" s="75">
        <v>0</v>
      </c>
      <c r="BL54" s="75">
        <v>0</v>
      </c>
      <c r="BM54" s="75">
        <v>0</v>
      </c>
      <c r="BN54" s="75">
        <v>0</v>
      </c>
      <c r="BO54" s="75">
        <v>0</v>
      </c>
      <c r="BP54" s="75">
        <v>0</v>
      </c>
    </row>
    <row r="55" spans="1:68" ht="49.5" customHeight="1">
      <c r="A55" s="833" t="s">
        <v>29</v>
      </c>
      <c r="B55" s="889" t="s">
        <v>62</v>
      </c>
      <c r="C55" s="890"/>
      <c r="D55" s="890"/>
      <c r="E55" s="890"/>
      <c r="F55" s="890"/>
      <c r="G55" s="890"/>
      <c r="H55" s="891"/>
      <c r="I55" s="37" t="s">
        <v>20</v>
      </c>
      <c r="J55" s="704">
        <f>L55</f>
        <v>924.64</v>
      </c>
      <c r="K55" s="704">
        <v>0</v>
      </c>
      <c r="L55" s="734">
        <f>L61</f>
        <v>924.64</v>
      </c>
      <c r="M55" s="75">
        <f>M58+M61</f>
        <v>0</v>
      </c>
      <c r="N55" s="75">
        <f t="shared" ref="N55:O55" si="90">N58+N61</f>
        <v>0</v>
      </c>
      <c r="O55" s="75">
        <f t="shared" si="90"/>
        <v>0</v>
      </c>
      <c r="P55" s="75">
        <f>P58+P61</f>
        <v>250</v>
      </c>
      <c r="Q55" s="75">
        <f>Q58+Q61</f>
        <v>131</v>
      </c>
      <c r="R55" s="75">
        <f t="shared" ref="R55:S55" si="91">R58+R61</f>
        <v>0</v>
      </c>
      <c r="S55" s="75">
        <f t="shared" si="91"/>
        <v>0</v>
      </c>
      <c r="T55" s="75">
        <f>T58+T61</f>
        <v>0</v>
      </c>
      <c r="U55" s="75">
        <f t="shared" ref="U55:AN55" si="92">U58+U61</f>
        <v>0</v>
      </c>
      <c r="V55" s="75">
        <f t="shared" si="92"/>
        <v>131</v>
      </c>
      <c r="W55" s="75">
        <f t="shared" si="92"/>
        <v>131</v>
      </c>
      <c r="X55" s="75">
        <f t="shared" si="92"/>
        <v>0</v>
      </c>
      <c r="Y55" s="75">
        <f t="shared" si="92"/>
        <v>0</v>
      </c>
      <c r="Z55" s="75">
        <f t="shared" si="92"/>
        <v>200</v>
      </c>
      <c r="AA55" s="75">
        <f t="shared" si="92"/>
        <v>0</v>
      </c>
      <c r="AB55" s="75">
        <f t="shared" si="92"/>
        <v>0</v>
      </c>
      <c r="AC55" s="75">
        <f t="shared" si="92"/>
        <v>200</v>
      </c>
      <c r="AD55" s="75">
        <f t="shared" si="92"/>
        <v>0</v>
      </c>
      <c r="AE55" s="75">
        <f t="shared" si="92"/>
        <v>0</v>
      </c>
      <c r="AF55" s="75">
        <f t="shared" ref="AF55:AI55" si="93">AF58+AF61</f>
        <v>0</v>
      </c>
      <c r="AG55" s="75">
        <f t="shared" si="93"/>
        <v>0</v>
      </c>
      <c r="AH55" s="75">
        <f t="shared" si="93"/>
        <v>0</v>
      </c>
      <c r="AI55" s="75">
        <f t="shared" si="93"/>
        <v>0</v>
      </c>
      <c r="AJ55" s="75">
        <f t="shared" si="92"/>
        <v>119</v>
      </c>
      <c r="AK55" s="75">
        <f t="shared" si="92"/>
        <v>119</v>
      </c>
      <c r="AL55" s="75">
        <f t="shared" si="92"/>
        <v>0</v>
      </c>
      <c r="AM55" s="75">
        <f t="shared" si="92"/>
        <v>0</v>
      </c>
      <c r="AN55" s="75">
        <f t="shared" si="92"/>
        <v>0</v>
      </c>
      <c r="AO55" s="408"/>
      <c r="AP55" s="362">
        <f>AP56+AP57</f>
        <v>0</v>
      </c>
      <c r="AQ55" s="362">
        <f t="shared" ref="AQ55:BG55" si="94">AQ56+AQ57</f>
        <v>0</v>
      </c>
      <c r="AR55" s="362">
        <f t="shared" si="94"/>
        <v>0</v>
      </c>
      <c r="AS55" s="362">
        <f t="shared" si="94"/>
        <v>0</v>
      </c>
      <c r="AT55" s="362">
        <f t="shared" si="94"/>
        <v>0</v>
      </c>
      <c r="AU55" s="362">
        <f t="shared" si="94"/>
        <v>0</v>
      </c>
      <c r="AV55" s="362">
        <f t="shared" si="94"/>
        <v>0</v>
      </c>
      <c r="AW55" s="362">
        <f t="shared" si="94"/>
        <v>0</v>
      </c>
      <c r="AX55" s="362">
        <f t="shared" si="94"/>
        <v>0</v>
      </c>
      <c r="AY55" s="362">
        <f t="shared" si="94"/>
        <v>0</v>
      </c>
      <c r="AZ55" s="362">
        <f t="shared" si="94"/>
        <v>0</v>
      </c>
      <c r="BA55" s="362">
        <f t="shared" si="94"/>
        <v>0</v>
      </c>
      <c r="BB55" s="362">
        <f t="shared" si="94"/>
        <v>0</v>
      </c>
      <c r="BC55" s="357" t="e">
        <f>#REF!-AP55</f>
        <v>#REF!</v>
      </c>
      <c r="BD55" s="357" t="e">
        <f>BC55</f>
        <v>#REF!</v>
      </c>
      <c r="BE55" s="364">
        <v>0</v>
      </c>
      <c r="BF55" s="362">
        <f t="shared" si="94"/>
        <v>0</v>
      </c>
      <c r="BG55" s="362">
        <f t="shared" si="94"/>
        <v>0</v>
      </c>
      <c r="BH55" s="365" t="s">
        <v>163</v>
      </c>
      <c r="BI55" s="125">
        <v>0</v>
      </c>
      <c r="BJ55" s="126">
        <v>0</v>
      </c>
      <c r="BK55" s="126">
        <v>0</v>
      </c>
      <c r="BL55" s="126">
        <v>0</v>
      </c>
      <c r="BM55" s="125">
        <v>0</v>
      </c>
      <c r="BN55" s="126">
        <v>0</v>
      </c>
      <c r="BO55" s="126">
        <v>0</v>
      </c>
      <c r="BP55" s="126">
        <v>0</v>
      </c>
    </row>
    <row r="56" spans="1:68" ht="31.5" customHeight="1">
      <c r="A56" s="834"/>
      <c r="B56" s="892"/>
      <c r="C56" s="893"/>
      <c r="D56" s="893"/>
      <c r="E56" s="893"/>
      <c r="F56" s="893"/>
      <c r="G56" s="893"/>
      <c r="H56" s="894"/>
      <c r="I56" s="37" t="s">
        <v>10</v>
      </c>
      <c r="J56" s="704">
        <f t="shared" ref="J56:J57" si="95">L56</f>
        <v>0</v>
      </c>
      <c r="K56" s="704">
        <v>0</v>
      </c>
      <c r="L56" s="734">
        <v>0</v>
      </c>
      <c r="M56" s="75">
        <v>0</v>
      </c>
      <c r="N56" s="75">
        <v>0</v>
      </c>
      <c r="O56" s="76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5">
        <v>0</v>
      </c>
      <c r="V56" s="75">
        <v>0</v>
      </c>
      <c r="W56" s="75">
        <v>0</v>
      </c>
      <c r="X56" s="75">
        <v>0</v>
      </c>
      <c r="Y56" s="75">
        <v>0</v>
      </c>
      <c r="Z56" s="75">
        <v>0</v>
      </c>
      <c r="AA56" s="75">
        <v>0</v>
      </c>
      <c r="AB56" s="75">
        <v>0</v>
      </c>
      <c r="AC56" s="75">
        <v>0</v>
      </c>
      <c r="AD56" s="75">
        <v>0</v>
      </c>
      <c r="AE56" s="75">
        <v>0</v>
      </c>
      <c r="AF56" s="75">
        <v>0</v>
      </c>
      <c r="AG56" s="75">
        <v>0</v>
      </c>
      <c r="AH56" s="75">
        <v>0</v>
      </c>
      <c r="AI56" s="75">
        <v>0</v>
      </c>
      <c r="AJ56" s="75">
        <v>0</v>
      </c>
      <c r="AK56" s="75">
        <v>0</v>
      </c>
      <c r="AL56" s="75">
        <v>0</v>
      </c>
      <c r="AM56" s="75">
        <v>0</v>
      </c>
      <c r="AN56" s="75">
        <v>0</v>
      </c>
      <c r="AO56" s="408"/>
      <c r="AP56" s="74">
        <v>0</v>
      </c>
      <c r="AQ56" s="74">
        <v>0</v>
      </c>
      <c r="AR56" s="74">
        <v>0</v>
      </c>
      <c r="AS56" s="74">
        <v>0</v>
      </c>
      <c r="AT56" s="74">
        <v>0</v>
      </c>
      <c r="AU56" s="74">
        <v>0</v>
      </c>
      <c r="AV56" s="74">
        <v>0</v>
      </c>
      <c r="AW56" s="74">
        <v>0</v>
      </c>
      <c r="AX56" s="74">
        <v>0</v>
      </c>
      <c r="AY56" s="74">
        <v>0</v>
      </c>
      <c r="AZ56" s="74">
        <v>0</v>
      </c>
      <c r="BA56" s="74">
        <v>0</v>
      </c>
      <c r="BB56" s="74">
        <v>0</v>
      </c>
      <c r="BC56" s="74">
        <v>0</v>
      </c>
      <c r="BD56" s="74">
        <v>0</v>
      </c>
      <c r="BE56" s="74">
        <v>0</v>
      </c>
      <c r="BF56" s="74">
        <v>0</v>
      </c>
      <c r="BG56" s="74">
        <v>0</v>
      </c>
      <c r="BH56" s="305"/>
      <c r="BI56" s="125">
        <v>0</v>
      </c>
      <c r="BJ56" s="126">
        <v>0</v>
      </c>
      <c r="BK56" s="126">
        <v>0</v>
      </c>
      <c r="BL56" s="126">
        <v>0</v>
      </c>
      <c r="BM56" s="125">
        <v>0</v>
      </c>
      <c r="BN56" s="126">
        <v>0</v>
      </c>
      <c r="BO56" s="126">
        <v>0</v>
      </c>
      <c r="BP56" s="126">
        <v>0</v>
      </c>
    </row>
    <row r="57" spans="1:68" ht="28.5" hidden="1" customHeight="1">
      <c r="A57" s="835"/>
      <c r="B57" s="895"/>
      <c r="C57" s="896"/>
      <c r="D57" s="896"/>
      <c r="E57" s="896"/>
      <c r="F57" s="896"/>
      <c r="G57" s="896"/>
      <c r="H57" s="897"/>
      <c r="I57" s="37" t="s">
        <v>9</v>
      </c>
      <c r="J57" s="704">
        <f t="shared" si="95"/>
        <v>0</v>
      </c>
      <c r="K57" s="704">
        <v>0</v>
      </c>
      <c r="L57" s="734">
        <v>0</v>
      </c>
      <c r="M57" s="75">
        <v>0</v>
      </c>
      <c r="N57" s="75">
        <v>0</v>
      </c>
      <c r="O57" s="76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5">
        <v>0</v>
      </c>
      <c r="V57" s="75">
        <v>0</v>
      </c>
      <c r="W57" s="75">
        <v>0</v>
      </c>
      <c r="X57" s="75">
        <v>0</v>
      </c>
      <c r="Y57" s="75">
        <v>0</v>
      </c>
      <c r="Z57" s="75">
        <v>0</v>
      </c>
      <c r="AA57" s="75">
        <v>0</v>
      </c>
      <c r="AB57" s="75">
        <v>0</v>
      </c>
      <c r="AC57" s="75">
        <v>0</v>
      </c>
      <c r="AD57" s="75">
        <v>0</v>
      </c>
      <c r="AE57" s="75">
        <v>0</v>
      </c>
      <c r="AF57" s="75">
        <v>0</v>
      </c>
      <c r="AG57" s="75">
        <v>0</v>
      </c>
      <c r="AH57" s="75">
        <v>0</v>
      </c>
      <c r="AI57" s="75">
        <v>0</v>
      </c>
      <c r="AJ57" s="75">
        <v>0</v>
      </c>
      <c r="AK57" s="75">
        <v>0</v>
      </c>
      <c r="AL57" s="75">
        <v>0</v>
      </c>
      <c r="AM57" s="75">
        <v>0</v>
      </c>
      <c r="AN57" s="75">
        <v>0</v>
      </c>
      <c r="AO57" s="408"/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74">
        <v>0</v>
      </c>
      <c r="AZ57" s="74">
        <v>0</v>
      </c>
      <c r="BA57" s="74">
        <v>0</v>
      </c>
      <c r="BB57" s="74">
        <v>0</v>
      </c>
      <c r="BC57" s="74">
        <v>0</v>
      </c>
      <c r="BD57" s="74">
        <v>0</v>
      </c>
      <c r="BE57" s="74">
        <v>0</v>
      </c>
      <c r="BF57" s="74">
        <v>0</v>
      </c>
      <c r="BG57" s="74">
        <v>0</v>
      </c>
      <c r="BH57" s="738"/>
      <c r="BI57" s="125">
        <v>0</v>
      </c>
      <c r="BJ57" s="126">
        <v>0</v>
      </c>
      <c r="BK57" s="126">
        <v>0</v>
      </c>
      <c r="BL57" s="126">
        <v>0</v>
      </c>
      <c r="BM57" s="125">
        <v>0</v>
      </c>
      <c r="BN57" s="126">
        <v>0</v>
      </c>
      <c r="BO57" s="126">
        <v>0</v>
      </c>
      <c r="BP57" s="126">
        <v>0</v>
      </c>
    </row>
    <row r="58" spans="1:68" ht="30" hidden="1" customHeight="1">
      <c r="A58" s="965" t="s">
        <v>46</v>
      </c>
      <c r="B58" s="80" t="s">
        <v>53</v>
      </c>
      <c r="C58" s="815">
        <v>300</v>
      </c>
      <c r="D58" s="815">
        <v>17</v>
      </c>
      <c r="E58" s="815"/>
      <c r="F58" s="867"/>
      <c r="G58" s="725"/>
      <c r="H58" s="725"/>
      <c r="I58" s="995" t="s">
        <v>20</v>
      </c>
      <c r="J58" s="71">
        <f>L58</f>
        <v>0</v>
      </c>
      <c r="K58" s="71"/>
      <c r="L58" s="291">
        <f>M58+N58+O58</f>
        <v>0</v>
      </c>
      <c r="M58" s="81">
        <f>M59+M60</f>
        <v>0</v>
      </c>
      <c r="N58" s="81">
        <f t="shared" ref="N58:O58" si="96">N59+N60</f>
        <v>0</v>
      </c>
      <c r="O58" s="81">
        <f t="shared" si="96"/>
        <v>0</v>
      </c>
      <c r="P58" s="81">
        <f>P59+P60</f>
        <v>0</v>
      </c>
      <c r="Q58" s="81">
        <f>Q59+Q60</f>
        <v>0</v>
      </c>
      <c r="R58" s="81">
        <f t="shared" ref="R58:AN58" si="97">R59+R60</f>
        <v>0</v>
      </c>
      <c r="S58" s="81">
        <f t="shared" si="97"/>
        <v>0</v>
      </c>
      <c r="T58" s="81">
        <f t="shared" si="97"/>
        <v>0</v>
      </c>
      <c r="U58" s="81">
        <f t="shared" si="97"/>
        <v>0</v>
      </c>
      <c r="V58" s="81">
        <f t="shared" si="97"/>
        <v>0</v>
      </c>
      <c r="W58" s="81">
        <f t="shared" si="97"/>
        <v>0</v>
      </c>
      <c r="X58" s="81">
        <f t="shared" si="97"/>
        <v>0</v>
      </c>
      <c r="Y58" s="81">
        <f t="shared" si="97"/>
        <v>0</v>
      </c>
      <c r="Z58" s="81">
        <f t="shared" si="97"/>
        <v>0</v>
      </c>
      <c r="AA58" s="81">
        <f t="shared" si="97"/>
        <v>0</v>
      </c>
      <c r="AB58" s="81">
        <f t="shared" si="97"/>
        <v>0</v>
      </c>
      <c r="AC58" s="81">
        <f t="shared" si="97"/>
        <v>0</v>
      </c>
      <c r="AD58" s="81">
        <f t="shared" si="97"/>
        <v>0</v>
      </c>
      <c r="AE58" s="81">
        <f t="shared" si="97"/>
        <v>0</v>
      </c>
      <c r="AF58" s="81">
        <f t="shared" si="97"/>
        <v>0</v>
      </c>
      <c r="AG58" s="81">
        <f t="shared" si="97"/>
        <v>0</v>
      </c>
      <c r="AH58" s="81">
        <f t="shared" si="97"/>
        <v>0</v>
      </c>
      <c r="AI58" s="81"/>
      <c r="AJ58" s="82">
        <f>P58-Q58</f>
        <v>0</v>
      </c>
      <c r="AK58" s="82">
        <f>AJ58</f>
        <v>0</v>
      </c>
      <c r="AL58" s="79">
        <v>0</v>
      </c>
      <c r="AM58" s="81">
        <f t="shared" si="97"/>
        <v>0</v>
      </c>
      <c r="AN58" s="81">
        <f t="shared" si="97"/>
        <v>0</v>
      </c>
      <c r="AO58" s="433" t="s">
        <v>163</v>
      </c>
      <c r="AP58" s="364">
        <f>AP59+AP60</f>
        <v>0</v>
      </c>
      <c r="AQ58" s="364">
        <f t="shared" ref="AQ58:BG58" si="98">AQ59+AQ60</f>
        <v>0</v>
      </c>
      <c r="AR58" s="364">
        <f t="shared" si="98"/>
        <v>0</v>
      </c>
      <c r="AS58" s="364">
        <f t="shared" si="98"/>
        <v>0</v>
      </c>
      <c r="AT58" s="364">
        <f t="shared" si="98"/>
        <v>0</v>
      </c>
      <c r="AU58" s="364">
        <f t="shared" si="98"/>
        <v>0</v>
      </c>
      <c r="AV58" s="364">
        <f t="shared" si="98"/>
        <v>0</v>
      </c>
      <c r="AW58" s="364">
        <f t="shared" si="98"/>
        <v>0</v>
      </c>
      <c r="AX58" s="364">
        <f t="shared" si="98"/>
        <v>0</v>
      </c>
      <c r="AY58" s="364">
        <f t="shared" si="98"/>
        <v>0</v>
      </c>
      <c r="AZ58" s="364">
        <f t="shared" si="98"/>
        <v>0</v>
      </c>
      <c r="BA58" s="364">
        <f t="shared" si="98"/>
        <v>0</v>
      </c>
      <c r="BB58" s="364">
        <f t="shared" si="98"/>
        <v>0</v>
      </c>
      <c r="BC58" s="357" t="e">
        <f>#REF!-AP58</f>
        <v>#REF!</v>
      </c>
      <c r="BD58" s="357" t="e">
        <f>BC58</f>
        <v>#REF!</v>
      </c>
      <c r="BE58" s="364">
        <v>0</v>
      </c>
      <c r="BF58" s="364">
        <f t="shared" si="98"/>
        <v>0</v>
      </c>
      <c r="BG58" s="364">
        <f t="shared" si="98"/>
        <v>0</v>
      </c>
      <c r="BH58" s="365" t="s">
        <v>204</v>
      </c>
      <c r="BI58" s="125">
        <v>0</v>
      </c>
      <c r="BJ58" s="126">
        <v>0</v>
      </c>
      <c r="BK58" s="126">
        <v>0</v>
      </c>
      <c r="BL58" s="126">
        <v>0</v>
      </c>
      <c r="BM58" s="125">
        <v>0</v>
      </c>
      <c r="BN58" s="126">
        <v>0</v>
      </c>
      <c r="BO58" s="126">
        <v>0</v>
      </c>
      <c r="BP58" s="126">
        <v>0</v>
      </c>
    </row>
    <row r="59" spans="1:68" ht="14.25" hidden="1" customHeight="1">
      <c r="A59" s="966"/>
      <c r="B59" s="40" t="s">
        <v>15</v>
      </c>
      <c r="C59" s="816"/>
      <c r="D59" s="816"/>
      <c r="E59" s="816"/>
      <c r="F59" s="819"/>
      <c r="G59" s="725">
        <v>2019</v>
      </c>
      <c r="H59" s="725">
        <v>2019</v>
      </c>
      <c r="I59" s="878"/>
      <c r="J59" s="71">
        <f t="shared" ref="J59:J64" si="99">L59</f>
        <v>0</v>
      </c>
      <c r="K59" s="71"/>
      <c r="L59" s="702">
        <f t="shared" ref="L59:L60" si="100">M59+N59+O59</f>
        <v>0</v>
      </c>
      <c r="M59" s="74">
        <v>0</v>
      </c>
      <c r="N59" s="74">
        <v>0</v>
      </c>
      <c r="O59" s="74">
        <v>0</v>
      </c>
      <c r="P59" s="74">
        <v>0</v>
      </c>
      <c r="Q59" s="74">
        <v>0</v>
      </c>
      <c r="R59" s="74">
        <v>0</v>
      </c>
      <c r="S59" s="74">
        <v>0</v>
      </c>
      <c r="T59" s="74">
        <v>0</v>
      </c>
      <c r="U59" s="74">
        <v>0</v>
      </c>
      <c r="V59" s="74">
        <v>0</v>
      </c>
      <c r="W59" s="74">
        <v>0</v>
      </c>
      <c r="X59" s="74">
        <v>0</v>
      </c>
      <c r="Y59" s="74">
        <v>0</v>
      </c>
      <c r="Z59" s="74">
        <v>0</v>
      </c>
      <c r="AA59" s="74">
        <v>0</v>
      </c>
      <c r="AB59" s="74">
        <v>0</v>
      </c>
      <c r="AC59" s="74">
        <v>0</v>
      </c>
      <c r="AD59" s="74">
        <v>0</v>
      </c>
      <c r="AE59" s="74">
        <v>0</v>
      </c>
      <c r="AF59" s="74">
        <v>0</v>
      </c>
      <c r="AG59" s="74">
        <v>0</v>
      </c>
      <c r="AH59" s="74">
        <v>0</v>
      </c>
      <c r="AI59" s="74"/>
      <c r="AJ59" s="74">
        <v>0</v>
      </c>
      <c r="AK59" s="74">
        <v>0</v>
      </c>
      <c r="AL59" s="74">
        <v>0</v>
      </c>
      <c r="AM59" s="74">
        <v>0</v>
      </c>
      <c r="AN59" s="74">
        <v>0</v>
      </c>
      <c r="AO59" s="409"/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738"/>
      <c r="BI59" s="125">
        <v>0</v>
      </c>
      <c r="BJ59" s="126">
        <v>0</v>
      </c>
      <c r="BK59" s="126">
        <v>0</v>
      </c>
      <c r="BL59" s="126">
        <v>0</v>
      </c>
      <c r="BM59" s="125">
        <v>0</v>
      </c>
      <c r="BN59" s="126">
        <v>0</v>
      </c>
      <c r="BO59" s="126">
        <v>0</v>
      </c>
      <c r="BP59" s="126">
        <v>0</v>
      </c>
    </row>
    <row r="60" spans="1:68" ht="14.25" hidden="1" customHeight="1">
      <c r="A60" s="967"/>
      <c r="B60" s="40" t="s">
        <v>16</v>
      </c>
      <c r="C60" s="900"/>
      <c r="D60" s="900"/>
      <c r="E60" s="900"/>
      <c r="F60" s="868"/>
      <c r="G60" s="721">
        <v>2019</v>
      </c>
      <c r="H60" s="721">
        <v>2019</v>
      </c>
      <c r="I60" s="996"/>
      <c r="J60" s="71">
        <f t="shared" si="99"/>
        <v>0</v>
      </c>
      <c r="K60" s="699"/>
      <c r="L60" s="702">
        <f t="shared" si="100"/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74">
        <v>0</v>
      </c>
      <c r="AA60" s="74">
        <v>0</v>
      </c>
      <c r="AB60" s="74">
        <v>0</v>
      </c>
      <c r="AC60" s="74">
        <v>0</v>
      </c>
      <c r="AD60" s="74">
        <v>0</v>
      </c>
      <c r="AE60" s="74">
        <v>0</v>
      </c>
      <c r="AF60" s="74">
        <v>0</v>
      </c>
      <c r="AG60" s="74">
        <v>0</v>
      </c>
      <c r="AH60" s="74">
        <v>0</v>
      </c>
      <c r="AI60" s="74"/>
      <c r="AJ60" s="74">
        <v>0</v>
      </c>
      <c r="AK60" s="74">
        <v>0</v>
      </c>
      <c r="AL60" s="74">
        <v>0</v>
      </c>
      <c r="AM60" s="74">
        <v>0</v>
      </c>
      <c r="AN60" s="74">
        <v>0</v>
      </c>
      <c r="AO60" s="410"/>
      <c r="AP60" s="47">
        <v>0</v>
      </c>
      <c r="AQ60" s="47">
        <v>0</v>
      </c>
      <c r="AR60" s="47">
        <v>0</v>
      </c>
      <c r="AS60" s="47">
        <v>0</v>
      </c>
      <c r="AT60" s="47">
        <v>0</v>
      </c>
      <c r="AU60" s="47">
        <v>0</v>
      </c>
      <c r="AV60" s="47">
        <v>0</v>
      </c>
      <c r="AW60" s="47">
        <v>0</v>
      </c>
      <c r="AX60" s="47">
        <v>0</v>
      </c>
      <c r="AY60" s="47">
        <v>0</v>
      </c>
      <c r="AZ60" s="47">
        <v>0</v>
      </c>
      <c r="BA60" s="47">
        <v>0</v>
      </c>
      <c r="BB60" s="47">
        <v>0</v>
      </c>
      <c r="BC60" s="47">
        <v>0</v>
      </c>
      <c r="BD60" s="47">
        <v>0</v>
      </c>
      <c r="BE60" s="47">
        <v>0</v>
      </c>
      <c r="BF60" s="47">
        <v>0</v>
      </c>
      <c r="BG60" s="47">
        <v>0</v>
      </c>
      <c r="BH60" s="301"/>
      <c r="BI60" s="128">
        <v>0</v>
      </c>
      <c r="BJ60" s="129">
        <v>0</v>
      </c>
      <c r="BK60" s="129">
        <v>0</v>
      </c>
      <c r="BL60" s="129">
        <v>0</v>
      </c>
      <c r="BM60" s="128">
        <v>0</v>
      </c>
      <c r="BN60" s="129">
        <v>0</v>
      </c>
      <c r="BO60" s="129">
        <v>0</v>
      </c>
      <c r="BP60" s="129">
        <v>0</v>
      </c>
    </row>
    <row r="61" spans="1:68" ht="53.25" customHeight="1">
      <c r="A61" s="937" t="s">
        <v>46</v>
      </c>
      <c r="B61" s="83" t="s">
        <v>372</v>
      </c>
      <c r="C61" s="815">
        <v>200</v>
      </c>
      <c r="D61" s="815">
        <v>10</v>
      </c>
      <c r="E61" s="997"/>
      <c r="F61" s="1000"/>
      <c r="G61" s="721"/>
      <c r="H61" s="721"/>
      <c r="I61" s="995" t="s">
        <v>20</v>
      </c>
      <c r="J61" s="71">
        <f t="shared" si="99"/>
        <v>924.64</v>
      </c>
      <c r="K61" s="699"/>
      <c r="L61" s="291">
        <f>SUM(L62:L64)</f>
        <v>924.64</v>
      </c>
      <c r="M61" s="79">
        <f>M62+M64</f>
        <v>0</v>
      </c>
      <c r="N61" s="79">
        <f t="shared" ref="N61:O61" si="101">N62+N64</f>
        <v>0</v>
      </c>
      <c r="O61" s="79">
        <f t="shared" si="101"/>
        <v>0</v>
      </c>
      <c r="P61" s="79">
        <f>P62+P64</f>
        <v>250</v>
      </c>
      <c r="Q61" s="79">
        <f>Q62+Q64</f>
        <v>131</v>
      </c>
      <c r="R61" s="79">
        <f t="shared" ref="R61:AN61" si="102">R62+R64</f>
        <v>0</v>
      </c>
      <c r="S61" s="79">
        <f t="shared" si="102"/>
        <v>0</v>
      </c>
      <c r="T61" s="79">
        <f t="shared" si="102"/>
        <v>0</v>
      </c>
      <c r="U61" s="79">
        <f t="shared" si="102"/>
        <v>0</v>
      </c>
      <c r="V61" s="79">
        <f t="shared" si="102"/>
        <v>131</v>
      </c>
      <c r="W61" s="79">
        <f t="shared" si="102"/>
        <v>131</v>
      </c>
      <c r="X61" s="79">
        <f t="shared" si="102"/>
        <v>0</v>
      </c>
      <c r="Y61" s="79">
        <f t="shared" si="102"/>
        <v>0</v>
      </c>
      <c r="Z61" s="79">
        <f t="shared" si="102"/>
        <v>200</v>
      </c>
      <c r="AA61" s="79">
        <f t="shared" si="102"/>
        <v>0</v>
      </c>
      <c r="AB61" s="79">
        <f t="shared" si="102"/>
        <v>0</v>
      </c>
      <c r="AC61" s="79">
        <f t="shared" si="102"/>
        <v>200</v>
      </c>
      <c r="AD61" s="79">
        <f t="shared" si="102"/>
        <v>0</v>
      </c>
      <c r="AE61" s="79">
        <f t="shared" si="102"/>
        <v>0</v>
      </c>
      <c r="AF61" s="79">
        <f t="shared" si="102"/>
        <v>0</v>
      </c>
      <c r="AG61" s="79">
        <f t="shared" si="102"/>
        <v>0</v>
      </c>
      <c r="AH61" s="79">
        <f t="shared" si="102"/>
        <v>0</v>
      </c>
      <c r="AI61" s="79">
        <f t="shared" si="102"/>
        <v>0</v>
      </c>
      <c r="AJ61" s="82">
        <f>P61-Q61</f>
        <v>119</v>
      </c>
      <c r="AK61" s="82">
        <f>AJ61</f>
        <v>119</v>
      </c>
      <c r="AL61" s="79">
        <v>0</v>
      </c>
      <c r="AM61" s="79">
        <f t="shared" si="102"/>
        <v>0</v>
      </c>
      <c r="AN61" s="79">
        <f t="shared" si="102"/>
        <v>0</v>
      </c>
      <c r="AO61" s="433"/>
      <c r="AP61" s="22">
        <f t="shared" ref="AP61:BG61" si="103">AP64</f>
        <v>1.6559999999999999</v>
      </c>
      <c r="AQ61" s="22">
        <f t="shared" si="103"/>
        <v>0</v>
      </c>
      <c r="AR61" s="22">
        <f t="shared" si="103"/>
        <v>0</v>
      </c>
      <c r="AS61" s="22">
        <f t="shared" si="103"/>
        <v>0</v>
      </c>
      <c r="AT61" s="22">
        <f t="shared" si="103"/>
        <v>0</v>
      </c>
      <c r="AU61" s="22">
        <f t="shared" si="103"/>
        <v>1.66</v>
      </c>
      <c r="AV61" s="22">
        <f t="shared" si="103"/>
        <v>1.6559999999999999</v>
      </c>
      <c r="AW61" s="22">
        <f t="shared" si="103"/>
        <v>0</v>
      </c>
      <c r="AX61" s="22">
        <f t="shared" si="103"/>
        <v>0</v>
      </c>
      <c r="AY61" s="22">
        <f t="shared" si="103"/>
        <v>1.66</v>
      </c>
      <c r="AZ61" s="22">
        <f t="shared" si="103"/>
        <v>0</v>
      </c>
      <c r="BA61" s="22">
        <f t="shared" si="103"/>
        <v>0</v>
      </c>
      <c r="BB61" s="22">
        <f t="shared" si="103"/>
        <v>0</v>
      </c>
      <c r="BC61" s="22" t="e">
        <f t="shared" si="103"/>
        <v>#REF!</v>
      </c>
      <c r="BD61" s="22" t="e">
        <f t="shared" si="103"/>
        <v>#REF!</v>
      </c>
      <c r="BE61" s="22" t="e">
        <f t="shared" si="103"/>
        <v>#REF!</v>
      </c>
      <c r="BF61" s="22">
        <f t="shared" si="103"/>
        <v>0</v>
      </c>
      <c r="BG61" s="22">
        <f t="shared" si="103"/>
        <v>0</v>
      </c>
      <c r="BH61" s="302"/>
      <c r="BI61" s="81">
        <f t="shared" ref="BI61:BP61" si="104">BI62+BI63</f>
        <v>0</v>
      </c>
      <c r="BJ61" s="81">
        <f t="shared" si="104"/>
        <v>0</v>
      </c>
      <c r="BK61" s="81">
        <f t="shared" si="104"/>
        <v>0</v>
      </c>
      <c r="BL61" s="81">
        <f t="shared" si="104"/>
        <v>0</v>
      </c>
      <c r="BM61" s="81">
        <f t="shared" si="104"/>
        <v>0</v>
      </c>
      <c r="BN61" s="81">
        <f t="shared" si="104"/>
        <v>0</v>
      </c>
      <c r="BO61" s="81">
        <f t="shared" si="104"/>
        <v>0</v>
      </c>
      <c r="BP61" s="81">
        <f t="shared" si="104"/>
        <v>0</v>
      </c>
    </row>
    <row r="62" spans="1:68" ht="14.25" customHeight="1">
      <c r="A62" s="938"/>
      <c r="B62" s="42" t="s">
        <v>15</v>
      </c>
      <c r="C62" s="816"/>
      <c r="D62" s="816"/>
      <c r="E62" s="998"/>
      <c r="F62" s="1001"/>
      <c r="G62" s="721">
        <v>2019</v>
      </c>
      <c r="H62" s="721">
        <v>2019</v>
      </c>
      <c r="I62" s="878"/>
      <c r="J62" s="71">
        <f t="shared" si="99"/>
        <v>250</v>
      </c>
      <c r="K62" s="699"/>
      <c r="L62" s="75">
        <v>250</v>
      </c>
      <c r="M62" s="4">
        <v>0</v>
      </c>
      <c r="N62" s="4">
        <v>0</v>
      </c>
      <c r="O62" s="4">
        <v>0</v>
      </c>
      <c r="P62" s="4">
        <v>250</v>
      </c>
      <c r="Q62" s="4">
        <f>Q63</f>
        <v>131</v>
      </c>
      <c r="R62" s="4">
        <f t="shared" ref="R62:AH62" si="105">R63</f>
        <v>0</v>
      </c>
      <c r="S62" s="4">
        <f t="shared" si="105"/>
        <v>0</v>
      </c>
      <c r="T62" s="4">
        <f t="shared" si="105"/>
        <v>0</v>
      </c>
      <c r="U62" s="4">
        <f t="shared" si="105"/>
        <v>0</v>
      </c>
      <c r="V62" s="4">
        <f t="shared" si="105"/>
        <v>131</v>
      </c>
      <c r="W62" s="4">
        <f t="shared" si="105"/>
        <v>131</v>
      </c>
      <c r="X62" s="4">
        <f t="shared" si="105"/>
        <v>0</v>
      </c>
      <c r="Y62" s="4">
        <f t="shared" si="105"/>
        <v>0</v>
      </c>
      <c r="Z62" s="4">
        <f t="shared" si="105"/>
        <v>200</v>
      </c>
      <c r="AA62" s="4">
        <f t="shared" si="105"/>
        <v>0</v>
      </c>
      <c r="AB62" s="4">
        <f t="shared" si="105"/>
        <v>0</v>
      </c>
      <c r="AC62" s="4">
        <f t="shared" si="105"/>
        <v>200</v>
      </c>
      <c r="AD62" s="4">
        <f t="shared" si="105"/>
        <v>0</v>
      </c>
      <c r="AE62" s="4">
        <f t="shared" si="105"/>
        <v>0</v>
      </c>
      <c r="AF62" s="4">
        <f t="shared" si="105"/>
        <v>0</v>
      </c>
      <c r="AG62" s="4">
        <f t="shared" si="105"/>
        <v>0</v>
      </c>
      <c r="AH62" s="4">
        <f t="shared" si="105"/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698"/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22">
        <v>0</v>
      </c>
      <c r="BA62" s="22">
        <v>0</v>
      </c>
      <c r="BB62" s="22">
        <v>0</v>
      </c>
      <c r="BC62" s="22">
        <v>0</v>
      </c>
      <c r="BD62" s="22">
        <v>0</v>
      </c>
      <c r="BE62" s="22">
        <v>0</v>
      </c>
      <c r="BF62" s="22">
        <v>0</v>
      </c>
      <c r="BG62" s="22">
        <v>0</v>
      </c>
      <c r="BH62" s="302"/>
      <c r="BI62" s="125">
        <v>0</v>
      </c>
      <c r="BJ62" s="126">
        <v>0</v>
      </c>
      <c r="BK62" s="126">
        <v>0</v>
      </c>
      <c r="BL62" s="126">
        <v>0</v>
      </c>
      <c r="BM62" s="125">
        <v>0</v>
      </c>
      <c r="BN62" s="126">
        <v>0</v>
      </c>
      <c r="BO62" s="126">
        <v>0</v>
      </c>
      <c r="BP62" s="126">
        <v>0</v>
      </c>
    </row>
    <row r="63" spans="1:68" s="100" customFormat="1" ht="27.75" hidden="1" customHeight="1">
      <c r="A63" s="938"/>
      <c r="B63" s="257" t="s">
        <v>361</v>
      </c>
      <c r="C63" s="816"/>
      <c r="D63" s="816"/>
      <c r="E63" s="998"/>
      <c r="F63" s="1001"/>
      <c r="G63" s="508"/>
      <c r="H63" s="508"/>
      <c r="I63" s="878"/>
      <c r="J63" s="695"/>
      <c r="K63" s="376"/>
      <c r="L63" s="263"/>
      <c r="M63" s="275"/>
      <c r="N63" s="275"/>
      <c r="O63" s="275"/>
      <c r="P63" s="275"/>
      <c r="Q63" s="275">
        <f>W63</f>
        <v>131</v>
      </c>
      <c r="R63" s="275"/>
      <c r="S63" s="275"/>
      <c r="T63" s="275"/>
      <c r="U63" s="275"/>
      <c r="V63" s="275">
        <f>W63</f>
        <v>131</v>
      </c>
      <c r="W63" s="275">
        <v>131</v>
      </c>
      <c r="X63" s="275"/>
      <c r="Y63" s="275"/>
      <c r="Z63" s="275">
        <f>AC63</f>
        <v>200</v>
      </c>
      <c r="AA63" s="275"/>
      <c r="AB63" s="275"/>
      <c r="AC63" s="275">
        <v>200</v>
      </c>
      <c r="AD63" s="275"/>
      <c r="AE63" s="275"/>
      <c r="AF63" s="275"/>
      <c r="AG63" s="275"/>
      <c r="AH63" s="275"/>
      <c r="AI63" s="275"/>
      <c r="AJ63" s="275"/>
      <c r="AK63" s="275"/>
      <c r="AL63" s="275"/>
      <c r="AM63" s="275"/>
      <c r="AN63" s="275"/>
      <c r="AO63" s="509"/>
      <c r="AP63" s="22">
        <v>0</v>
      </c>
      <c r="AQ63" s="22">
        <v>0</v>
      </c>
      <c r="AR63" s="22">
        <v>0</v>
      </c>
      <c r="AS63" s="22">
        <v>0</v>
      </c>
      <c r="AT63" s="22">
        <v>0</v>
      </c>
      <c r="AU63" s="22">
        <v>0</v>
      </c>
      <c r="AV63" s="22">
        <v>0</v>
      </c>
      <c r="AW63" s="22">
        <v>0</v>
      </c>
      <c r="AX63" s="22">
        <v>0</v>
      </c>
      <c r="AY63" s="22">
        <v>0</v>
      </c>
      <c r="AZ63" s="22">
        <v>0</v>
      </c>
      <c r="BA63" s="22">
        <v>0</v>
      </c>
      <c r="BB63" s="22">
        <v>0</v>
      </c>
      <c r="BC63" s="22">
        <v>0</v>
      </c>
      <c r="BD63" s="22">
        <v>0</v>
      </c>
      <c r="BE63" s="22">
        <v>0</v>
      </c>
      <c r="BF63" s="22">
        <v>0</v>
      </c>
      <c r="BG63" s="22">
        <v>0</v>
      </c>
      <c r="BH63" s="302"/>
      <c r="BI63" s="125">
        <v>0</v>
      </c>
      <c r="BJ63" s="126">
        <v>0</v>
      </c>
      <c r="BK63" s="126">
        <v>0</v>
      </c>
      <c r="BL63" s="126">
        <v>0</v>
      </c>
      <c r="BM63" s="125">
        <v>0</v>
      </c>
      <c r="BN63" s="126">
        <v>0</v>
      </c>
      <c r="BO63" s="126">
        <v>0</v>
      </c>
      <c r="BP63" s="126">
        <v>0</v>
      </c>
    </row>
    <row r="64" spans="1:68" ht="14.25" customHeight="1">
      <c r="A64" s="939"/>
      <c r="B64" s="42" t="s">
        <v>16</v>
      </c>
      <c r="C64" s="900"/>
      <c r="D64" s="900"/>
      <c r="E64" s="999"/>
      <c r="F64" s="1002"/>
      <c r="G64" s="721">
        <v>2019</v>
      </c>
      <c r="H64" s="721">
        <v>2019</v>
      </c>
      <c r="I64" s="996"/>
      <c r="J64" s="71">
        <f t="shared" si="99"/>
        <v>674.64</v>
      </c>
      <c r="K64" s="699"/>
      <c r="L64" s="75">
        <v>674.64</v>
      </c>
      <c r="M64" s="4">
        <v>0</v>
      </c>
      <c r="N64" s="4">
        <v>0</v>
      </c>
      <c r="O64" s="4">
        <v>0</v>
      </c>
      <c r="P64" s="4">
        <v>0</v>
      </c>
      <c r="Q64" s="47">
        <v>0</v>
      </c>
      <c r="R64" s="47">
        <v>0</v>
      </c>
      <c r="S64" s="47">
        <v>0</v>
      </c>
      <c r="T64" s="47">
        <v>0</v>
      </c>
      <c r="U64" s="47">
        <v>0</v>
      </c>
      <c r="V64" s="47">
        <v>0</v>
      </c>
      <c r="W64" s="47">
        <v>0</v>
      </c>
      <c r="X64" s="47">
        <v>0</v>
      </c>
      <c r="Y64" s="47">
        <v>0</v>
      </c>
      <c r="Z64" s="47">
        <v>0</v>
      </c>
      <c r="AA64" s="47">
        <v>0</v>
      </c>
      <c r="AB64" s="47">
        <v>0</v>
      </c>
      <c r="AC64" s="47">
        <v>0</v>
      </c>
      <c r="AD64" s="47">
        <v>0</v>
      </c>
      <c r="AE64" s="47">
        <v>0</v>
      </c>
      <c r="AF64" s="47">
        <v>0</v>
      </c>
      <c r="AG64" s="47">
        <v>0</v>
      </c>
      <c r="AH64" s="47">
        <v>0</v>
      </c>
      <c r="AI64" s="47">
        <v>0</v>
      </c>
      <c r="AJ64" s="47">
        <v>0</v>
      </c>
      <c r="AK64" s="47">
        <v>0</v>
      </c>
      <c r="AL64" s="47">
        <v>0</v>
      </c>
      <c r="AM64" s="47">
        <v>0</v>
      </c>
      <c r="AN64" s="47">
        <v>0</v>
      </c>
      <c r="AO64" s="403"/>
      <c r="AP64" s="82">
        <f>AP65+AP67</f>
        <v>1.6559999999999999</v>
      </c>
      <c r="AQ64" s="82">
        <f t="shared" ref="AQ64:BG64" si="106">AQ65+AQ67</f>
        <v>0</v>
      </c>
      <c r="AR64" s="82">
        <f t="shared" si="106"/>
        <v>0</v>
      </c>
      <c r="AS64" s="82">
        <f t="shared" si="106"/>
        <v>0</v>
      </c>
      <c r="AT64" s="82">
        <f t="shared" si="106"/>
        <v>0</v>
      </c>
      <c r="AU64" s="82">
        <f t="shared" si="106"/>
        <v>1.66</v>
      </c>
      <c r="AV64" s="82">
        <f t="shared" si="106"/>
        <v>1.6559999999999999</v>
      </c>
      <c r="AW64" s="82">
        <f t="shared" si="106"/>
        <v>0</v>
      </c>
      <c r="AX64" s="82">
        <f t="shared" si="106"/>
        <v>0</v>
      </c>
      <c r="AY64" s="82">
        <f t="shared" si="106"/>
        <v>1.66</v>
      </c>
      <c r="AZ64" s="82">
        <f t="shared" si="106"/>
        <v>0</v>
      </c>
      <c r="BA64" s="82">
        <f t="shared" si="106"/>
        <v>0</v>
      </c>
      <c r="BB64" s="82">
        <f t="shared" si="106"/>
        <v>0</v>
      </c>
      <c r="BC64" s="82" t="e">
        <f>#REF!-AP64</f>
        <v>#REF!</v>
      </c>
      <c r="BD64" s="82" t="e">
        <f>BC64</f>
        <v>#REF!</v>
      </c>
      <c r="BE64" s="79" t="e">
        <f>ROUND((AP64*100%/#REF!*100),2)</f>
        <v>#REF!</v>
      </c>
      <c r="BF64" s="82">
        <f t="shared" si="106"/>
        <v>0</v>
      </c>
      <c r="BG64" s="82">
        <f t="shared" si="106"/>
        <v>0</v>
      </c>
      <c r="BH64" s="308"/>
      <c r="BI64" s="125">
        <v>0</v>
      </c>
      <c r="BJ64" s="126">
        <v>0</v>
      </c>
      <c r="BK64" s="126">
        <v>0</v>
      </c>
      <c r="BL64" s="126">
        <v>0</v>
      </c>
      <c r="BM64" s="125">
        <v>0</v>
      </c>
      <c r="BN64" s="126">
        <v>0</v>
      </c>
      <c r="BO64" s="126">
        <v>0</v>
      </c>
      <c r="BP64" s="126">
        <v>0</v>
      </c>
    </row>
    <row r="65" spans="1:68" ht="38.25">
      <c r="A65" s="833" t="s">
        <v>47</v>
      </c>
      <c r="B65" s="889" t="s">
        <v>17</v>
      </c>
      <c r="C65" s="890"/>
      <c r="D65" s="890"/>
      <c r="E65" s="890"/>
      <c r="F65" s="890"/>
      <c r="G65" s="890"/>
      <c r="H65" s="891"/>
      <c r="I65" s="15" t="s">
        <v>20</v>
      </c>
      <c r="J65" s="16">
        <f>J68</f>
        <v>18824.2</v>
      </c>
      <c r="K65" s="16">
        <f>K68</f>
        <v>0</v>
      </c>
      <c r="L65" s="16">
        <f>L68</f>
        <v>5710.74</v>
      </c>
      <c r="M65" s="16">
        <f>M68</f>
        <v>893.45</v>
      </c>
      <c r="N65" s="22">
        <f t="shared" ref="N65:O65" si="107">N68</f>
        <v>1051.49</v>
      </c>
      <c r="O65" s="22">
        <f t="shared" si="107"/>
        <v>11206.2</v>
      </c>
      <c r="P65" s="22">
        <f>P68</f>
        <v>3765.8</v>
      </c>
      <c r="Q65" s="22">
        <f t="shared" ref="Q65:AN65" si="108">Q68</f>
        <v>0</v>
      </c>
      <c r="R65" s="22">
        <f t="shared" si="108"/>
        <v>0</v>
      </c>
      <c r="S65" s="22">
        <f t="shared" si="108"/>
        <v>0</v>
      </c>
      <c r="T65" s="22">
        <f t="shared" si="108"/>
        <v>0</v>
      </c>
      <c r="U65" s="22">
        <f t="shared" si="108"/>
        <v>0</v>
      </c>
      <c r="V65" s="22">
        <f t="shared" si="108"/>
        <v>0</v>
      </c>
      <c r="W65" s="22">
        <f t="shared" si="108"/>
        <v>0</v>
      </c>
      <c r="X65" s="22">
        <f t="shared" si="108"/>
        <v>0</v>
      </c>
      <c r="Y65" s="22">
        <f t="shared" si="108"/>
        <v>0</v>
      </c>
      <c r="Z65" s="22">
        <f t="shared" si="108"/>
        <v>0</v>
      </c>
      <c r="AA65" s="22">
        <f t="shared" si="108"/>
        <v>0</v>
      </c>
      <c r="AB65" s="22">
        <f t="shared" si="108"/>
        <v>0</v>
      </c>
      <c r="AC65" s="22">
        <f t="shared" si="108"/>
        <v>0</v>
      </c>
      <c r="AD65" s="22">
        <f t="shared" si="108"/>
        <v>0</v>
      </c>
      <c r="AE65" s="22">
        <f t="shared" si="108"/>
        <v>0</v>
      </c>
      <c r="AF65" s="22">
        <f t="shared" si="108"/>
        <v>0</v>
      </c>
      <c r="AG65" s="22">
        <f t="shared" si="108"/>
        <v>0</v>
      </c>
      <c r="AH65" s="22">
        <f t="shared" si="108"/>
        <v>0</v>
      </c>
      <c r="AI65" s="22">
        <f t="shared" si="108"/>
        <v>0</v>
      </c>
      <c r="AJ65" s="22">
        <f t="shared" si="108"/>
        <v>3765.8</v>
      </c>
      <c r="AK65" s="22">
        <f t="shared" si="108"/>
        <v>3765.8</v>
      </c>
      <c r="AL65" s="22">
        <f t="shared" si="108"/>
        <v>0</v>
      </c>
      <c r="AM65" s="22">
        <f t="shared" si="108"/>
        <v>0</v>
      </c>
      <c r="AN65" s="22">
        <f t="shared" si="108"/>
        <v>0</v>
      </c>
      <c r="AO65" s="404"/>
      <c r="AP65" s="47">
        <f>SUM(AP66)</f>
        <v>1.6559999999999999</v>
      </c>
      <c r="AQ65" s="47">
        <f t="shared" ref="AQ65:BB65" si="109">SUM(AQ66)</f>
        <v>0</v>
      </c>
      <c r="AR65" s="47">
        <f t="shared" si="109"/>
        <v>0</v>
      </c>
      <c r="AS65" s="47">
        <f t="shared" si="109"/>
        <v>0</v>
      </c>
      <c r="AT65" s="47">
        <f t="shared" si="109"/>
        <v>0</v>
      </c>
      <c r="AU65" s="47">
        <f t="shared" si="109"/>
        <v>1.66</v>
      </c>
      <c r="AV65" s="47">
        <f t="shared" si="109"/>
        <v>1.6559999999999999</v>
      </c>
      <c r="AW65" s="47">
        <f t="shared" si="109"/>
        <v>0</v>
      </c>
      <c r="AX65" s="47">
        <f t="shared" si="109"/>
        <v>0</v>
      </c>
      <c r="AY65" s="47">
        <f>SUM(AY66)</f>
        <v>1.66</v>
      </c>
      <c r="AZ65" s="47">
        <f t="shared" si="109"/>
        <v>0</v>
      </c>
      <c r="BA65" s="47">
        <f t="shared" si="109"/>
        <v>0</v>
      </c>
      <c r="BB65" s="47">
        <f t="shared" si="109"/>
        <v>0</v>
      </c>
      <c r="BC65" s="47">
        <v>0</v>
      </c>
      <c r="BD65" s="47">
        <v>0</v>
      </c>
      <c r="BE65" s="47">
        <v>0</v>
      </c>
      <c r="BF65" s="47">
        <v>0</v>
      </c>
      <c r="BG65" s="47">
        <v>0</v>
      </c>
      <c r="BH65" s="301"/>
      <c r="BI65" s="125">
        <v>0</v>
      </c>
      <c r="BJ65" s="126">
        <v>0</v>
      </c>
      <c r="BK65" s="126">
        <v>0</v>
      </c>
      <c r="BL65" s="126">
        <v>0</v>
      </c>
      <c r="BM65" s="125">
        <v>0</v>
      </c>
      <c r="BN65" s="126">
        <v>0</v>
      </c>
      <c r="BO65" s="126">
        <v>0</v>
      </c>
      <c r="BP65" s="126">
        <v>0</v>
      </c>
    </row>
    <row r="66" spans="1:68" ht="25.5" customHeight="1">
      <c r="A66" s="834"/>
      <c r="B66" s="892"/>
      <c r="C66" s="893"/>
      <c r="D66" s="893"/>
      <c r="E66" s="893"/>
      <c r="F66" s="893"/>
      <c r="G66" s="893"/>
      <c r="H66" s="894"/>
      <c r="I66" s="15" t="s">
        <v>10</v>
      </c>
      <c r="J66" s="16">
        <v>0</v>
      </c>
      <c r="K66" s="16">
        <v>0</v>
      </c>
      <c r="L66" s="16">
        <f t="shared" si="39"/>
        <v>0</v>
      </c>
      <c r="M66" s="16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2">
        <v>0</v>
      </c>
      <c r="AJ66" s="22">
        <v>0</v>
      </c>
      <c r="AK66" s="22">
        <v>0</v>
      </c>
      <c r="AL66" s="22">
        <v>0</v>
      </c>
      <c r="AM66" s="22">
        <v>0</v>
      </c>
      <c r="AN66" s="22">
        <v>0</v>
      </c>
      <c r="AO66" s="404"/>
      <c r="AP66" s="99">
        <f>AR66+AT66+AV66</f>
        <v>1.6559999999999999</v>
      </c>
      <c r="AQ66" s="47"/>
      <c r="AR66" s="47"/>
      <c r="AS66" s="99"/>
      <c r="AT66" s="99"/>
      <c r="AU66" s="99">
        <v>1.66</v>
      </c>
      <c r="AV66" s="99">
        <v>1.6559999999999999</v>
      </c>
      <c r="AW66" s="99"/>
      <c r="AX66" s="99"/>
      <c r="AY66" s="99">
        <v>1.66</v>
      </c>
      <c r="AZ66" s="99">
        <v>0</v>
      </c>
      <c r="BA66" s="99"/>
      <c r="BB66" s="99"/>
      <c r="BC66" s="99"/>
      <c r="BD66" s="99"/>
      <c r="BE66" s="99"/>
      <c r="BF66" s="99"/>
      <c r="BG66" s="99"/>
      <c r="BH66" s="309"/>
      <c r="BI66" s="125">
        <v>0</v>
      </c>
      <c r="BJ66" s="126">
        <v>0</v>
      </c>
      <c r="BK66" s="126">
        <v>0</v>
      </c>
      <c r="BL66" s="126">
        <v>0</v>
      </c>
      <c r="BM66" s="125">
        <v>0</v>
      </c>
      <c r="BN66" s="126">
        <v>0</v>
      </c>
      <c r="BO66" s="126">
        <v>0</v>
      </c>
      <c r="BP66" s="126">
        <v>0</v>
      </c>
    </row>
    <row r="67" spans="1:68" ht="25.5" customHeight="1">
      <c r="A67" s="835"/>
      <c r="B67" s="895"/>
      <c r="C67" s="896"/>
      <c r="D67" s="896"/>
      <c r="E67" s="896"/>
      <c r="F67" s="896"/>
      <c r="G67" s="896"/>
      <c r="H67" s="897"/>
      <c r="I67" s="15" t="s">
        <v>9</v>
      </c>
      <c r="J67" s="16">
        <v>0</v>
      </c>
      <c r="K67" s="16">
        <v>0</v>
      </c>
      <c r="L67" s="16">
        <f t="shared" si="39"/>
        <v>0</v>
      </c>
      <c r="M67" s="16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404"/>
      <c r="AP67" s="47">
        <v>0</v>
      </c>
      <c r="AQ67" s="47">
        <v>0</v>
      </c>
      <c r="AR67" s="47">
        <v>0</v>
      </c>
      <c r="AS67" s="47">
        <v>0</v>
      </c>
      <c r="AT67" s="47">
        <v>0</v>
      </c>
      <c r="AU67" s="47">
        <v>0</v>
      </c>
      <c r="AV67" s="47">
        <v>0</v>
      </c>
      <c r="AW67" s="47">
        <v>0</v>
      </c>
      <c r="AX67" s="47">
        <v>0</v>
      </c>
      <c r="AY67" s="47">
        <v>0</v>
      </c>
      <c r="AZ67" s="47">
        <v>0</v>
      </c>
      <c r="BA67" s="47">
        <v>0</v>
      </c>
      <c r="BB67" s="47">
        <v>0</v>
      </c>
      <c r="BC67" s="47">
        <v>0</v>
      </c>
      <c r="BD67" s="47">
        <v>0</v>
      </c>
      <c r="BE67" s="47">
        <v>0</v>
      </c>
      <c r="BF67" s="47">
        <v>0</v>
      </c>
      <c r="BG67" s="47">
        <v>0</v>
      </c>
      <c r="BH67" s="301"/>
      <c r="BI67" s="125">
        <v>0</v>
      </c>
      <c r="BJ67" s="126">
        <v>0</v>
      </c>
      <c r="BK67" s="126">
        <v>0</v>
      </c>
      <c r="BL67" s="126">
        <v>0</v>
      </c>
      <c r="BM67" s="125">
        <v>0</v>
      </c>
      <c r="BN67" s="126">
        <v>0</v>
      </c>
      <c r="BO67" s="126">
        <v>0</v>
      </c>
      <c r="BP67" s="126">
        <v>0</v>
      </c>
    </row>
    <row r="68" spans="1:68" ht="80.25" hidden="1" customHeight="1">
      <c r="A68" s="812" t="s">
        <v>48</v>
      </c>
      <c r="B68" s="78" t="s">
        <v>286</v>
      </c>
      <c r="C68" s="815">
        <v>200</v>
      </c>
      <c r="D68" s="815">
        <v>180</v>
      </c>
      <c r="E68" s="815"/>
      <c r="F68" s="815"/>
      <c r="G68" s="707"/>
      <c r="H68" s="707"/>
      <c r="I68" s="820" t="s">
        <v>20</v>
      </c>
      <c r="J68" s="806">
        <v>18824.2</v>
      </c>
      <c r="K68" s="16">
        <v>0</v>
      </c>
      <c r="L68" s="82">
        <f>L69+L71</f>
        <v>5710.74</v>
      </c>
      <c r="M68" s="82">
        <f t="shared" ref="M68:O68" si="110">M69+M71</f>
        <v>893.45</v>
      </c>
      <c r="N68" s="82">
        <f t="shared" si="110"/>
        <v>1051.49</v>
      </c>
      <c r="O68" s="82">
        <f t="shared" si="110"/>
        <v>11206.2</v>
      </c>
      <c r="P68" s="82">
        <f>P69+P71</f>
        <v>3765.8</v>
      </c>
      <c r="Q68" s="82">
        <f>Q69+Q71</f>
        <v>0</v>
      </c>
      <c r="R68" s="82">
        <f t="shared" ref="R68:AN68" si="111">R69+R71</f>
        <v>0</v>
      </c>
      <c r="S68" s="82">
        <f t="shared" si="111"/>
        <v>0</v>
      </c>
      <c r="T68" s="82">
        <f t="shared" si="111"/>
        <v>0</v>
      </c>
      <c r="U68" s="82">
        <f t="shared" si="111"/>
        <v>0</v>
      </c>
      <c r="V68" s="82">
        <f t="shared" si="111"/>
        <v>0</v>
      </c>
      <c r="W68" s="82">
        <f t="shared" si="111"/>
        <v>0</v>
      </c>
      <c r="X68" s="82">
        <f t="shared" si="111"/>
        <v>0</v>
      </c>
      <c r="Y68" s="82">
        <f t="shared" si="111"/>
        <v>0</v>
      </c>
      <c r="Z68" s="82">
        <f t="shared" si="111"/>
        <v>0</v>
      </c>
      <c r="AA68" s="82">
        <f t="shared" si="111"/>
        <v>0</v>
      </c>
      <c r="AB68" s="82">
        <f t="shared" si="111"/>
        <v>0</v>
      </c>
      <c r="AC68" s="82">
        <f t="shared" si="111"/>
        <v>0</v>
      </c>
      <c r="AD68" s="82">
        <f t="shared" si="111"/>
        <v>0</v>
      </c>
      <c r="AE68" s="82">
        <f t="shared" si="111"/>
        <v>0</v>
      </c>
      <c r="AF68" s="82">
        <f t="shared" si="111"/>
        <v>0</v>
      </c>
      <c r="AG68" s="82">
        <f t="shared" si="111"/>
        <v>0</v>
      </c>
      <c r="AH68" s="82">
        <f t="shared" si="111"/>
        <v>0</v>
      </c>
      <c r="AI68" s="82">
        <f t="shared" si="111"/>
        <v>0</v>
      </c>
      <c r="AJ68" s="82">
        <f>P68-Q68</f>
        <v>3765.8</v>
      </c>
      <c r="AK68" s="82">
        <f>AJ68</f>
        <v>3765.8</v>
      </c>
      <c r="AL68" s="79">
        <f>ROUND((Q68*100%/P68*100),2)</f>
        <v>0</v>
      </c>
      <c r="AM68" s="82">
        <f t="shared" si="111"/>
        <v>0</v>
      </c>
      <c r="AN68" s="82">
        <f t="shared" si="111"/>
        <v>0</v>
      </c>
      <c r="AO68" s="411" t="s">
        <v>281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22">
        <v>0</v>
      </c>
      <c r="BA68" s="22">
        <v>0</v>
      </c>
      <c r="BB68" s="22">
        <v>0</v>
      </c>
      <c r="BC68" s="22">
        <v>0</v>
      </c>
      <c r="BD68" s="22">
        <v>0</v>
      </c>
      <c r="BE68" s="22">
        <v>0</v>
      </c>
      <c r="BF68" s="22">
        <v>0</v>
      </c>
      <c r="BG68" s="22">
        <v>0</v>
      </c>
      <c r="BH68" s="302"/>
      <c r="BI68" s="125">
        <v>0</v>
      </c>
      <c r="BJ68" s="126">
        <v>0</v>
      </c>
      <c r="BK68" s="126">
        <v>0</v>
      </c>
      <c r="BL68" s="126">
        <v>0</v>
      </c>
      <c r="BM68" s="125">
        <v>0</v>
      </c>
      <c r="BN68" s="126">
        <v>0</v>
      </c>
      <c r="BO68" s="126">
        <v>0</v>
      </c>
      <c r="BP68" s="126">
        <v>0</v>
      </c>
    </row>
    <row r="69" spans="1:68" ht="15.75" hidden="1" customHeight="1">
      <c r="A69" s="813"/>
      <c r="B69" s="717" t="s">
        <v>15</v>
      </c>
      <c r="C69" s="816"/>
      <c r="D69" s="816"/>
      <c r="E69" s="816"/>
      <c r="F69" s="816"/>
      <c r="G69" s="697">
        <v>2019</v>
      </c>
      <c r="H69" s="697">
        <v>2019</v>
      </c>
      <c r="I69" s="822"/>
      <c r="J69" s="807"/>
      <c r="K69" s="16"/>
      <c r="L69" s="22">
        <v>1944.94</v>
      </c>
      <c r="M69" s="47">
        <v>893.45</v>
      </c>
      <c r="N69" s="47">
        <v>1051.49</v>
      </c>
      <c r="O69" s="47">
        <v>0</v>
      </c>
      <c r="P69" s="47">
        <v>0</v>
      </c>
      <c r="Q69" s="47">
        <f>SUM(Q70)</f>
        <v>0</v>
      </c>
      <c r="R69" s="47">
        <f t="shared" ref="R69:AF69" si="112">SUM(R70)</f>
        <v>0</v>
      </c>
      <c r="S69" s="47">
        <f t="shared" si="112"/>
        <v>0</v>
      </c>
      <c r="T69" s="47">
        <f t="shared" si="112"/>
        <v>0</v>
      </c>
      <c r="U69" s="47">
        <f t="shared" si="112"/>
        <v>0</v>
      </c>
      <c r="V69" s="47">
        <f t="shared" si="112"/>
        <v>0</v>
      </c>
      <c r="W69" s="47">
        <f t="shared" si="112"/>
        <v>0</v>
      </c>
      <c r="X69" s="47">
        <v>0</v>
      </c>
      <c r="Y69" s="47">
        <f t="shared" si="112"/>
        <v>0</v>
      </c>
      <c r="Z69" s="47">
        <f>SUM(Z70)</f>
        <v>0</v>
      </c>
      <c r="AA69" s="47">
        <f t="shared" si="112"/>
        <v>0</v>
      </c>
      <c r="AB69" s="47">
        <v>0</v>
      </c>
      <c r="AC69" s="47">
        <v>0</v>
      </c>
      <c r="AD69" s="47">
        <v>0</v>
      </c>
      <c r="AE69" s="47">
        <f t="shared" si="112"/>
        <v>0</v>
      </c>
      <c r="AF69" s="47">
        <f t="shared" si="112"/>
        <v>0</v>
      </c>
      <c r="AG69" s="47">
        <v>0</v>
      </c>
      <c r="AH69" s="47">
        <v>0</v>
      </c>
      <c r="AI69" s="47">
        <v>0</v>
      </c>
      <c r="AJ69" s="47">
        <v>0</v>
      </c>
      <c r="AK69" s="47">
        <v>0</v>
      </c>
      <c r="AL69" s="47">
        <v>0</v>
      </c>
      <c r="AM69" s="47">
        <v>0</v>
      </c>
      <c r="AN69" s="47">
        <v>0</v>
      </c>
      <c r="AO69" s="403"/>
      <c r="AP69" s="22">
        <f>AP72+AP74+AP78+AP79+AP81+AP83+AP86+AP92</f>
        <v>2156.366</v>
      </c>
      <c r="AQ69" s="22">
        <f t="shared" ref="AQ69:AZ69" si="113">AQ72+AQ74+AQ78+AQ79+AQ81+AQ83+AQ86+AQ92</f>
        <v>0</v>
      </c>
      <c r="AR69" s="22">
        <f t="shared" si="113"/>
        <v>0</v>
      </c>
      <c r="AS69" s="22">
        <f t="shared" si="113"/>
        <v>0</v>
      </c>
      <c r="AT69" s="22">
        <f t="shared" si="113"/>
        <v>370</v>
      </c>
      <c r="AU69" s="22">
        <f t="shared" si="113"/>
        <v>0</v>
      </c>
      <c r="AV69" s="22">
        <f t="shared" si="113"/>
        <v>0</v>
      </c>
      <c r="AW69" s="22">
        <f t="shared" si="113"/>
        <v>2919.9059999999999</v>
      </c>
      <c r="AX69" s="22">
        <f t="shared" si="113"/>
        <v>1786.366</v>
      </c>
      <c r="AY69" s="22">
        <f t="shared" si="113"/>
        <v>1271.366</v>
      </c>
      <c r="AZ69" s="22">
        <f t="shared" si="113"/>
        <v>1271.366</v>
      </c>
      <c r="BA69" s="22">
        <f t="shared" ref="BA69:BG69" si="114">BA72+BA74+BA78</f>
        <v>0</v>
      </c>
      <c r="BB69" s="22">
        <f t="shared" si="114"/>
        <v>0</v>
      </c>
      <c r="BC69" s="22" t="e">
        <f t="shared" si="114"/>
        <v>#REF!</v>
      </c>
      <c r="BD69" s="22" t="e">
        <f t="shared" si="114"/>
        <v>#REF!</v>
      </c>
      <c r="BE69" s="22" t="e">
        <f t="shared" si="114"/>
        <v>#REF!</v>
      </c>
      <c r="BF69" s="22">
        <f t="shared" si="114"/>
        <v>0</v>
      </c>
      <c r="BG69" s="22">
        <f t="shared" si="114"/>
        <v>0</v>
      </c>
      <c r="BH69" s="302"/>
      <c r="BI69" s="125">
        <v>0</v>
      </c>
      <c r="BJ69" s="126">
        <v>0</v>
      </c>
      <c r="BK69" s="126">
        <v>0</v>
      </c>
      <c r="BL69" s="126">
        <v>0</v>
      </c>
      <c r="BM69" s="125">
        <v>0</v>
      </c>
      <c r="BN69" s="126">
        <v>0</v>
      </c>
      <c r="BO69" s="126">
        <v>0</v>
      </c>
      <c r="BP69" s="126">
        <v>0</v>
      </c>
    </row>
    <row r="70" spans="1:68" s="100" customFormat="1" ht="15.75" hidden="1" customHeight="1">
      <c r="A70" s="813"/>
      <c r="B70" s="95" t="s">
        <v>258</v>
      </c>
      <c r="C70" s="816"/>
      <c r="D70" s="816"/>
      <c r="E70" s="816"/>
      <c r="F70" s="816"/>
      <c r="G70" s="267"/>
      <c r="H70" s="267"/>
      <c r="I70" s="822"/>
      <c r="J70" s="807"/>
      <c r="K70" s="110"/>
      <c r="L70" s="110"/>
      <c r="M70" s="99"/>
      <c r="N70" s="98"/>
      <c r="O70" s="98"/>
      <c r="P70" s="47"/>
      <c r="Q70" s="99">
        <f>S70+U70+W70</f>
        <v>0</v>
      </c>
      <c r="R70" s="99">
        <f>S70</f>
        <v>0</v>
      </c>
      <c r="S70" s="99">
        <v>0</v>
      </c>
      <c r="T70" s="99">
        <v>0</v>
      </c>
      <c r="U70" s="99">
        <v>0</v>
      </c>
      <c r="V70" s="99">
        <v>0</v>
      </c>
      <c r="W70" s="99">
        <v>0</v>
      </c>
      <c r="X70" s="99"/>
      <c r="Y70" s="99"/>
      <c r="Z70" s="99">
        <f>AA70</f>
        <v>0</v>
      </c>
      <c r="AA70" s="99">
        <v>0</v>
      </c>
      <c r="AB70" s="99">
        <v>0</v>
      </c>
      <c r="AC70" s="99">
        <v>0</v>
      </c>
      <c r="AD70" s="99">
        <v>0</v>
      </c>
      <c r="AE70" s="99">
        <f>SUM(AF70:AF70)</f>
        <v>0</v>
      </c>
      <c r="AF70" s="99"/>
      <c r="AG70" s="99"/>
      <c r="AH70" s="99"/>
      <c r="AI70" s="99"/>
      <c r="AJ70" s="99"/>
      <c r="AK70" s="99"/>
      <c r="AL70" s="99"/>
      <c r="AM70" s="99"/>
      <c r="AN70" s="99"/>
      <c r="AO70" s="412"/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0</v>
      </c>
      <c r="AW70" s="22">
        <v>0</v>
      </c>
      <c r="AX70" s="22">
        <v>0</v>
      </c>
      <c r="AY70" s="22">
        <v>0</v>
      </c>
      <c r="AZ70" s="22">
        <v>0</v>
      </c>
      <c r="BA70" s="22">
        <v>0</v>
      </c>
      <c r="BB70" s="22">
        <v>0</v>
      </c>
      <c r="BC70" s="22">
        <v>0</v>
      </c>
      <c r="BD70" s="22">
        <v>0</v>
      </c>
      <c r="BE70" s="22">
        <v>0</v>
      </c>
      <c r="BF70" s="22">
        <v>0</v>
      </c>
      <c r="BG70" s="22">
        <v>0</v>
      </c>
      <c r="BH70" s="302"/>
      <c r="BI70" s="125">
        <v>0</v>
      </c>
      <c r="BJ70" s="126">
        <v>0</v>
      </c>
      <c r="BK70" s="126">
        <v>0</v>
      </c>
      <c r="BL70" s="126">
        <v>0</v>
      </c>
      <c r="BM70" s="125">
        <v>0</v>
      </c>
      <c r="BN70" s="126">
        <v>0</v>
      </c>
      <c r="BO70" s="126">
        <v>0</v>
      </c>
      <c r="BP70" s="126">
        <v>0</v>
      </c>
    </row>
    <row r="71" spans="1:68" ht="15.75" hidden="1" customHeight="1">
      <c r="A71" s="813"/>
      <c r="B71" s="717" t="s">
        <v>16</v>
      </c>
      <c r="C71" s="816"/>
      <c r="D71" s="816"/>
      <c r="E71" s="816"/>
      <c r="F71" s="816"/>
      <c r="G71" s="697">
        <v>2020</v>
      </c>
      <c r="H71" s="697">
        <v>2020</v>
      </c>
      <c r="I71" s="821"/>
      <c r="J71" s="808"/>
      <c r="K71" s="22">
        <v>0</v>
      </c>
      <c r="L71" s="22">
        <v>3765.8</v>
      </c>
      <c r="M71" s="47">
        <v>0</v>
      </c>
      <c r="N71" s="47">
        <v>0</v>
      </c>
      <c r="O71" s="47">
        <v>11206.2</v>
      </c>
      <c r="P71" s="47">
        <v>3765.8</v>
      </c>
      <c r="Q71" s="47">
        <v>0</v>
      </c>
      <c r="R71" s="47">
        <v>0</v>
      </c>
      <c r="S71" s="47">
        <v>0</v>
      </c>
      <c r="T71" s="47">
        <v>0</v>
      </c>
      <c r="U71" s="47">
        <v>0</v>
      </c>
      <c r="V71" s="47">
        <v>0</v>
      </c>
      <c r="W71" s="47">
        <v>0</v>
      </c>
      <c r="X71" s="47">
        <v>0</v>
      </c>
      <c r="Y71" s="47">
        <v>0</v>
      </c>
      <c r="Z71" s="47">
        <v>0</v>
      </c>
      <c r="AA71" s="47">
        <v>0</v>
      </c>
      <c r="AB71" s="47">
        <v>0</v>
      </c>
      <c r="AC71" s="47">
        <v>0</v>
      </c>
      <c r="AD71" s="47">
        <v>0</v>
      </c>
      <c r="AE71" s="47">
        <v>0</v>
      </c>
      <c r="AF71" s="47">
        <v>0</v>
      </c>
      <c r="AG71" s="47">
        <v>0</v>
      </c>
      <c r="AH71" s="47">
        <v>0</v>
      </c>
      <c r="AI71" s="47">
        <v>0</v>
      </c>
      <c r="AJ71" s="47">
        <v>0</v>
      </c>
      <c r="AK71" s="47">
        <v>0</v>
      </c>
      <c r="AL71" s="47">
        <v>0</v>
      </c>
      <c r="AM71" s="47">
        <v>0</v>
      </c>
      <c r="AN71" s="47">
        <v>0</v>
      </c>
      <c r="AO71" s="403"/>
      <c r="AP71" s="22">
        <v>0</v>
      </c>
      <c r="AQ71" s="22">
        <v>0</v>
      </c>
      <c r="AR71" s="22">
        <v>0</v>
      </c>
      <c r="AS71" s="22">
        <v>0</v>
      </c>
      <c r="AT71" s="22">
        <v>0</v>
      </c>
      <c r="AU71" s="22">
        <v>0</v>
      </c>
      <c r="AV71" s="22">
        <v>0</v>
      </c>
      <c r="AW71" s="22">
        <v>0</v>
      </c>
      <c r="AX71" s="22">
        <v>0</v>
      </c>
      <c r="AY71" s="22">
        <v>0</v>
      </c>
      <c r="AZ71" s="22">
        <v>0</v>
      </c>
      <c r="BA71" s="22">
        <v>0</v>
      </c>
      <c r="BB71" s="22">
        <v>0</v>
      </c>
      <c r="BC71" s="22">
        <v>0</v>
      </c>
      <c r="BD71" s="22">
        <v>0</v>
      </c>
      <c r="BE71" s="22">
        <v>0</v>
      </c>
      <c r="BF71" s="22">
        <v>0</v>
      </c>
      <c r="BG71" s="22">
        <v>0</v>
      </c>
      <c r="BH71" s="302"/>
      <c r="BI71" s="125">
        <v>0</v>
      </c>
      <c r="BJ71" s="126">
        <v>0</v>
      </c>
      <c r="BK71" s="126">
        <v>0</v>
      </c>
      <c r="BL71" s="126">
        <v>0</v>
      </c>
      <c r="BM71" s="125">
        <v>0</v>
      </c>
      <c r="BN71" s="126">
        <v>0</v>
      </c>
      <c r="BO71" s="126">
        <v>0</v>
      </c>
      <c r="BP71" s="126">
        <v>0</v>
      </c>
    </row>
    <row r="72" spans="1:68" ht="52.5" customHeight="1">
      <c r="A72" s="833" t="s">
        <v>56</v>
      </c>
      <c r="B72" s="889" t="s">
        <v>41</v>
      </c>
      <c r="C72" s="890"/>
      <c r="D72" s="890"/>
      <c r="E72" s="890"/>
      <c r="F72" s="890"/>
      <c r="G72" s="890"/>
      <c r="H72" s="891"/>
      <c r="I72" s="15" t="s">
        <v>19</v>
      </c>
      <c r="J72" s="733">
        <v>0</v>
      </c>
      <c r="K72" s="733">
        <v>0</v>
      </c>
      <c r="L72" s="16">
        <f t="shared" si="39"/>
        <v>0</v>
      </c>
      <c r="M72" s="16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404"/>
      <c r="AP72" s="82">
        <v>0</v>
      </c>
      <c r="AQ72" s="82">
        <v>0</v>
      </c>
      <c r="AR72" s="82">
        <v>0</v>
      </c>
      <c r="AS72" s="82">
        <v>0</v>
      </c>
      <c r="AT72" s="82">
        <v>0</v>
      </c>
      <c r="AU72" s="82">
        <v>0</v>
      </c>
      <c r="AV72" s="82">
        <v>0</v>
      </c>
      <c r="AW72" s="82">
        <v>0</v>
      </c>
      <c r="AX72" s="82">
        <v>0</v>
      </c>
      <c r="AY72" s="82">
        <v>0</v>
      </c>
      <c r="AZ72" s="82">
        <v>0</v>
      </c>
      <c r="BA72" s="82">
        <v>0</v>
      </c>
      <c r="BB72" s="82">
        <v>0</v>
      </c>
      <c r="BC72" s="82" t="e">
        <f>#REF!-AP72</f>
        <v>#REF!</v>
      </c>
      <c r="BD72" s="82" t="e">
        <f>BC72</f>
        <v>#REF!</v>
      </c>
      <c r="BE72" s="79" t="e">
        <f>ROUND((AP72*100%/#REF!*100),2)</f>
        <v>#REF!</v>
      </c>
      <c r="BF72" s="82">
        <v>0</v>
      </c>
      <c r="BG72" s="82">
        <v>0</v>
      </c>
      <c r="BH72" s="308"/>
      <c r="BI72" s="125">
        <v>0</v>
      </c>
      <c r="BJ72" s="126">
        <v>0</v>
      </c>
      <c r="BK72" s="126">
        <v>0</v>
      </c>
      <c r="BL72" s="126">
        <f>BL73</f>
        <v>0</v>
      </c>
      <c r="BM72" s="125">
        <v>0</v>
      </c>
      <c r="BN72" s="126">
        <v>0</v>
      </c>
      <c r="BO72" s="126">
        <v>0</v>
      </c>
      <c r="BP72" s="126">
        <v>0</v>
      </c>
    </row>
    <row r="73" spans="1:68" ht="39.75" customHeight="1">
      <c r="A73" s="834"/>
      <c r="B73" s="892"/>
      <c r="C73" s="893"/>
      <c r="D73" s="893"/>
      <c r="E73" s="893"/>
      <c r="F73" s="893"/>
      <c r="G73" s="893"/>
      <c r="H73" s="894"/>
      <c r="I73" s="15" t="s">
        <v>20</v>
      </c>
      <c r="J73" s="733">
        <f>L73</f>
        <v>212998.96</v>
      </c>
      <c r="K73" s="733">
        <f>K76+K123+K124+K125</f>
        <v>0</v>
      </c>
      <c r="L73" s="16">
        <f>L76+L80+L86+L87+L90+L93+L96+L102+L107+L110+L114+L119</f>
        <v>212998.96</v>
      </c>
      <c r="M73" s="16">
        <f>M76+M80+M86+M87+M90+M93+M96+M102</f>
        <v>23675.279999999999</v>
      </c>
      <c r="N73" s="22">
        <f>N76+N80+N86+N87+N90+N93+N96+N102+N107+N110+N114+N119</f>
        <v>44561.120000000003</v>
      </c>
      <c r="O73" s="22">
        <f>O76+O80+O86+O87+O90+O93+O96+O102+O107+O110+O114+O119</f>
        <v>26487.67</v>
      </c>
      <c r="P73" s="22">
        <f>P76+P80+P86+P87+P90+P93+P96+P102+P107+P110+P114+P119</f>
        <v>29055.58</v>
      </c>
      <c r="Q73" s="22" t="e">
        <f>Q76+Q80+Q86+Q87+Q90+Q93+Q96+Q102+R107+Q110+Q114+Q119</f>
        <v>#REF!</v>
      </c>
      <c r="R73" s="22" t="e">
        <f>R76+R80+R86+R87+R90+R93+R96+R102+R107+R110+R114+R119</f>
        <v>#REF!</v>
      </c>
      <c r="S73" s="22" t="e">
        <f>S76+S80+S86+S87+S90+S93+S96+S102+S107+S110+S114+S119</f>
        <v>#REF!</v>
      </c>
      <c r="T73" s="22" t="e">
        <f t="shared" ref="T73:Y73" si="115">T76+T80+T86+T87+T90+T93+T96+T102+U107+T110+T114+T119</f>
        <v>#REF!</v>
      </c>
      <c r="U73" s="22" t="e">
        <f t="shared" si="115"/>
        <v>#REF!</v>
      </c>
      <c r="V73" s="22">
        <f t="shared" si="115"/>
        <v>1893.52</v>
      </c>
      <c r="W73" s="22">
        <f t="shared" si="115"/>
        <v>1893.52</v>
      </c>
      <c r="X73" s="22">
        <f t="shared" si="115"/>
        <v>0</v>
      </c>
      <c r="Y73" s="22">
        <f t="shared" si="115"/>
        <v>48.6</v>
      </c>
      <c r="Z73" s="22">
        <f>Z76+Z80+Z86+Z87+Z90+Z93+Z96+Z102+Z107+Z110+Z114+Z119</f>
        <v>4296.9130000000005</v>
      </c>
      <c r="AA73" s="22">
        <f>AA76+AA80+AA86+AA87+AA90+AA93+AA96+AA102+AA107+AA110+AA114+AA119</f>
        <v>48.6</v>
      </c>
      <c r="AB73" s="22">
        <f>AB76+AB80+AB86+AB87+AB90+AB93+AB96+AB102+AC107+AB110+AB114+AB119</f>
        <v>1088.5</v>
      </c>
      <c r="AC73" s="22">
        <f>AC76+AC80+AC86+AC87+AC90+AC93+AC96+AC102+AD107+AC110+AC114+AC119</f>
        <v>3159.8130000000001</v>
      </c>
      <c r="AD73" s="22">
        <f>AD76+AD80+AD86+AD87+AD90+AD93+AD96+AD102+AE107+AD110+AD114+AD119</f>
        <v>0</v>
      </c>
      <c r="AE73" s="22">
        <f>AE76+AE80+AE86+AE87+AE90+AE93+AE96+AE102+AF107+AE110+AE114+AE119</f>
        <v>0</v>
      </c>
      <c r="AF73" s="22">
        <f>AF76+AF80+AF86+AF87+AF90+AF93+AF96+AF102+AG107+AF110+AF114+AF119</f>
        <v>0</v>
      </c>
      <c r="AG73" s="22">
        <f t="shared" ref="AG73:AH73" si="116">AG76+AG80+AG86</f>
        <v>0</v>
      </c>
      <c r="AH73" s="22">
        <f t="shared" si="116"/>
        <v>0</v>
      </c>
      <c r="AI73" s="22">
        <f>AI76+AI80+AI86+AI119</f>
        <v>0</v>
      </c>
      <c r="AJ73" s="22">
        <f>AJ76+AJ80+AJ86</f>
        <v>-1197.97</v>
      </c>
      <c r="AK73" s="22">
        <f>AK76+AK80+AK86</f>
        <v>-1197.97</v>
      </c>
      <c r="AL73" s="22">
        <f>AL76+AL80+AL86</f>
        <v>530.29</v>
      </c>
      <c r="AM73" s="22">
        <f>AM76+AM80+AM86</f>
        <v>0</v>
      </c>
      <c r="AN73" s="22">
        <f>AN76+AN80+AN86</f>
        <v>0</v>
      </c>
      <c r="AO73" s="404"/>
      <c r="AP73" s="47">
        <v>0</v>
      </c>
      <c r="AQ73" s="47"/>
      <c r="AR73" s="47"/>
      <c r="AS73" s="47"/>
      <c r="AT73" s="47"/>
      <c r="AU73" s="47"/>
      <c r="AV73" s="47"/>
      <c r="AW73" s="47">
        <v>0</v>
      </c>
      <c r="AX73" s="47">
        <v>0</v>
      </c>
      <c r="AY73" s="47">
        <v>0</v>
      </c>
      <c r="AZ73" s="47">
        <v>0</v>
      </c>
      <c r="BA73" s="47">
        <v>0</v>
      </c>
      <c r="BB73" s="47">
        <v>0</v>
      </c>
      <c r="BC73" s="47">
        <v>0</v>
      </c>
      <c r="BD73" s="47">
        <v>0</v>
      </c>
      <c r="BE73" s="4">
        <v>0</v>
      </c>
      <c r="BF73" s="47">
        <v>0</v>
      </c>
      <c r="BG73" s="47">
        <v>0</v>
      </c>
      <c r="BH73" s="301"/>
      <c r="BI73" s="486">
        <v>0</v>
      </c>
      <c r="BJ73" s="124">
        <v>0</v>
      </c>
      <c r="BK73" s="124"/>
      <c r="BL73" s="124">
        <v>0</v>
      </c>
      <c r="BM73" s="125">
        <v>0</v>
      </c>
      <c r="BN73" s="126">
        <v>0</v>
      </c>
      <c r="BO73" s="126">
        <v>0</v>
      </c>
      <c r="BP73" s="126">
        <v>0</v>
      </c>
    </row>
    <row r="74" spans="1:68" ht="27" customHeight="1">
      <c r="A74" s="834"/>
      <c r="B74" s="892"/>
      <c r="C74" s="893"/>
      <c r="D74" s="893"/>
      <c r="E74" s="893"/>
      <c r="F74" s="893"/>
      <c r="G74" s="893"/>
      <c r="H74" s="894"/>
      <c r="I74" s="15" t="s">
        <v>10</v>
      </c>
      <c r="J74" s="733">
        <f t="shared" ref="J74:J75" si="117">L74</f>
        <v>0</v>
      </c>
      <c r="K74" s="733">
        <v>0</v>
      </c>
      <c r="L74" s="16">
        <f t="shared" ref="L74:L86" si="118">M74+N74+O74</f>
        <v>0</v>
      </c>
      <c r="M74" s="16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0</v>
      </c>
      <c r="AL74" s="22">
        <v>0</v>
      </c>
      <c r="AM74" s="22">
        <v>0</v>
      </c>
      <c r="AN74" s="22">
        <v>0</v>
      </c>
      <c r="AO74" s="404"/>
      <c r="AP74" s="82">
        <f t="shared" ref="AP74:BG74" si="119">AP75+AP77</f>
        <v>740</v>
      </c>
      <c r="AQ74" s="82">
        <f t="shared" si="119"/>
        <v>0</v>
      </c>
      <c r="AR74" s="82">
        <f t="shared" si="119"/>
        <v>0</v>
      </c>
      <c r="AS74" s="82">
        <f t="shared" si="119"/>
        <v>0</v>
      </c>
      <c r="AT74" s="82">
        <f t="shared" si="119"/>
        <v>370</v>
      </c>
      <c r="AU74" s="82">
        <f t="shared" si="119"/>
        <v>0</v>
      </c>
      <c r="AV74" s="82">
        <f t="shared" si="119"/>
        <v>0</v>
      </c>
      <c r="AW74" s="82">
        <f t="shared" si="119"/>
        <v>0</v>
      </c>
      <c r="AX74" s="82">
        <f t="shared" si="119"/>
        <v>370</v>
      </c>
      <c r="AY74" s="82">
        <f t="shared" si="119"/>
        <v>740</v>
      </c>
      <c r="AZ74" s="82">
        <f t="shared" si="119"/>
        <v>740</v>
      </c>
      <c r="BA74" s="82">
        <f t="shared" si="119"/>
        <v>0</v>
      </c>
      <c r="BB74" s="82">
        <f t="shared" si="119"/>
        <v>0</v>
      </c>
      <c r="BC74" s="82" t="e">
        <f>#REF!-AP74</f>
        <v>#REF!</v>
      </c>
      <c r="BD74" s="82" t="e">
        <f>BC74</f>
        <v>#REF!</v>
      </c>
      <c r="BE74" s="79">
        <v>0</v>
      </c>
      <c r="BF74" s="82">
        <f t="shared" si="119"/>
        <v>0</v>
      </c>
      <c r="BG74" s="82">
        <f t="shared" si="119"/>
        <v>0</v>
      </c>
      <c r="BH74" s="308"/>
      <c r="BI74" s="125">
        <v>0</v>
      </c>
      <c r="BJ74" s="126">
        <v>0</v>
      </c>
      <c r="BK74" s="126">
        <v>0</v>
      </c>
      <c r="BL74" s="126">
        <v>0</v>
      </c>
      <c r="BM74" s="125">
        <v>0</v>
      </c>
      <c r="BN74" s="126">
        <v>0</v>
      </c>
      <c r="BO74" s="126">
        <v>0</v>
      </c>
      <c r="BP74" s="126">
        <v>0</v>
      </c>
    </row>
    <row r="75" spans="1:68" ht="27" customHeight="1">
      <c r="A75" s="835"/>
      <c r="B75" s="895"/>
      <c r="C75" s="896"/>
      <c r="D75" s="896"/>
      <c r="E75" s="896"/>
      <c r="F75" s="896"/>
      <c r="G75" s="896"/>
      <c r="H75" s="897"/>
      <c r="I75" s="15" t="s">
        <v>9</v>
      </c>
      <c r="J75" s="733">
        <f t="shared" si="117"/>
        <v>0</v>
      </c>
      <c r="K75" s="733">
        <v>0</v>
      </c>
      <c r="L75" s="16">
        <f t="shared" si="118"/>
        <v>0</v>
      </c>
      <c r="M75" s="16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22">
        <v>0</v>
      </c>
      <c r="AG75" s="22">
        <v>0</v>
      </c>
      <c r="AH75" s="22">
        <v>0</v>
      </c>
      <c r="AI75" s="22">
        <v>0</v>
      </c>
      <c r="AJ75" s="22">
        <v>0</v>
      </c>
      <c r="AK75" s="22">
        <v>0</v>
      </c>
      <c r="AL75" s="22">
        <v>0</v>
      </c>
      <c r="AM75" s="22">
        <v>0</v>
      </c>
      <c r="AN75" s="22">
        <v>0</v>
      </c>
      <c r="AO75" s="404"/>
      <c r="AP75" s="47">
        <f>AP76</f>
        <v>740</v>
      </c>
      <c r="AQ75" s="47">
        <f t="shared" ref="AQ75:AX75" si="120">AQ76</f>
        <v>0</v>
      </c>
      <c r="AR75" s="47">
        <f t="shared" si="120"/>
        <v>0</v>
      </c>
      <c r="AS75" s="47">
        <f t="shared" si="120"/>
        <v>0</v>
      </c>
      <c r="AT75" s="47">
        <f t="shared" si="120"/>
        <v>370</v>
      </c>
      <c r="AU75" s="47">
        <f t="shared" si="120"/>
        <v>0</v>
      </c>
      <c r="AV75" s="47">
        <f t="shared" si="120"/>
        <v>0</v>
      </c>
      <c r="AW75" s="47">
        <f t="shared" si="120"/>
        <v>0</v>
      </c>
      <c r="AX75" s="47">
        <f t="shared" si="120"/>
        <v>370</v>
      </c>
      <c r="AY75" s="47">
        <f>AY76</f>
        <v>740</v>
      </c>
      <c r="AZ75" s="47">
        <f t="shared" ref="AZ75" si="121">AZ76</f>
        <v>740</v>
      </c>
      <c r="BA75" s="47">
        <v>0</v>
      </c>
      <c r="BB75" s="47">
        <v>0</v>
      </c>
      <c r="BC75" s="47">
        <v>0</v>
      </c>
      <c r="BD75" s="47">
        <v>0</v>
      </c>
      <c r="BE75" s="47">
        <v>0</v>
      </c>
      <c r="BF75" s="47">
        <v>0</v>
      </c>
      <c r="BG75" s="47">
        <v>0</v>
      </c>
      <c r="BH75" s="301"/>
      <c r="BI75" s="486">
        <v>0</v>
      </c>
      <c r="BJ75" s="487">
        <v>0</v>
      </c>
      <c r="BK75" s="487">
        <v>0</v>
      </c>
      <c r="BL75" s="487">
        <v>0</v>
      </c>
      <c r="BM75" s="125">
        <v>0</v>
      </c>
      <c r="BN75" s="126">
        <v>0</v>
      </c>
      <c r="BO75" s="126">
        <v>0</v>
      </c>
      <c r="BP75" s="126">
        <v>0</v>
      </c>
    </row>
    <row r="76" spans="1:68" ht="78.75" customHeight="1">
      <c r="A76" s="812" t="s">
        <v>57</v>
      </c>
      <c r="B76" s="80" t="s">
        <v>371</v>
      </c>
      <c r="C76" s="720"/>
      <c r="D76" s="720"/>
      <c r="E76" s="720"/>
      <c r="F76" s="720"/>
      <c r="G76" s="725">
        <v>2019</v>
      </c>
      <c r="H76" s="725">
        <v>2019</v>
      </c>
      <c r="I76" s="820" t="s">
        <v>20</v>
      </c>
      <c r="J76" s="16">
        <f>L76</f>
        <v>30833.33</v>
      </c>
      <c r="K76" s="22"/>
      <c r="L76" s="82">
        <f>L77</f>
        <v>30833.33</v>
      </c>
      <c r="M76" s="82">
        <f t="shared" ref="M76:P76" si="122">M77</f>
        <v>20000</v>
      </c>
      <c r="N76" s="82">
        <f t="shared" si="122"/>
        <v>9151.41</v>
      </c>
      <c r="O76" s="82">
        <f t="shared" si="122"/>
        <v>0</v>
      </c>
      <c r="P76" s="82">
        <f t="shared" si="122"/>
        <v>1681.92</v>
      </c>
      <c r="Q76" s="82">
        <f>Q77</f>
        <v>0</v>
      </c>
      <c r="R76" s="82">
        <f>R77</f>
        <v>0</v>
      </c>
      <c r="S76" s="82">
        <f>S77</f>
        <v>0</v>
      </c>
      <c r="T76" s="82">
        <f t="shared" ref="T76:AB76" si="123">T77</f>
        <v>0</v>
      </c>
      <c r="U76" s="82">
        <f t="shared" si="123"/>
        <v>0</v>
      </c>
      <c r="V76" s="82">
        <f t="shared" si="123"/>
        <v>0</v>
      </c>
      <c r="W76" s="82">
        <f t="shared" si="123"/>
        <v>0</v>
      </c>
      <c r="X76" s="82">
        <f t="shared" si="123"/>
        <v>0</v>
      </c>
      <c r="Y76" s="82">
        <f t="shared" si="123"/>
        <v>0</v>
      </c>
      <c r="Z76" s="82">
        <f t="shared" si="123"/>
        <v>0</v>
      </c>
      <c r="AA76" s="82">
        <f t="shared" si="123"/>
        <v>0</v>
      </c>
      <c r="AB76" s="82">
        <f t="shared" si="123"/>
        <v>0</v>
      </c>
      <c r="AC76" s="82">
        <f>AC77</f>
        <v>0</v>
      </c>
      <c r="AD76" s="82">
        <f t="shared" ref="AD76:AI76" si="124">AD77</f>
        <v>0</v>
      </c>
      <c r="AE76" s="82">
        <f t="shared" si="124"/>
        <v>0</v>
      </c>
      <c r="AF76" s="82">
        <f t="shared" si="124"/>
        <v>0</v>
      </c>
      <c r="AG76" s="82">
        <f t="shared" si="124"/>
        <v>0</v>
      </c>
      <c r="AH76" s="82">
        <f t="shared" si="124"/>
        <v>0</v>
      </c>
      <c r="AI76" s="82">
        <f t="shared" si="124"/>
        <v>0</v>
      </c>
      <c r="AJ76" s="82">
        <v>0</v>
      </c>
      <c r="AK76" s="82">
        <f>AJ76</f>
        <v>0</v>
      </c>
      <c r="AL76" s="79">
        <f>ROUND((Q76*100%/P76*100),2)</f>
        <v>0</v>
      </c>
      <c r="AM76" s="82">
        <v>0</v>
      </c>
      <c r="AN76" s="82">
        <v>0</v>
      </c>
      <c r="AO76" s="411" t="s">
        <v>282</v>
      </c>
      <c r="AP76" s="99">
        <f>AR76+AT76+AX76</f>
        <v>740</v>
      </c>
      <c r="AQ76" s="47">
        <v>0</v>
      </c>
      <c r="AR76" s="47">
        <v>0</v>
      </c>
      <c r="AS76" s="99">
        <v>0</v>
      </c>
      <c r="AT76" s="99">
        <v>370</v>
      </c>
      <c r="AU76" s="99"/>
      <c r="AV76" s="99"/>
      <c r="AW76" s="99"/>
      <c r="AX76" s="99">
        <v>370</v>
      </c>
      <c r="AY76" s="99">
        <v>740</v>
      </c>
      <c r="AZ76" s="99">
        <v>740</v>
      </c>
      <c r="BA76" s="99">
        <v>0</v>
      </c>
      <c r="BB76" s="99">
        <v>0</v>
      </c>
      <c r="BC76" s="99">
        <v>0</v>
      </c>
      <c r="BD76" s="99">
        <v>0</v>
      </c>
      <c r="BE76" s="99">
        <v>0</v>
      </c>
      <c r="BF76" s="99">
        <v>0</v>
      </c>
      <c r="BG76" s="99">
        <v>0</v>
      </c>
      <c r="BH76" s="309"/>
      <c r="BI76" s="81">
        <f t="shared" ref="BI76:BP76" si="125">BI77+BI78</f>
        <v>0</v>
      </c>
      <c r="BJ76" s="81">
        <f t="shared" si="125"/>
        <v>0</v>
      </c>
      <c r="BK76" s="81">
        <f t="shared" si="125"/>
        <v>0</v>
      </c>
      <c r="BL76" s="81">
        <f t="shared" si="125"/>
        <v>0</v>
      </c>
      <c r="BM76" s="81">
        <f t="shared" si="125"/>
        <v>0</v>
      </c>
      <c r="BN76" s="81">
        <f t="shared" si="125"/>
        <v>0</v>
      </c>
      <c r="BO76" s="81">
        <f t="shared" si="125"/>
        <v>0</v>
      </c>
      <c r="BP76" s="81">
        <f t="shared" si="125"/>
        <v>0</v>
      </c>
    </row>
    <row r="77" spans="1:68" s="292" customFormat="1" ht="14.25" customHeight="1">
      <c r="A77" s="814"/>
      <c r="B77" s="1" t="s">
        <v>206</v>
      </c>
      <c r="C77" s="697"/>
      <c r="D77" s="697"/>
      <c r="E77" s="697"/>
      <c r="F77" s="697"/>
      <c r="G77" s="725"/>
      <c r="H77" s="725"/>
      <c r="I77" s="877"/>
      <c r="J77" s="47"/>
      <c r="K77" s="47"/>
      <c r="L77" s="47">
        <v>30833.33</v>
      </c>
      <c r="M77" s="47">
        <v>20000</v>
      </c>
      <c r="N77" s="47">
        <v>9151.41</v>
      </c>
      <c r="O77" s="47">
        <v>0</v>
      </c>
      <c r="P77" s="47">
        <v>1681.92</v>
      </c>
      <c r="Q77" s="47">
        <f>SUM(Q78:Q79)</f>
        <v>0</v>
      </c>
      <c r="R77" s="47">
        <f>SUM(R78:R79)</f>
        <v>0</v>
      </c>
      <c r="S77" s="47">
        <f>SUM(S78:S79)</f>
        <v>0</v>
      </c>
      <c r="T77" s="47">
        <f t="shared" ref="T77:AB77" si="126">SUM(T78:T79)</f>
        <v>0</v>
      </c>
      <c r="U77" s="47">
        <f t="shared" si="126"/>
        <v>0</v>
      </c>
      <c r="V77" s="47">
        <f t="shared" si="126"/>
        <v>0</v>
      </c>
      <c r="W77" s="47">
        <f t="shared" si="126"/>
        <v>0</v>
      </c>
      <c r="X77" s="47">
        <f t="shared" si="126"/>
        <v>0</v>
      </c>
      <c r="Y77" s="47">
        <f t="shared" si="126"/>
        <v>0</v>
      </c>
      <c r="Z77" s="47">
        <f t="shared" si="126"/>
        <v>0</v>
      </c>
      <c r="AA77" s="47">
        <f t="shared" si="126"/>
        <v>0</v>
      </c>
      <c r="AB77" s="47">
        <f t="shared" si="126"/>
        <v>0</v>
      </c>
      <c r="AC77" s="47">
        <f>SUM(AC78:AC79)</f>
        <v>0</v>
      </c>
      <c r="AD77" s="47">
        <f t="shared" ref="AD77:AI77" si="127">SUM(AD78:AD79)</f>
        <v>0</v>
      </c>
      <c r="AE77" s="47">
        <f t="shared" si="127"/>
        <v>0</v>
      </c>
      <c r="AF77" s="47">
        <f t="shared" si="127"/>
        <v>0</v>
      </c>
      <c r="AG77" s="47">
        <f t="shared" si="127"/>
        <v>0</v>
      </c>
      <c r="AH77" s="47">
        <f t="shared" si="127"/>
        <v>0</v>
      </c>
      <c r="AI77" s="47">
        <f t="shared" si="127"/>
        <v>0</v>
      </c>
      <c r="AJ77" s="47">
        <v>0</v>
      </c>
      <c r="AK77" s="47">
        <v>0</v>
      </c>
      <c r="AL77" s="4">
        <v>0</v>
      </c>
      <c r="AM77" s="47">
        <v>0</v>
      </c>
      <c r="AN77" s="47">
        <v>0</v>
      </c>
      <c r="AO77" s="403"/>
      <c r="AP77" s="47">
        <v>0</v>
      </c>
      <c r="AQ77" s="47">
        <v>0</v>
      </c>
      <c r="AR77" s="47">
        <v>0</v>
      </c>
      <c r="AS77" s="47">
        <v>0</v>
      </c>
      <c r="AT77" s="47">
        <v>0</v>
      </c>
      <c r="AU77" s="47">
        <v>0</v>
      </c>
      <c r="AV77" s="47">
        <v>0</v>
      </c>
      <c r="AW77" s="47">
        <v>0</v>
      </c>
      <c r="AX77" s="47">
        <v>0</v>
      </c>
      <c r="AY77" s="47">
        <v>0</v>
      </c>
      <c r="AZ77" s="47">
        <v>0</v>
      </c>
      <c r="BA77" s="47">
        <v>0</v>
      </c>
      <c r="BB77" s="47">
        <v>0</v>
      </c>
      <c r="BC77" s="47">
        <v>0</v>
      </c>
      <c r="BD77" s="47">
        <v>0</v>
      </c>
      <c r="BE77" s="47">
        <v>0</v>
      </c>
      <c r="BF77" s="47">
        <v>0</v>
      </c>
      <c r="BG77" s="47">
        <v>0</v>
      </c>
      <c r="BH77" s="301"/>
      <c r="BI77" s="486">
        <v>0</v>
      </c>
      <c r="BJ77" s="487">
        <v>0</v>
      </c>
      <c r="BK77" s="487">
        <v>0</v>
      </c>
      <c r="BL77" s="487">
        <v>0</v>
      </c>
      <c r="BM77" s="125">
        <v>0</v>
      </c>
      <c r="BN77" s="126">
        <v>0</v>
      </c>
      <c r="BO77" s="126">
        <v>0</v>
      </c>
      <c r="BP77" s="126">
        <v>0</v>
      </c>
    </row>
    <row r="78" spans="1:68" s="273" customFormat="1" ht="25.5" hidden="1">
      <c r="A78" s="722"/>
      <c r="B78" s="105"/>
      <c r="C78" s="267"/>
      <c r="D78" s="267"/>
      <c r="E78" s="267"/>
      <c r="F78" s="267"/>
      <c r="G78" s="107"/>
      <c r="H78" s="107"/>
      <c r="I78" s="723"/>
      <c r="J78" s="99"/>
      <c r="K78" s="99"/>
      <c r="L78" s="99"/>
      <c r="M78" s="99"/>
      <c r="N78" s="99"/>
      <c r="O78" s="99"/>
      <c r="P78" s="47">
        <f>Q78</f>
        <v>0</v>
      </c>
      <c r="Q78" s="99">
        <f>S78+U78+W78+Y78</f>
        <v>0</v>
      </c>
      <c r="R78" s="99">
        <f>S78</f>
        <v>0</v>
      </c>
      <c r="S78" s="99">
        <v>0</v>
      </c>
      <c r="T78" s="99">
        <v>0</v>
      </c>
      <c r="U78" s="99">
        <v>0</v>
      </c>
      <c r="V78" s="99">
        <f>W78</f>
        <v>0</v>
      </c>
      <c r="W78" s="99">
        <v>0</v>
      </c>
      <c r="X78" s="99">
        <f>Y78</f>
        <v>0</v>
      </c>
      <c r="Y78" s="99">
        <v>0</v>
      </c>
      <c r="Z78" s="99">
        <f>AA78+AC78</f>
        <v>0</v>
      </c>
      <c r="AA78" s="99">
        <v>0</v>
      </c>
      <c r="AB78" s="99">
        <v>0</v>
      </c>
      <c r="AC78" s="99">
        <v>0</v>
      </c>
      <c r="AD78" s="99">
        <v>0</v>
      </c>
      <c r="AE78" s="99">
        <f>AF78+AG78+AH78</f>
        <v>0</v>
      </c>
      <c r="AF78" s="99"/>
      <c r="AG78" s="99"/>
      <c r="AH78" s="99">
        <v>0</v>
      </c>
      <c r="AI78" s="99"/>
      <c r="AJ78" s="99"/>
      <c r="AK78" s="99"/>
      <c r="AL78" s="275"/>
      <c r="AM78" s="99"/>
      <c r="AN78" s="99"/>
      <c r="AO78" s="412"/>
      <c r="AP78" s="357">
        <v>0</v>
      </c>
      <c r="AQ78" s="357">
        <v>0</v>
      </c>
      <c r="AR78" s="357">
        <v>0</v>
      </c>
      <c r="AS78" s="357">
        <v>0</v>
      </c>
      <c r="AT78" s="357">
        <v>0</v>
      </c>
      <c r="AU78" s="357">
        <v>0</v>
      </c>
      <c r="AV78" s="357">
        <v>0</v>
      </c>
      <c r="AW78" s="357">
        <v>0</v>
      </c>
      <c r="AX78" s="357">
        <v>0</v>
      </c>
      <c r="AY78" s="357">
        <v>0</v>
      </c>
      <c r="AZ78" s="357">
        <v>0</v>
      </c>
      <c r="BA78" s="357">
        <v>0</v>
      </c>
      <c r="BB78" s="357">
        <v>0</v>
      </c>
      <c r="BC78" s="357" t="e">
        <f>#REF!-AP78</f>
        <v>#REF!</v>
      </c>
      <c r="BD78" s="357" t="e">
        <f>BC78</f>
        <v>#REF!</v>
      </c>
      <c r="BE78" s="364">
        <v>0</v>
      </c>
      <c r="BF78" s="357">
        <v>0</v>
      </c>
      <c r="BG78" s="357">
        <v>0</v>
      </c>
      <c r="BH78" s="358" t="s">
        <v>163</v>
      </c>
      <c r="BI78" s="486"/>
      <c r="BJ78" s="487"/>
      <c r="BK78" s="487"/>
      <c r="BL78" s="487"/>
      <c r="BM78" s="125"/>
      <c r="BN78" s="126"/>
      <c r="BO78" s="126"/>
      <c r="BP78" s="126"/>
    </row>
    <row r="79" spans="1:68" s="292" customFormat="1" ht="14.25" hidden="1" customHeight="1">
      <c r="A79" s="722"/>
      <c r="B79" s="1"/>
      <c r="C79" s="697"/>
      <c r="D79" s="697"/>
      <c r="E79" s="697"/>
      <c r="F79" s="697"/>
      <c r="G79" s="725"/>
      <c r="H79" s="725"/>
      <c r="I79" s="723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"/>
      <c r="AM79" s="47"/>
      <c r="AN79" s="47"/>
      <c r="AO79" s="403"/>
      <c r="AP79" s="82">
        <f t="shared" ref="AP79:BG79" si="128">AP80</f>
        <v>0</v>
      </c>
      <c r="AQ79" s="82">
        <f t="shared" si="128"/>
        <v>0</v>
      </c>
      <c r="AR79" s="82">
        <f t="shared" si="128"/>
        <v>0</v>
      </c>
      <c r="AS79" s="82">
        <f t="shared" si="128"/>
        <v>0</v>
      </c>
      <c r="AT79" s="82">
        <f t="shared" si="128"/>
        <v>0</v>
      </c>
      <c r="AU79" s="82">
        <f t="shared" si="128"/>
        <v>0</v>
      </c>
      <c r="AV79" s="82">
        <f t="shared" si="128"/>
        <v>0</v>
      </c>
      <c r="AW79" s="82">
        <f t="shared" si="128"/>
        <v>0</v>
      </c>
      <c r="AX79" s="82">
        <f t="shared" si="128"/>
        <v>0</v>
      </c>
      <c r="AY79" s="82">
        <f t="shared" si="128"/>
        <v>0</v>
      </c>
      <c r="AZ79" s="82">
        <f t="shared" si="128"/>
        <v>0</v>
      </c>
      <c r="BA79" s="82">
        <f t="shared" si="128"/>
        <v>0</v>
      </c>
      <c r="BB79" s="82">
        <f t="shared" si="128"/>
        <v>0</v>
      </c>
      <c r="BC79" s="82">
        <f t="shared" si="128"/>
        <v>0</v>
      </c>
      <c r="BD79" s="82">
        <f t="shared" si="128"/>
        <v>0</v>
      </c>
      <c r="BE79" s="82">
        <f t="shared" si="128"/>
        <v>0</v>
      </c>
      <c r="BF79" s="82">
        <f t="shared" si="128"/>
        <v>0</v>
      </c>
      <c r="BG79" s="82">
        <f t="shared" si="128"/>
        <v>0</v>
      </c>
      <c r="BH79" s="308"/>
      <c r="BI79" s="488">
        <v>0</v>
      </c>
      <c r="BJ79" s="489">
        <v>0</v>
      </c>
      <c r="BK79" s="489">
        <v>0</v>
      </c>
      <c r="BL79" s="489">
        <v>0</v>
      </c>
      <c r="BM79" s="130">
        <v>0</v>
      </c>
      <c r="BN79" s="127">
        <v>0</v>
      </c>
      <c r="BO79" s="127">
        <v>0</v>
      </c>
      <c r="BP79" s="127">
        <v>0</v>
      </c>
    </row>
    <row r="80" spans="1:68" ht="69.75" customHeight="1">
      <c r="A80" s="44" t="s">
        <v>58</v>
      </c>
      <c r="B80" s="80" t="s">
        <v>87</v>
      </c>
      <c r="C80" s="815"/>
      <c r="D80" s="815"/>
      <c r="E80" s="815"/>
      <c r="F80" s="815"/>
      <c r="G80" s="725"/>
      <c r="H80" s="725"/>
      <c r="I80" s="820" t="s">
        <v>20</v>
      </c>
      <c r="J80" s="16">
        <f t="shared" ref="J80:J85" si="129">L80</f>
        <v>20425.87</v>
      </c>
      <c r="K80" s="22"/>
      <c r="L80" s="82">
        <f>L81+L85</f>
        <v>20425.87</v>
      </c>
      <c r="M80" s="82">
        <f t="shared" ref="M80:P80" si="130">M81+M85</f>
        <v>616.66</v>
      </c>
      <c r="N80" s="82">
        <f t="shared" si="130"/>
        <v>6665.55</v>
      </c>
      <c r="O80" s="82">
        <f t="shared" si="130"/>
        <v>4018.39</v>
      </c>
      <c r="P80" s="82">
        <f t="shared" si="130"/>
        <v>278.41000000000003</v>
      </c>
      <c r="Q80" s="82">
        <f>Q81+Q85</f>
        <v>1476.38</v>
      </c>
      <c r="R80" s="82">
        <f t="shared" ref="R80:AN80" si="131">R81+R85</f>
        <v>500</v>
      </c>
      <c r="S80" s="82">
        <f t="shared" si="131"/>
        <v>500</v>
      </c>
      <c r="T80" s="82">
        <f t="shared" si="131"/>
        <v>594.46</v>
      </c>
      <c r="U80" s="82">
        <f t="shared" si="131"/>
        <v>594.46</v>
      </c>
      <c r="V80" s="82">
        <f t="shared" si="131"/>
        <v>381.92</v>
      </c>
      <c r="W80" s="82">
        <f t="shared" si="131"/>
        <v>381.92</v>
      </c>
      <c r="X80" s="82">
        <f t="shared" si="131"/>
        <v>0</v>
      </c>
      <c r="Y80" s="82">
        <f t="shared" si="131"/>
        <v>0</v>
      </c>
      <c r="Z80" s="82">
        <f t="shared" si="131"/>
        <v>1458.5</v>
      </c>
      <c r="AA80" s="82">
        <f t="shared" si="131"/>
        <v>0</v>
      </c>
      <c r="AB80" s="82">
        <f t="shared" si="131"/>
        <v>1088.5</v>
      </c>
      <c r="AC80" s="82">
        <f t="shared" si="131"/>
        <v>370</v>
      </c>
      <c r="AD80" s="82">
        <f t="shared" si="131"/>
        <v>0</v>
      </c>
      <c r="AE80" s="82">
        <f t="shared" si="131"/>
        <v>0</v>
      </c>
      <c r="AF80" s="82">
        <f t="shared" si="131"/>
        <v>0</v>
      </c>
      <c r="AG80" s="82">
        <f t="shared" si="131"/>
        <v>0</v>
      </c>
      <c r="AH80" s="82">
        <f t="shared" si="131"/>
        <v>0</v>
      </c>
      <c r="AI80" s="82">
        <f t="shared" si="131"/>
        <v>0</v>
      </c>
      <c r="AJ80" s="82">
        <f>P80-Q80</f>
        <v>-1197.97</v>
      </c>
      <c r="AK80" s="82">
        <f>AJ80</f>
        <v>-1197.97</v>
      </c>
      <c r="AL80" s="79">
        <f>ROUND((Q80*100%/P80*100),2)</f>
        <v>530.29</v>
      </c>
      <c r="AM80" s="82">
        <f t="shared" si="131"/>
        <v>0</v>
      </c>
      <c r="AN80" s="82">
        <f t="shared" si="131"/>
        <v>0</v>
      </c>
      <c r="AO80" s="411" t="s">
        <v>248</v>
      </c>
      <c r="AP80" s="47">
        <v>0</v>
      </c>
      <c r="AQ80" s="47">
        <v>0</v>
      </c>
      <c r="AR80" s="47">
        <v>0</v>
      </c>
      <c r="AS80" s="47">
        <v>0</v>
      </c>
      <c r="AT80" s="47">
        <v>0</v>
      </c>
      <c r="AU80" s="47">
        <v>0</v>
      </c>
      <c r="AV80" s="47">
        <v>0</v>
      </c>
      <c r="AW80" s="47">
        <v>0</v>
      </c>
      <c r="AX80" s="47">
        <v>0</v>
      </c>
      <c r="AY80" s="47">
        <v>0</v>
      </c>
      <c r="AZ80" s="47">
        <v>0</v>
      </c>
      <c r="BA80" s="47">
        <v>0</v>
      </c>
      <c r="BB80" s="47">
        <v>0</v>
      </c>
      <c r="BC80" s="47">
        <v>0</v>
      </c>
      <c r="BD80" s="47">
        <v>0</v>
      </c>
      <c r="BE80" s="47">
        <v>0</v>
      </c>
      <c r="BF80" s="47">
        <v>0</v>
      </c>
      <c r="BG80" s="47">
        <v>0</v>
      </c>
      <c r="BH80" s="301"/>
      <c r="BI80" s="81">
        <f t="shared" ref="BI80:BP80" si="132">BI81+BI82</f>
        <v>0</v>
      </c>
      <c r="BJ80" s="81">
        <f t="shared" si="132"/>
        <v>0</v>
      </c>
      <c r="BK80" s="81">
        <f t="shared" si="132"/>
        <v>0</v>
      </c>
      <c r="BL80" s="81">
        <f t="shared" si="132"/>
        <v>0</v>
      </c>
      <c r="BM80" s="81">
        <f t="shared" si="132"/>
        <v>0</v>
      </c>
      <c r="BN80" s="81">
        <f t="shared" si="132"/>
        <v>0</v>
      </c>
      <c r="BO80" s="81">
        <f t="shared" si="132"/>
        <v>0</v>
      </c>
      <c r="BP80" s="81">
        <f t="shared" si="132"/>
        <v>0</v>
      </c>
    </row>
    <row r="81" spans="1:68" ht="19.5" customHeight="1">
      <c r="A81" s="44"/>
      <c r="B81" s="1" t="s">
        <v>15</v>
      </c>
      <c r="C81" s="816"/>
      <c r="D81" s="816"/>
      <c r="E81" s="816"/>
      <c r="F81" s="816"/>
      <c r="G81" s="725">
        <v>2020</v>
      </c>
      <c r="H81" s="725">
        <v>2020</v>
      </c>
      <c r="I81" s="822"/>
      <c r="J81" s="16">
        <f t="shared" si="129"/>
        <v>7560.63</v>
      </c>
      <c r="K81" s="22"/>
      <c r="L81" s="16">
        <v>7560.63</v>
      </c>
      <c r="M81" s="47">
        <v>616.66</v>
      </c>
      <c r="N81" s="47">
        <v>6665.55</v>
      </c>
      <c r="O81" s="47">
        <v>0</v>
      </c>
      <c r="P81" s="47">
        <v>278.41000000000003</v>
      </c>
      <c r="Q81" s="47">
        <f>Q82+Q83</f>
        <v>1476.38</v>
      </c>
      <c r="R81" s="47">
        <f t="shared" ref="R81:AB81" si="133">R82+R83</f>
        <v>500</v>
      </c>
      <c r="S81" s="47">
        <f t="shared" si="133"/>
        <v>500</v>
      </c>
      <c r="T81" s="47">
        <f t="shared" si="133"/>
        <v>594.46</v>
      </c>
      <c r="U81" s="47">
        <f t="shared" si="133"/>
        <v>594.46</v>
      </c>
      <c r="V81" s="47">
        <f t="shared" si="133"/>
        <v>381.92</v>
      </c>
      <c r="W81" s="47">
        <f t="shared" si="133"/>
        <v>381.92</v>
      </c>
      <c r="X81" s="47">
        <f t="shared" si="133"/>
        <v>0</v>
      </c>
      <c r="Y81" s="47">
        <f t="shared" si="133"/>
        <v>0</v>
      </c>
      <c r="Z81" s="47">
        <f>Z82+Z83+Z84</f>
        <v>1458.5</v>
      </c>
      <c r="AA81" s="47">
        <f t="shared" si="133"/>
        <v>0</v>
      </c>
      <c r="AB81" s="47">
        <f t="shared" si="133"/>
        <v>1088.5</v>
      </c>
      <c r="AC81" s="47">
        <f t="shared" ref="AC81:AG81" si="134">AC82</f>
        <v>370</v>
      </c>
      <c r="AD81" s="47">
        <f t="shared" si="134"/>
        <v>0</v>
      </c>
      <c r="AE81" s="47">
        <f t="shared" si="134"/>
        <v>0</v>
      </c>
      <c r="AF81" s="47">
        <f t="shared" si="134"/>
        <v>0</v>
      </c>
      <c r="AG81" s="47">
        <f t="shared" si="134"/>
        <v>0</v>
      </c>
      <c r="AH81" s="47">
        <f t="shared" ref="AH81:AI81" si="135">AH84</f>
        <v>0</v>
      </c>
      <c r="AI81" s="47">
        <f t="shared" si="135"/>
        <v>0</v>
      </c>
      <c r="AJ81" s="47">
        <v>0</v>
      </c>
      <c r="AK81" s="47">
        <v>0</v>
      </c>
      <c r="AL81" s="47">
        <v>0</v>
      </c>
      <c r="AM81" s="47">
        <v>0</v>
      </c>
      <c r="AN81" s="47">
        <v>0</v>
      </c>
      <c r="AO81" s="403"/>
      <c r="AP81" s="82">
        <f t="shared" ref="AP81:BG81" si="136">AP82</f>
        <v>0</v>
      </c>
      <c r="AQ81" s="82">
        <f t="shared" si="136"/>
        <v>0</v>
      </c>
      <c r="AR81" s="82">
        <f t="shared" si="136"/>
        <v>0</v>
      </c>
      <c r="AS81" s="82">
        <f t="shared" si="136"/>
        <v>0</v>
      </c>
      <c r="AT81" s="82">
        <f t="shared" si="136"/>
        <v>0</v>
      </c>
      <c r="AU81" s="82">
        <f t="shared" si="136"/>
        <v>0</v>
      </c>
      <c r="AV81" s="82">
        <f t="shared" si="136"/>
        <v>0</v>
      </c>
      <c r="AW81" s="82">
        <f t="shared" si="136"/>
        <v>0</v>
      </c>
      <c r="AX81" s="82">
        <f t="shared" si="136"/>
        <v>0</v>
      </c>
      <c r="AY81" s="82">
        <f t="shared" si="136"/>
        <v>0</v>
      </c>
      <c r="AZ81" s="82">
        <f t="shared" si="136"/>
        <v>0</v>
      </c>
      <c r="BA81" s="82">
        <f t="shared" si="136"/>
        <v>0</v>
      </c>
      <c r="BB81" s="82">
        <f t="shared" si="136"/>
        <v>0</v>
      </c>
      <c r="BC81" s="82">
        <f t="shared" si="136"/>
        <v>0</v>
      </c>
      <c r="BD81" s="82">
        <f t="shared" si="136"/>
        <v>0</v>
      </c>
      <c r="BE81" s="82">
        <f t="shared" si="136"/>
        <v>0</v>
      </c>
      <c r="BF81" s="82">
        <f t="shared" si="136"/>
        <v>0</v>
      </c>
      <c r="BG81" s="82">
        <f t="shared" si="136"/>
        <v>0</v>
      </c>
      <c r="BH81" s="308"/>
      <c r="BI81" s="125">
        <v>0</v>
      </c>
      <c r="BJ81" s="126">
        <v>0</v>
      </c>
      <c r="BK81" s="126">
        <v>0</v>
      </c>
      <c r="BL81" s="126">
        <v>0</v>
      </c>
      <c r="BM81" s="125">
        <v>0</v>
      </c>
      <c r="BN81" s="126">
        <v>0</v>
      </c>
      <c r="BO81" s="126">
        <v>0</v>
      </c>
      <c r="BP81" s="126">
        <v>0</v>
      </c>
    </row>
    <row r="82" spans="1:68" s="100" customFormat="1" ht="19.5" hidden="1" customHeight="1">
      <c r="A82" s="256"/>
      <c r="B82" s="105" t="s">
        <v>342</v>
      </c>
      <c r="C82" s="816"/>
      <c r="D82" s="816"/>
      <c r="E82" s="816"/>
      <c r="F82" s="816"/>
      <c r="G82" s="107"/>
      <c r="H82" s="107"/>
      <c r="I82" s="822"/>
      <c r="J82" s="110"/>
      <c r="K82" s="178"/>
      <c r="L82" s="110"/>
      <c r="M82" s="99"/>
      <c r="N82" s="99"/>
      <c r="O82" s="99"/>
      <c r="P82" s="99"/>
      <c r="Q82" s="99">
        <f>S82+U82+W82</f>
        <v>1458.5</v>
      </c>
      <c r="R82" s="99">
        <f>S82</f>
        <v>500</v>
      </c>
      <c r="S82" s="99">
        <v>500</v>
      </c>
      <c r="T82" s="99">
        <f>U82</f>
        <v>588.5</v>
      </c>
      <c r="U82" s="99">
        <v>588.5</v>
      </c>
      <c r="V82" s="99">
        <v>370</v>
      </c>
      <c r="W82" s="99">
        <v>370</v>
      </c>
      <c r="X82" s="99"/>
      <c r="Y82" s="99"/>
      <c r="Z82" s="99">
        <f>1088.5+AC82</f>
        <v>1458.5</v>
      </c>
      <c r="AA82" s="99">
        <v>0</v>
      </c>
      <c r="AB82" s="99">
        <v>1088.5</v>
      </c>
      <c r="AC82" s="99">
        <v>370</v>
      </c>
      <c r="AD82" s="99"/>
      <c r="AE82" s="99">
        <v>0</v>
      </c>
      <c r="AF82" s="99">
        <v>0</v>
      </c>
      <c r="AG82" s="99"/>
      <c r="AH82" s="99"/>
      <c r="AI82" s="99"/>
      <c r="AJ82" s="99">
        <v>0</v>
      </c>
      <c r="AK82" s="99"/>
      <c r="AL82" s="99"/>
      <c r="AM82" s="99"/>
      <c r="AN82" s="99"/>
      <c r="AO82" s="412"/>
      <c r="AP82" s="47">
        <v>0</v>
      </c>
      <c r="AQ82" s="47">
        <v>0</v>
      </c>
      <c r="AR82" s="47">
        <v>0</v>
      </c>
      <c r="AS82" s="47">
        <v>0</v>
      </c>
      <c r="AT82" s="47">
        <v>0</v>
      </c>
      <c r="AU82" s="47">
        <v>0</v>
      </c>
      <c r="AV82" s="47">
        <v>0</v>
      </c>
      <c r="AW82" s="47">
        <v>0</v>
      </c>
      <c r="AX82" s="47">
        <v>0</v>
      </c>
      <c r="AY82" s="47">
        <v>0</v>
      </c>
      <c r="AZ82" s="47">
        <v>0</v>
      </c>
      <c r="BA82" s="47">
        <v>0</v>
      </c>
      <c r="BB82" s="47">
        <v>0</v>
      </c>
      <c r="BC82" s="47">
        <v>0</v>
      </c>
      <c r="BD82" s="47">
        <v>0</v>
      </c>
      <c r="BE82" s="47">
        <v>0</v>
      </c>
      <c r="BF82" s="47">
        <v>0</v>
      </c>
      <c r="BG82" s="47">
        <v>0</v>
      </c>
      <c r="BH82" s="301"/>
      <c r="BI82" s="125">
        <v>0</v>
      </c>
      <c r="BJ82" s="126">
        <v>0</v>
      </c>
      <c r="BK82" s="126">
        <v>0</v>
      </c>
      <c r="BL82" s="126">
        <v>0</v>
      </c>
      <c r="BM82" s="125">
        <v>0</v>
      </c>
      <c r="BN82" s="126">
        <v>0</v>
      </c>
      <c r="BO82" s="126">
        <v>0</v>
      </c>
      <c r="BP82" s="126">
        <v>0</v>
      </c>
    </row>
    <row r="83" spans="1:68" s="100" customFormat="1" ht="19.5" hidden="1" customHeight="1">
      <c r="A83" s="256"/>
      <c r="B83" s="105" t="s">
        <v>358</v>
      </c>
      <c r="C83" s="816"/>
      <c r="D83" s="816"/>
      <c r="E83" s="816"/>
      <c r="F83" s="816"/>
      <c r="G83" s="107"/>
      <c r="H83" s="107"/>
      <c r="I83" s="822"/>
      <c r="J83" s="110"/>
      <c r="K83" s="178"/>
      <c r="L83" s="110"/>
      <c r="M83" s="99"/>
      <c r="N83" s="99"/>
      <c r="O83" s="99"/>
      <c r="P83" s="99"/>
      <c r="Q83" s="99">
        <f>U83+W83</f>
        <v>17.88</v>
      </c>
      <c r="R83" s="99"/>
      <c r="S83" s="99"/>
      <c r="T83" s="99">
        <f>U83</f>
        <v>5.96</v>
      </c>
      <c r="U83" s="99">
        <v>5.96</v>
      </c>
      <c r="V83" s="99">
        <f>W83</f>
        <v>11.92</v>
      </c>
      <c r="W83" s="99">
        <v>11.92</v>
      </c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412"/>
      <c r="AP83" s="82">
        <f t="shared" ref="AP83:BG84" si="137">AP84</f>
        <v>372.9</v>
      </c>
      <c r="AQ83" s="82">
        <f t="shared" si="137"/>
        <v>0</v>
      </c>
      <c r="AR83" s="82">
        <f t="shared" si="137"/>
        <v>0</v>
      </c>
      <c r="AS83" s="82">
        <f t="shared" si="137"/>
        <v>0</v>
      </c>
      <c r="AT83" s="82">
        <f t="shared" si="137"/>
        <v>0</v>
      </c>
      <c r="AU83" s="82">
        <f t="shared" si="137"/>
        <v>0</v>
      </c>
      <c r="AV83" s="82">
        <f t="shared" si="137"/>
        <v>0</v>
      </c>
      <c r="AW83" s="82">
        <f t="shared" si="137"/>
        <v>0</v>
      </c>
      <c r="AX83" s="82">
        <f t="shared" si="137"/>
        <v>372.9</v>
      </c>
      <c r="AY83" s="82">
        <f t="shared" si="137"/>
        <v>372.9</v>
      </c>
      <c r="AZ83" s="82">
        <f t="shared" si="137"/>
        <v>372.9</v>
      </c>
      <c r="BA83" s="82">
        <f t="shared" si="137"/>
        <v>0</v>
      </c>
      <c r="BB83" s="82">
        <f t="shared" si="137"/>
        <v>0</v>
      </c>
      <c r="BC83" s="82" t="e">
        <f>#REF!-AP83</f>
        <v>#REF!</v>
      </c>
      <c r="BD83" s="82">
        <f t="shared" si="137"/>
        <v>0</v>
      </c>
      <c r="BE83" s="82">
        <f t="shared" si="137"/>
        <v>0</v>
      </c>
      <c r="BF83" s="82">
        <f t="shared" si="137"/>
        <v>0</v>
      </c>
      <c r="BG83" s="82">
        <f t="shared" si="137"/>
        <v>0</v>
      </c>
      <c r="BH83" s="308"/>
      <c r="BI83" s="125">
        <v>0</v>
      </c>
      <c r="BJ83" s="126">
        <v>0</v>
      </c>
      <c r="BK83" s="126">
        <v>0</v>
      </c>
      <c r="BL83" s="126">
        <v>0</v>
      </c>
      <c r="BM83" s="125">
        <v>0</v>
      </c>
      <c r="BN83" s="126">
        <v>0</v>
      </c>
      <c r="BO83" s="126">
        <v>0</v>
      </c>
      <c r="BP83" s="126">
        <v>0</v>
      </c>
    </row>
    <row r="84" spans="1:68" s="100" customFormat="1" ht="16.5" hidden="1" customHeight="1">
      <c r="A84" s="256"/>
      <c r="B84" s="105" t="s">
        <v>263</v>
      </c>
      <c r="C84" s="816"/>
      <c r="D84" s="816"/>
      <c r="E84" s="816"/>
      <c r="F84" s="816"/>
      <c r="G84" s="107"/>
      <c r="H84" s="107"/>
      <c r="I84" s="822"/>
      <c r="J84" s="110"/>
      <c r="K84" s="178"/>
      <c r="L84" s="110"/>
      <c r="M84" s="99"/>
      <c r="N84" s="98"/>
      <c r="O84" s="98"/>
      <c r="P84" s="47">
        <v>0</v>
      </c>
      <c r="Q84" s="99">
        <f>S84+U84+Y84</f>
        <v>0</v>
      </c>
      <c r="R84" s="99">
        <f>S84</f>
        <v>0</v>
      </c>
      <c r="S84" s="99"/>
      <c r="T84" s="99"/>
      <c r="U84" s="99"/>
      <c r="V84" s="99"/>
      <c r="W84" s="99"/>
      <c r="X84" s="99"/>
      <c r="Y84" s="99">
        <v>0</v>
      </c>
      <c r="Z84" s="99">
        <f>AA84</f>
        <v>0</v>
      </c>
      <c r="AA84" s="99"/>
      <c r="AB84" s="99">
        <v>0</v>
      </c>
      <c r="AC84" s="99"/>
      <c r="AD84" s="99"/>
      <c r="AE84" s="99">
        <f>SUM(AF84:AF84)</f>
        <v>0</v>
      </c>
      <c r="AF84" s="99"/>
      <c r="AG84" s="99"/>
      <c r="AH84" s="99"/>
      <c r="AI84" s="99"/>
      <c r="AJ84" s="99">
        <v>0</v>
      </c>
      <c r="AK84" s="99">
        <v>0</v>
      </c>
      <c r="AL84" s="99">
        <v>0</v>
      </c>
      <c r="AM84" s="99">
        <v>0</v>
      </c>
      <c r="AN84" s="99">
        <v>0</v>
      </c>
      <c r="AO84" s="412"/>
      <c r="AP84" s="47">
        <f>AP85</f>
        <v>372.9</v>
      </c>
      <c r="AQ84" s="47">
        <f t="shared" si="137"/>
        <v>0</v>
      </c>
      <c r="AR84" s="47">
        <f t="shared" si="137"/>
        <v>0</v>
      </c>
      <c r="AS84" s="47">
        <f t="shared" si="137"/>
        <v>0</v>
      </c>
      <c r="AT84" s="47">
        <f t="shared" si="137"/>
        <v>0</v>
      </c>
      <c r="AU84" s="47">
        <f t="shared" si="137"/>
        <v>0</v>
      </c>
      <c r="AV84" s="47">
        <f t="shared" si="137"/>
        <v>0</v>
      </c>
      <c r="AW84" s="47">
        <f t="shared" si="137"/>
        <v>0</v>
      </c>
      <c r="AX84" s="47">
        <f t="shared" si="137"/>
        <v>372.9</v>
      </c>
      <c r="AY84" s="47">
        <f t="shared" si="137"/>
        <v>372.9</v>
      </c>
      <c r="AZ84" s="47">
        <f t="shared" si="137"/>
        <v>372.9</v>
      </c>
      <c r="BA84" s="47">
        <v>0</v>
      </c>
      <c r="BB84" s="47">
        <v>0</v>
      </c>
      <c r="BC84" s="47">
        <v>0</v>
      </c>
      <c r="BD84" s="47">
        <v>0</v>
      </c>
      <c r="BE84" s="47">
        <v>0</v>
      </c>
      <c r="BF84" s="47">
        <v>0</v>
      </c>
      <c r="BG84" s="47">
        <v>0</v>
      </c>
      <c r="BH84" s="301"/>
      <c r="BI84" s="125">
        <v>0</v>
      </c>
      <c r="BJ84" s="126">
        <v>0</v>
      </c>
      <c r="BK84" s="126">
        <v>0</v>
      </c>
      <c r="BL84" s="126">
        <v>0</v>
      </c>
      <c r="BM84" s="125">
        <v>0</v>
      </c>
      <c r="BN84" s="126">
        <v>0</v>
      </c>
      <c r="BO84" s="126">
        <v>0</v>
      </c>
      <c r="BP84" s="126">
        <v>0</v>
      </c>
    </row>
    <row r="85" spans="1:68" ht="18.75" customHeight="1">
      <c r="A85" s="44"/>
      <c r="B85" s="1" t="s">
        <v>16</v>
      </c>
      <c r="C85" s="900"/>
      <c r="D85" s="900"/>
      <c r="E85" s="900"/>
      <c r="F85" s="900"/>
      <c r="G85" s="725">
        <v>2020</v>
      </c>
      <c r="H85" s="725">
        <v>2020</v>
      </c>
      <c r="I85" s="821"/>
      <c r="J85" s="16">
        <f t="shared" si="129"/>
        <v>12865.24</v>
      </c>
      <c r="K85" s="22"/>
      <c r="L85" s="16">
        <v>12865.24</v>
      </c>
      <c r="M85" s="47">
        <v>0</v>
      </c>
      <c r="N85" s="47">
        <v>0</v>
      </c>
      <c r="O85" s="3">
        <v>4018.39</v>
      </c>
      <c r="P85" s="47">
        <f>N85*1.2</f>
        <v>0</v>
      </c>
      <c r="Q85" s="47">
        <v>0</v>
      </c>
      <c r="R85" s="47">
        <v>0</v>
      </c>
      <c r="S85" s="47">
        <v>0</v>
      </c>
      <c r="T85" s="47">
        <v>0</v>
      </c>
      <c r="U85" s="47">
        <v>0</v>
      </c>
      <c r="V85" s="47">
        <v>0</v>
      </c>
      <c r="W85" s="47">
        <v>0</v>
      </c>
      <c r="X85" s="47">
        <v>0</v>
      </c>
      <c r="Y85" s="47">
        <v>0</v>
      </c>
      <c r="Z85" s="47">
        <v>0</v>
      </c>
      <c r="AA85" s="47">
        <v>0</v>
      </c>
      <c r="AB85" s="47">
        <v>0</v>
      </c>
      <c r="AC85" s="47">
        <v>0</v>
      </c>
      <c r="AD85" s="47">
        <v>0</v>
      </c>
      <c r="AE85" s="47">
        <v>0</v>
      </c>
      <c r="AF85" s="47">
        <v>0</v>
      </c>
      <c r="AG85" s="47">
        <v>0</v>
      </c>
      <c r="AH85" s="47">
        <v>0</v>
      </c>
      <c r="AI85" s="47">
        <v>0</v>
      </c>
      <c r="AJ85" s="47">
        <v>0</v>
      </c>
      <c r="AK85" s="47">
        <v>0</v>
      </c>
      <c r="AL85" s="47">
        <v>0</v>
      </c>
      <c r="AM85" s="47">
        <v>0</v>
      </c>
      <c r="AN85" s="47">
        <v>0</v>
      </c>
      <c r="AO85" s="403"/>
      <c r="AP85" s="99">
        <f>AX85</f>
        <v>372.9</v>
      </c>
      <c r="AQ85" s="99"/>
      <c r="AR85" s="99"/>
      <c r="AS85" s="99"/>
      <c r="AT85" s="99"/>
      <c r="AU85" s="99"/>
      <c r="AV85" s="99"/>
      <c r="AW85" s="99">
        <v>0</v>
      </c>
      <c r="AX85" s="99">
        <v>372.9</v>
      </c>
      <c r="AY85" s="99">
        <f>AZ85</f>
        <v>372.9</v>
      </c>
      <c r="AZ85" s="99">
        <v>372.9</v>
      </c>
      <c r="BA85" s="99"/>
      <c r="BB85" s="99"/>
      <c r="BC85" s="99"/>
      <c r="BD85" s="99"/>
      <c r="BE85" s="99"/>
      <c r="BF85" s="99"/>
      <c r="BG85" s="99"/>
      <c r="BH85" s="309"/>
      <c r="BI85" s="125">
        <v>0</v>
      </c>
      <c r="BJ85" s="126">
        <v>0</v>
      </c>
      <c r="BK85" s="126">
        <v>0</v>
      </c>
      <c r="BL85" s="126">
        <v>0</v>
      </c>
      <c r="BM85" s="125">
        <v>0</v>
      </c>
      <c r="BN85" s="126">
        <v>0</v>
      </c>
      <c r="BO85" s="126">
        <v>0</v>
      </c>
      <c r="BP85" s="126">
        <v>0</v>
      </c>
    </row>
    <row r="86" spans="1:68" ht="44.25" hidden="1" customHeight="1">
      <c r="A86" s="44" t="s">
        <v>59</v>
      </c>
      <c r="B86" s="353" t="s">
        <v>55</v>
      </c>
      <c r="C86" s="720"/>
      <c r="D86" s="720"/>
      <c r="E86" s="720"/>
      <c r="F86" s="720"/>
      <c r="G86" s="725">
        <v>2021</v>
      </c>
      <c r="H86" s="725"/>
      <c r="I86" s="699" t="s">
        <v>20</v>
      </c>
      <c r="J86" s="734">
        <v>313558.92</v>
      </c>
      <c r="K86" s="22"/>
      <c r="L86" s="357">
        <f t="shared" si="118"/>
        <v>0</v>
      </c>
      <c r="M86" s="357">
        <v>0</v>
      </c>
      <c r="N86" s="357">
        <v>0</v>
      </c>
      <c r="O86" s="357">
        <v>0</v>
      </c>
      <c r="P86" s="357">
        <v>0</v>
      </c>
      <c r="Q86" s="357">
        <v>0</v>
      </c>
      <c r="R86" s="357">
        <v>0</v>
      </c>
      <c r="S86" s="357">
        <v>0</v>
      </c>
      <c r="T86" s="357">
        <v>0</v>
      </c>
      <c r="U86" s="357">
        <v>0</v>
      </c>
      <c r="V86" s="357">
        <v>0</v>
      </c>
      <c r="W86" s="357">
        <v>0</v>
      </c>
      <c r="X86" s="357">
        <v>0</v>
      </c>
      <c r="Y86" s="357">
        <v>0</v>
      </c>
      <c r="Z86" s="357">
        <v>0</v>
      </c>
      <c r="AA86" s="357">
        <v>0</v>
      </c>
      <c r="AB86" s="357"/>
      <c r="AC86" s="357"/>
      <c r="AD86" s="357"/>
      <c r="AE86" s="357">
        <v>0</v>
      </c>
      <c r="AF86" s="357"/>
      <c r="AG86" s="357"/>
      <c r="AH86" s="357"/>
      <c r="AI86" s="357"/>
      <c r="AJ86" s="357">
        <f>P86-Q86</f>
        <v>0</v>
      </c>
      <c r="AK86" s="357">
        <f>AJ86</f>
        <v>0</v>
      </c>
      <c r="AL86" s="364">
        <v>0</v>
      </c>
      <c r="AM86" s="357">
        <v>0</v>
      </c>
      <c r="AN86" s="357">
        <v>0</v>
      </c>
      <c r="AO86" s="413" t="s">
        <v>163</v>
      </c>
      <c r="AP86" s="82">
        <f t="shared" ref="AP86:BG86" si="138">AP87+AP91</f>
        <v>158.46600000000001</v>
      </c>
      <c r="AQ86" s="82">
        <f t="shared" si="138"/>
        <v>0</v>
      </c>
      <c r="AR86" s="82">
        <f t="shared" si="138"/>
        <v>0</v>
      </c>
      <c r="AS86" s="82">
        <f t="shared" si="138"/>
        <v>0</v>
      </c>
      <c r="AT86" s="82">
        <f t="shared" si="138"/>
        <v>0</v>
      </c>
      <c r="AU86" s="82">
        <f t="shared" si="138"/>
        <v>0</v>
      </c>
      <c r="AV86" s="82">
        <f t="shared" si="138"/>
        <v>0</v>
      </c>
      <c r="AW86" s="82">
        <f t="shared" si="138"/>
        <v>158.46600000000001</v>
      </c>
      <c r="AX86" s="82">
        <f t="shared" si="138"/>
        <v>158.46600000000001</v>
      </c>
      <c r="AY86" s="82">
        <f t="shared" si="138"/>
        <v>158.46600000000001</v>
      </c>
      <c r="AZ86" s="82">
        <f t="shared" si="138"/>
        <v>158.46600000000001</v>
      </c>
      <c r="BA86" s="82">
        <f t="shared" si="138"/>
        <v>0</v>
      </c>
      <c r="BB86" s="82">
        <f t="shared" si="138"/>
        <v>0</v>
      </c>
      <c r="BC86" s="82" t="e">
        <f>#REF!-AP86</f>
        <v>#REF!</v>
      </c>
      <c r="BD86" s="82">
        <f t="shared" si="138"/>
        <v>0</v>
      </c>
      <c r="BE86" s="82">
        <f t="shared" si="138"/>
        <v>0</v>
      </c>
      <c r="BF86" s="82">
        <f t="shared" si="138"/>
        <v>0</v>
      </c>
      <c r="BG86" s="82">
        <f t="shared" si="138"/>
        <v>0</v>
      </c>
      <c r="BH86" s="333" t="s">
        <v>169</v>
      </c>
      <c r="BI86" s="130">
        <v>0</v>
      </c>
      <c r="BJ86" s="127">
        <v>0</v>
      </c>
      <c r="BK86" s="127">
        <v>0</v>
      </c>
      <c r="BL86" s="127">
        <v>0</v>
      </c>
      <c r="BM86" s="130">
        <v>0</v>
      </c>
      <c r="BN86" s="127">
        <v>0</v>
      </c>
      <c r="BO86" s="127">
        <v>0</v>
      </c>
      <c r="BP86" s="127">
        <v>0</v>
      </c>
    </row>
    <row r="87" spans="1:68" s="292" customFormat="1" ht="103.5" customHeight="1">
      <c r="A87" s="696" t="s">
        <v>287</v>
      </c>
      <c r="B87" s="83" t="s">
        <v>207</v>
      </c>
      <c r="C87" s="322"/>
      <c r="D87" s="322"/>
      <c r="E87" s="322"/>
      <c r="F87" s="322"/>
      <c r="G87" s="323"/>
      <c r="H87" s="324"/>
      <c r="I87" s="820" t="s">
        <v>20</v>
      </c>
      <c r="J87" s="291"/>
      <c r="K87" s="175"/>
      <c r="L87" s="82">
        <f>L88</f>
        <v>4214.49</v>
      </c>
      <c r="M87" s="82">
        <f t="shared" ref="M87:AN88" si="139">M88</f>
        <v>0</v>
      </c>
      <c r="N87" s="82">
        <f t="shared" si="139"/>
        <v>3995.07</v>
      </c>
      <c r="O87" s="82">
        <f t="shared" si="139"/>
        <v>0</v>
      </c>
      <c r="P87" s="82">
        <f t="shared" si="139"/>
        <v>219.42</v>
      </c>
      <c r="Q87" s="82">
        <f t="shared" si="139"/>
        <v>645.42499999999995</v>
      </c>
      <c r="R87" s="82">
        <f t="shared" si="139"/>
        <v>0</v>
      </c>
      <c r="S87" s="82">
        <f t="shared" si="139"/>
        <v>0</v>
      </c>
      <c r="T87" s="82">
        <f t="shared" si="139"/>
        <v>645.42499999999995</v>
      </c>
      <c r="U87" s="82">
        <f t="shared" si="139"/>
        <v>645.42499999999995</v>
      </c>
      <c r="V87" s="82">
        <f t="shared" si="139"/>
        <v>0</v>
      </c>
      <c r="W87" s="82">
        <f t="shared" si="139"/>
        <v>0</v>
      </c>
      <c r="X87" s="82">
        <f t="shared" si="139"/>
        <v>0</v>
      </c>
      <c r="Y87" s="82">
        <f t="shared" si="139"/>
        <v>0</v>
      </c>
      <c r="Z87" s="82">
        <f t="shared" si="139"/>
        <v>645.42499999999995</v>
      </c>
      <c r="AA87" s="82">
        <f t="shared" si="139"/>
        <v>0</v>
      </c>
      <c r="AB87" s="82">
        <f t="shared" si="139"/>
        <v>0</v>
      </c>
      <c r="AC87" s="82">
        <f t="shared" si="139"/>
        <v>645.42499999999995</v>
      </c>
      <c r="AD87" s="82">
        <f t="shared" si="139"/>
        <v>0</v>
      </c>
      <c r="AE87" s="82">
        <f t="shared" si="139"/>
        <v>0</v>
      </c>
      <c r="AF87" s="82">
        <f t="shared" si="139"/>
        <v>0</v>
      </c>
      <c r="AG87" s="82">
        <f t="shared" si="139"/>
        <v>0</v>
      </c>
      <c r="AH87" s="82">
        <f t="shared" si="139"/>
        <v>0</v>
      </c>
      <c r="AI87" s="82">
        <f t="shared" si="139"/>
        <v>0</v>
      </c>
      <c r="AJ87" s="82">
        <f t="shared" si="139"/>
        <v>0</v>
      </c>
      <c r="AK87" s="82">
        <f t="shared" si="139"/>
        <v>0</v>
      </c>
      <c r="AL87" s="82">
        <f t="shared" si="139"/>
        <v>0</v>
      </c>
      <c r="AM87" s="82">
        <f t="shared" si="139"/>
        <v>0</v>
      </c>
      <c r="AN87" s="82">
        <f t="shared" si="139"/>
        <v>0</v>
      </c>
      <c r="AO87" s="411" t="s">
        <v>249</v>
      </c>
      <c r="AP87" s="47">
        <f>SUM(AP88:AP90)</f>
        <v>158.46600000000001</v>
      </c>
      <c r="AQ87" s="47">
        <f t="shared" ref="AQ87:BB87" si="140">SUM(AQ88:AQ90)</f>
        <v>0</v>
      </c>
      <c r="AR87" s="47">
        <f t="shared" si="140"/>
        <v>0</v>
      </c>
      <c r="AS87" s="47">
        <f t="shared" si="140"/>
        <v>0</v>
      </c>
      <c r="AT87" s="47">
        <f t="shared" si="140"/>
        <v>0</v>
      </c>
      <c r="AU87" s="47">
        <f t="shared" si="140"/>
        <v>0</v>
      </c>
      <c r="AV87" s="47">
        <f t="shared" si="140"/>
        <v>0</v>
      </c>
      <c r="AW87" s="47">
        <f t="shared" si="140"/>
        <v>158.46600000000001</v>
      </c>
      <c r="AX87" s="47">
        <f t="shared" si="140"/>
        <v>158.46600000000001</v>
      </c>
      <c r="AY87" s="47">
        <f t="shared" si="140"/>
        <v>158.46600000000001</v>
      </c>
      <c r="AZ87" s="47">
        <f t="shared" si="140"/>
        <v>158.46600000000001</v>
      </c>
      <c r="BA87" s="47">
        <f t="shared" si="140"/>
        <v>0</v>
      </c>
      <c r="BB87" s="47">
        <f t="shared" si="140"/>
        <v>0</v>
      </c>
      <c r="BC87" s="47">
        <v>0</v>
      </c>
      <c r="BD87" s="47">
        <v>0</v>
      </c>
      <c r="BE87" s="47">
        <v>0</v>
      </c>
      <c r="BF87" s="47">
        <v>0</v>
      </c>
      <c r="BG87" s="47">
        <v>0</v>
      </c>
      <c r="BH87" s="301">
        <v>159.434</v>
      </c>
      <c r="BI87" s="81">
        <f t="shared" ref="BI87:BP87" si="141">BI88+BI89</f>
        <v>0</v>
      </c>
      <c r="BJ87" s="81">
        <f t="shared" si="141"/>
        <v>0</v>
      </c>
      <c r="BK87" s="81">
        <f t="shared" si="141"/>
        <v>0</v>
      </c>
      <c r="BL87" s="81">
        <f t="shared" si="141"/>
        <v>0</v>
      </c>
      <c r="BM87" s="81">
        <f t="shared" si="141"/>
        <v>0</v>
      </c>
      <c r="BN87" s="81">
        <f t="shared" si="141"/>
        <v>0</v>
      </c>
      <c r="BO87" s="81">
        <f t="shared" si="141"/>
        <v>0</v>
      </c>
      <c r="BP87" s="81">
        <f t="shared" si="141"/>
        <v>0</v>
      </c>
    </row>
    <row r="88" spans="1:68" s="292" customFormat="1" ht="17.25" customHeight="1">
      <c r="A88" s="696"/>
      <c r="B88" s="42" t="s">
        <v>208</v>
      </c>
      <c r="C88" s="320"/>
      <c r="D88" s="320"/>
      <c r="E88" s="320"/>
      <c r="F88" s="320"/>
      <c r="G88" s="320"/>
      <c r="H88" s="321"/>
      <c r="I88" s="877"/>
      <c r="J88" s="75"/>
      <c r="K88" s="47"/>
      <c r="L88" s="47">
        <v>4214.49</v>
      </c>
      <c r="M88" s="47">
        <v>0</v>
      </c>
      <c r="N88" s="47">
        <v>3995.07</v>
      </c>
      <c r="O88" s="47">
        <v>0</v>
      </c>
      <c r="P88" s="47">
        <v>219.42</v>
      </c>
      <c r="Q88" s="47">
        <f t="shared" si="139"/>
        <v>645.42499999999995</v>
      </c>
      <c r="R88" s="47">
        <f t="shared" si="139"/>
        <v>0</v>
      </c>
      <c r="S88" s="47">
        <f t="shared" si="139"/>
        <v>0</v>
      </c>
      <c r="T88" s="47">
        <f>T89</f>
        <v>645.42499999999995</v>
      </c>
      <c r="U88" s="47">
        <f>U89</f>
        <v>645.42499999999995</v>
      </c>
      <c r="V88" s="47">
        <v>0</v>
      </c>
      <c r="W88" s="47">
        <v>0</v>
      </c>
      <c r="X88" s="47">
        <v>0</v>
      </c>
      <c r="Y88" s="47">
        <v>0</v>
      </c>
      <c r="Z88" s="47">
        <f t="shared" si="139"/>
        <v>645.42499999999995</v>
      </c>
      <c r="AA88" s="47">
        <f t="shared" si="139"/>
        <v>0</v>
      </c>
      <c r="AB88" s="47">
        <f t="shared" si="139"/>
        <v>0</v>
      </c>
      <c r="AC88" s="47">
        <f t="shared" si="139"/>
        <v>645.42499999999995</v>
      </c>
      <c r="AD88" s="47">
        <v>0</v>
      </c>
      <c r="AE88" s="47">
        <v>0</v>
      </c>
      <c r="AF88" s="47">
        <v>0</v>
      </c>
      <c r="AG88" s="47">
        <v>0</v>
      </c>
      <c r="AH88" s="47">
        <v>0</v>
      </c>
      <c r="AI88" s="47">
        <v>0</v>
      </c>
      <c r="AJ88" s="47">
        <v>0</v>
      </c>
      <c r="AK88" s="47">
        <v>0</v>
      </c>
      <c r="AL88" s="47">
        <v>0</v>
      </c>
      <c r="AM88" s="47">
        <v>0</v>
      </c>
      <c r="AN88" s="47">
        <v>0</v>
      </c>
      <c r="AO88" s="403"/>
      <c r="AP88" s="99">
        <f>AX88</f>
        <v>3.4409999999999998</v>
      </c>
      <c r="AQ88" s="99"/>
      <c r="AR88" s="99"/>
      <c r="AS88" s="99"/>
      <c r="AT88" s="99"/>
      <c r="AU88" s="99"/>
      <c r="AV88" s="99"/>
      <c r="AW88" s="99">
        <f>AX88</f>
        <v>3.4409999999999998</v>
      </c>
      <c r="AX88" s="99">
        <v>3.4409999999999998</v>
      </c>
      <c r="AY88" s="99">
        <f>AZ88</f>
        <v>3.4409999999999998</v>
      </c>
      <c r="AZ88" s="99">
        <v>3.4409999999999998</v>
      </c>
      <c r="BA88" s="99"/>
      <c r="BB88" s="99"/>
      <c r="BC88" s="99"/>
      <c r="BD88" s="99"/>
      <c r="BE88" s="99"/>
      <c r="BF88" s="99"/>
      <c r="BG88" s="99"/>
      <c r="BH88" s="309"/>
      <c r="BI88" s="125">
        <v>0</v>
      </c>
      <c r="BJ88" s="126">
        <v>0</v>
      </c>
      <c r="BK88" s="126">
        <v>0</v>
      </c>
      <c r="BL88" s="126">
        <v>0</v>
      </c>
      <c r="BM88" s="125">
        <v>0</v>
      </c>
      <c r="BN88" s="126">
        <v>0</v>
      </c>
      <c r="BO88" s="126">
        <v>0</v>
      </c>
      <c r="BP88" s="126">
        <v>0</v>
      </c>
    </row>
    <row r="89" spans="1:68" s="273" customFormat="1" ht="17.25" hidden="1" customHeight="1">
      <c r="A89" s="691"/>
      <c r="B89" s="257" t="s">
        <v>351</v>
      </c>
      <c r="C89" s="371"/>
      <c r="D89" s="371"/>
      <c r="E89" s="371"/>
      <c r="F89" s="371"/>
      <c r="G89" s="371"/>
      <c r="H89" s="372"/>
      <c r="I89" s="373"/>
      <c r="J89" s="263"/>
      <c r="K89" s="99"/>
      <c r="L89" s="99"/>
      <c r="M89" s="99"/>
      <c r="N89" s="99"/>
      <c r="O89" s="99"/>
      <c r="P89" s="99"/>
      <c r="Q89" s="99">
        <f>U89</f>
        <v>645.42499999999995</v>
      </c>
      <c r="R89" s="99"/>
      <c r="S89" s="99"/>
      <c r="T89" s="99">
        <f>U89</f>
        <v>645.42499999999995</v>
      </c>
      <c r="U89" s="99">
        <v>645.42499999999995</v>
      </c>
      <c r="V89" s="99"/>
      <c r="W89" s="99"/>
      <c r="X89" s="99"/>
      <c r="Y89" s="99"/>
      <c r="Z89" s="99">
        <f>AC89</f>
        <v>645.42499999999995</v>
      </c>
      <c r="AA89" s="99"/>
      <c r="AB89" s="99"/>
      <c r="AC89" s="99">
        <v>645.42499999999995</v>
      </c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412"/>
      <c r="AP89" s="99">
        <f t="shared" ref="AP89:AP90" si="142">AX89</f>
        <v>122.36</v>
      </c>
      <c r="AQ89" s="99"/>
      <c r="AR89" s="99"/>
      <c r="AS89" s="99"/>
      <c r="AT89" s="99"/>
      <c r="AU89" s="99"/>
      <c r="AV89" s="99"/>
      <c r="AW89" s="99">
        <f t="shared" ref="AW89:AW90" si="143">AX89</f>
        <v>122.36</v>
      </c>
      <c r="AX89" s="99">
        <v>122.36</v>
      </c>
      <c r="AY89" s="99">
        <f t="shared" ref="AY89:AY90" si="144">AZ89</f>
        <v>122.36</v>
      </c>
      <c r="AZ89" s="99">
        <v>122.36</v>
      </c>
      <c r="BA89" s="99"/>
      <c r="BB89" s="99"/>
      <c r="BC89" s="99"/>
      <c r="BD89" s="99"/>
      <c r="BE89" s="99"/>
      <c r="BF89" s="99"/>
      <c r="BG89" s="99"/>
      <c r="BH89" s="309"/>
      <c r="BI89" s="125">
        <v>0</v>
      </c>
      <c r="BJ89" s="126">
        <v>0</v>
      </c>
      <c r="BK89" s="126">
        <v>0</v>
      </c>
      <c r="BL89" s="126">
        <v>0</v>
      </c>
      <c r="BM89" s="125">
        <v>0</v>
      </c>
      <c r="BN89" s="126">
        <v>0</v>
      </c>
      <c r="BO89" s="126">
        <v>0</v>
      </c>
      <c r="BP89" s="126">
        <v>0</v>
      </c>
    </row>
    <row r="90" spans="1:68" s="292" customFormat="1" ht="90.75" customHeight="1">
      <c r="A90" s="812" t="s">
        <v>288</v>
      </c>
      <c r="B90" s="83" t="s">
        <v>209</v>
      </c>
      <c r="C90" s="322"/>
      <c r="D90" s="322"/>
      <c r="E90" s="322"/>
      <c r="F90" s="322"/>
      <c r="G90" s="323"/>
      <c r="H90" s="324"/>
      <c r="I90" s="820" t="s">
        <v>20</v>
      </c>
      <c r="J90" s="291"/>
      <c r="K90" s="175"/>
      <c r="L90" s="82">
        <f>L91</f>
        <v>3214.56</v>
      </c>
      <c r="M90" s="82">
        <f t="shared" ref="M90:AN91" si="145">M91</f>
        <v>0</v>
      </c>
      <c r="N90" s="82">
        <f t="shared" si="145"/>
        <v>2956.68</v>
      </c>
      <c r="O90" s="82">
        <f t="shared" si="145"/>
        <v>0</v>
      </c>
      <c r="P90" s="82">
        <f t="shared" si="145"/>
        <v>257.88</v>
      </c>
      <c r="Q90" s="82">
        <f t="shared" si="145"/>
        <v>490.976</v>
      </c>
      <c r="R90" s="82">
        <f t="shared" si="145"/>
        <v>0</v>
      </c>
      <c r="S90" s="82">
        <f t="shared" si="145"/>
        <v>0</v>
      </c>
      <c r="T90" s="82">
        <f t="shared" si="145"/>
        <v>490.976</v>
      </c>
      <c r="U90" s="82">
        <f t="shared" si="145"/>
        <v>490.976</v>
      </c>
      <c r="V90" s="82">
        <f t="shared" si="145"/>
        <v>0</v>
      </c>
      <c r="W90" s="82">
        <f t="shared" si="145"/>
        <v>0</v>
      </c>
      <c r="X90" s="82">
        <f t="shared" si="145"/>
        <v>0</v>
      </c>
      <c r="Y90" s="82">
        <f t="shared" si="145"/>
        <v>0</v>
      </c>
      <c r="Z90" s="82">
        <f t="shared" si="145"/>
        <v>490.976</v>
      </c>
      <c r="AA90" s="82">
        <f t="shared" si="145"/>
        <v>0</v>
      </c>
      <c r="AB90" s="82">
        <f t="shared" si="145"/>
        <v>0</v>
      </c>
      <c r="AC90" s="82">
        <f t="shared" si="145"/>
        <v>490.976</v>
      </c>
      <c r="AD90" s="82">
        <f t="shared" si="145"/>
        <v>0</v>
      </c>
      <c r="AE90" s="82">
        <f>AE91</f>
        <v>0</v>
      </c>
      <c r="AF90" s="82">
        <f t="shared" si="145"/>
        <v>0</v>
      </c>
      <c r="AG90" s="82">
        <f t="shared" si="145"/>
        <v>0</v>
      </c>
      <c r="AH90" s="82">
        <f t="shared" si="145"/>
        <v>0</v>
      </c>
      <c r="AI90" s="82">
        <f t="shared" si="145"/>
        <v>0</v>
      </c>
      <c r="AJ90" s="82">
        <f t="shared" si="145"/>
        <v>0</v>
      </c>
      <c r="AK90" s="82">
        <f t="shared" si="145"/>
        <v>0</v>
      </c>
      <c r="AL90" s="82">
        <f t="shared" si="145"/>
        <v>0</v>
      </c>
      <c r="AM90" s="82">
        <f t="shared" si="145"/>
        <v>0</v>
      </c>
      <c r="AN90" s="82">
        <f t="shared" si="145"/>
        <v>0</v>
      </c>
      <c r="AO90" s="411" t="s">
        <v>249</v>
      </c>
      <c r="AP90" s="99">
        <f t="shared" si="142"/>
        <v>32.664999999999999</v>
      </c>
      <c r="AQ90" s="99"/>
      <c r="AR90" s="99"/>
      <c r="AS90" s="99"/>
      <c r="AT90" s="99"/>
      <c r="AU90" s="99"/>
      <c r="AV90" s="99"/>
      <c r="AW90" s="99">
        <f t="shared" si="143"/>
        <v>32.664999999999999</v>
      </c>
      <c r="AX90" s="99">
        <v>32.664999999999999</v>
      </c>
      <c r="AY90" s="99">
        <f t="shared" si="144"/>
        <v>32.664999999999999</v>
      </c>
      <c r="AZ90" s="99">
        <v>32.664999999999999</v>
      </c>
      <c r="BA90" s="99"/>
      <c r="BB90" s="99"/>
      <c r="BC90" s="99"/>
      <c r="BD90" s="99"/>
      <c r="BE90" s="99"/>
      <c r="BF90" s="99"/>
      <c r="BG90" s="99"/>
      <c r="BH90" s="309"/>
      <c r="BI90" s="81">
        <f t="shared" ref="BI90:BP90" si="146">BI91+BI92</f>
        <v>0</v>
      </c>
      <c r="BJ90" s="81">
        <f t="shared" si="146"/>
        <v>0</v>
      </c>
      <c r="BK90" s="81">
        <f t="shared" si="146"/>
        <v>0</v>
      </c>
      <c r="BL90" s="81">
        <f t="shared" si="146"/>
        <v>0</v>
      </c>
      <c r="BM90" s="81">
        <f t="shared" si="146"/>
        <v>0</v>
      </c>
      <c r="BN90" s="81">
        <f t="shared" si="146"/>
        <v>0</v>
      </c>
      <c r="BO90" s="81">
        <f t="shared" si="146"/>
        <v>0</v>
      </c>
      <c r="BP90" s="81">
        <f t="shared" si="146"/>
        <v>0</v>
      </c>
    </row>
    <row r="91" spans="1:68" s="292" customFormat="1" ht="17.25" customHeight="1">
      <c r="A91" s="814"/>
      <c r="B91" s="42" t="s">
        <v>208</v>
      </c>
      <c r="C91" s="320"/>
      <c r="D91" s="320"/>
      <c r="E91" s="320"/>
      <c r="F91" s="320"/>
      <c r="G91" s="320"/>
      <c r="H91" s="321"/>
      <c r="I91" s="877"/>
      <c r="J91" s="75"/>
      <c r="K91" s="47"/>
      <c r="L91" s="47">
        <v>3214.56</v>
      </c>
      <c r="M91" s="47">
        <v>0</v>
      </c>
      <c r="N91" s="47">
        <v>2956.68</v>
      </c>
      <c r="O91" s="47">
        <v>0</v>
      </c>
      <c r="P91" s="47">
        <v>257.88</v>
      </c>
      <c r="Q91" s="47">
        <f t="shared" si="145"/>
        <v>490.976</v>
      </c>
      <c r="R91" s="47">
        <f t="shared" si="145"/>
        <v>0</v>
      </c>
      <c r="S91" s="47">
        <f t="shared" si="145"/>
        <v>0</v>
      </c>
      <c r="T91" s="47">
        <f>T92</f>
        <v>490.976</v>
      </c>
      <c r="U91" s="47">
        <f>U92</f>
        <v>490.976</v>
      </c>
      <c r="V91" s="47">
        <v>0</v>
      </c>
      <c r="W91" s="47">
        <v>0</v>
      </c>
      <c r="X91" s="47">
        <v>0</v>
      </c>
      <c r="Y91" s="47">
        <v>0</v>
      </c>
      <c r="Z91" s="47">
        <f t="shared" si="145"/>
        <v>490.976</v>
      </c>
      <c r="AA91" s="47">
        <f t="shared" si="145"/>
        <v>0</v>
      </c>
      <c r="AB91" s="47">
        <f t="shared" si="145"/>
        <v>0</v>
      </c>
      <c r="AC91" s="47">
        <f t="shared" si="145"/>
        <v>490.976</v>
      </c>
      <c r="AD91" s="47">
        <f t="shared" si="145"/>
        <v>0</v>
      </c>
      <c r="AE91" s="47">
        <v>0</v>
      </c>
      <c r="AF91" s="47">
        <v>0</v>
      </c>
      <c r="AG91" s="47">
        <v>0</v>
      </c>
      <c r="AH91" s="47">
        <v>0</v>
      </c>
      <c r="AI91" s="47">
        <v>0</v>
      </c>
      <c r="AJ91" s="47">
        <v>0</v>
      </c>
      <c r="AK91" s="47">
        <v>0</v>
      </c>
      <c r="AL91" s="47">
        <v>0</v>
      </c>
      <c r="AM91" s="47">
        <v>0</v>
      </c>
      <c r="AN91" s="47">
        <v>0</v>
      </c>
      <c r="AO91" s="403"/>
      <c r="AP91" s="47">
        <v>0</v>
      </c>
      <c r="AQ91" s="47">
        <v>0</v>
      </c>
      <c r="AR91" s="47">
        <v>0</v>
      </c>
      <c r="AS91" s="47">
        <v>0</v>
      </c>
      <c r="AT91" s="47">
        <v>0</v>
      </c>
      <c r="AU91" s="47">
        <v>0</v>
      </c>
      <c r="AV91" s="47">
        <v>0</v>
      </c>
      <c r="AW91" s="99">
        <v>0</v>
      </c>
      <c r="AX91" s="99">
        <v>0</v>
      </c>
      <c r="AY91" s="47">
        <v>0</v>
      </c>
      <c r="AZ91" s="47">
        <v>0</v>
      </c>
      <c r="BA91" s="47">
        <v>0</v>
      </c>
      <c r="BB91" s="47">
        <v>0</v>
      </c>
      <c r="BC91" s="47">
        <v>0</v>
      </c>
      <c r="BD91" s="47">
        <v>0</v>
      </c>
      <c r="BE91" s="47">
        <v>0</v>
      </c>
      <c r="BF91" s="47">
        <v>0</v>
      </c>
      <c r="BG91" s="47">
        <v>0</v>
      </c>
      <c r="BH91" s="301">
        <v>1639.8466699999999</v>
      </c>
      <c r="BI91" s="125">
        <v>0</v>
      </c>
      <c r="BJ91" s="126">
        <v>0</v>
      </c>
      <c r="BK91" s="126">
        <v>0</v>
      </c>
      <c r="BL91" s="126">
        <v>0</v>
      </c>
      <c r="BM91" s="125">
        <v>0</v>
      </c>
      <c r="BN91" s="126">
        <v>0</v>
      </c>
      <c r="BO91" s="126">
        <v>0</v>
      </c>
      <c r="BP91" s="126">
        <v>0</v>
      </c>
    </row>
    <row r="92" spans="1:68" s="273" customFormat="1" ht="17.25" hidden="1" customHeight="1">
      <c r="A92" s="370"/>
      <c r="B92" s="257" t="s">
        <v>352</v>
      </c>
      <c r="C92" s="371"/>
      <c r="D92" s="371"/>
      <c r="E92" s="371"/>
      <c r="F92" s="371"/>
      <c r="G92" s="371"/>
      <c r="H92" s="372"/>
      <c r="I92" s="373"/>
      <c r="J92" s="263"/>
      <c r="K92" s="99"/>
      <c r="L92" s="99"/>
      <c r="M92" s="99"/>
      <c r="N92" s="99"/>
      <c r="O92" s="99"/>
      <c r="P92" s="99"/>
      <c r="Q92" s="99">
        <f>U92</f>
        <v>490.976</v>
      </c>
      <c r="R92" s="99"/>
      <c r="S92" s="99"/>
      <c r="T92" s="99">
        <f>U92</f>
        <v>490.976</v>
      </c>
      <c r="U92" s="99">
        <v>490.976</v>
      </c>
      <c r="V92" s="99"/>
      <c r="W92" s="99"/>
      <c r="X92" s="99"/>
      <c r="Y92" s="99"/>
      <c r="Z92" s="99">
        <f>AC92</f>
        <v>490.976</v>
      </c>
      <c r="AA92" s="99"/>
      <c r="AB92" s="99"/>
      <c r="AC92" s="99">
        <v>490.976</v>
      </c>
      <c r="AD92" s="99"/>
      <c r="AE92" s="99"/>
      <c r="AF92" s="99"/>
      <c r="AG92" s="99"/>
      <c r="AH92" s="99"/>
      <c r="AI92" s="99"/>
      <c r="AJ92" s="99"/>
      <c r="AK92" s="99"/>
      <c r="AL92" s="275"/>
      <c r="AM92" s="99"/>
      <c r="AN92" s="99"/>
      <c r="AO92" s="412"/>
      <c r="AP92" s="82">
        <f t="shared" ref="AP92:BG92" si="147">AP93+AP96</f>
        <v>885</v>
      </c>
      <c r="AQ92" s="82">
        <f t="shared" si="147"/>
        <v>0</v>
      </c>
      <c r="AR92" s="82">
        <f t="shared" si="147"/>
        <v>0</v>
      </c>
      <c r="AS92" s="82">
        <f t="shared" si="147"/>
        <v>0</v>
      </c>
      <c r="AT92" s="82">
        <f t="shared" si="147"/>
        <v>0</v>
      </c>
      <c r="AU92" s="82">
        <f t="shared" si="147"/>
        <v>0</v>
      </c>
      <c r="AV92" s="82">
        <f t="shared" si="147"/>
        <v>0</v>
      </c>
      <c r="AW92" s="82">
        <f t="shared" si="147"/>
        <v>2761.44</v>
      </c>
      <c r="AX92" s="82">
        <f t="shared" si="147"/>
        <v>885</v>
      </c>
      <c r="AY92" s="82">
        <f t="shared" si="147"/>
        <v>0</v>
      </c>
      <c r="AZ92" s="82">
        <f t="shared" si="147"/>
        <v>0</v>
      </c>
      <c r="BA92" s="82">
        <f t="shared" si="147"/>
        <v>0</v>
      </c>
      <c r="BB92" s="82">
        <f t="shared" si="147"/>
        <v>0</v>
      </c>
      <c r="BC92" s="82" t="e">
        <f>#REF!-AP92</f>
        <v>#REF!</v>
      </c>
      <c r="BD92" s="82">
        <f t="shared" si="147"/>
        <v>0</v>
      </c>
      <c r="BE92" s="82">
        <f t="shared" si="147"/>
        <v>0</v>
      </c>
      <c r="BF92" s="82">
        <f t="shared" si="147"/>
        <v>0</v>
      </c>
      <c r="BG92" s="82">
        <f t="shared" si="147"/>
        <v>0</v>
      </c>
      <c r="BH92" s="308"/>
      <c r="BI92" s="128">
        <v>0</v>
      </c>
      <c r="BJ92" s="129">
        <v>0</v>
      </c>
      <c r="BK92" s="129">
        <v>0</v>
      </c>
      <c r="BL92" s="129">
        <v>0</v>
      </c>
      <c r="BM92" s="128">
        <v>0</v>
      </c>
      <c r="BN92" s="129">
        <v>0</v>
      </c>
      <c r="BO92" s="129">
        <v>0</v>
      </c>
      <c r="BP92" s="129">
        <v>0</v>
      </c>
    </row>
    <row r="93" spans="1:68" s="292" customFormat="1" ht="91.5" customHeight="1">
      <c r="A93" s="812" t="s">
        <v>164</v>
      </c>
      <c r="B93" s="83" t="s">
        <v>166</v>
      </c>
      <c r="C93" s="322"/>
      <c r="D93" s="322"/>
      <c r="E93" s="322"/>
      <c r="F93" s="322"/>
      <c r="G93" s="323"/>
      <c r="H93" s="324"/>
      <c r="I93" s="820" t="s">
        <v>20</v>
      </c>
      <c r="J93" s="291"/>
      <c r="K93" s="175"/>
      <c r="L93" s="82">
        <f>L94</f>
        <v>372.9</v>
      </c>
      <c r="M93" s="82">
        <f>M94</f>
        <v>0</v>
      </c>
      <c r="N93" s="82">
        <f t="shared" ref="N93:AN94" si="148">N94</f>
        <v>372.9</v>
      </c>
      <c r="O93" s="82">
        <f t="shared" si="148"/>
        <v>0</v>
      </c>
      <c r="P93" s="82">
        <f t="shared" si="148"/>
        <v>0</v>
      </c>
      <c r="Q93" s="82">
        <f t="shared" si="148"/>
        <v>0</v>
      </c>
      <c r="R93" s="82">
        <f t="shared" si="148"/>
        <v>0</v>
      </c>
      <c r="S93" s="82">
        <f t="shared" si="148"/>
        <v>0</v>
      </c>
      <c r="T93" s="82">
        <f t="shared" si="148"/>
        <v>0</v>
      </c>
      <c r="U93" s="82">
        <f t="shared" si="148"/>
        <v>0</v>
      </c>
      <c r="V93" s="82">
        <f t="shared" si="148"/>
        <v>0</v>
      </c>
      <c r="W93" s="82">
        <f t="shared" si="148"/>
        <v>0</v>
      </c>
      <c r="X93" s="82">
        <f t="shared" si="148"/>
        <v>0</v>
      </c>
      <c r="Y93" s="82">
        <f t="shared" si="148"/>
        <v>0</v>
      </c>
      <c r="Z93" s="82">
        <f t="shared" si="148"/>
        <v>0</v>
      </c>
      <c r="AA93" s="82">
        <f t="shared" si="148"/>
        <v>0</v>
      </c>
      <c r="AB93" s="82">
        <f t="shared" si="148"/>
        <v>0</v>
      </c>
      <c r="AC93" s="82">
        <f t="shared" si="148"/>
        <v>0</v>
      </c>
      <c r="AD93" s="82">
        <f t="shared" si="148"/>
        <v>0</v>
      </c>
      <c r="AE93" s="82">
        <f t="shared" si="148"/>
        <v>0</v>
      </c>
      <c r="AF93" s="82">
        <f t="shared" si="148"/>
        <v>0</v>
      </c>
      <c r="AG93" s="82">
        <f t="shared" si="148"/>
        <v>0</v>
      </c>
      <c r="AH93" s="82">
        <f t="shared" si="148"/>
        <v>0</v>
      </c>
      <c r="AI93" s="82">
        <f t="shared" si="148"/>
        <v>0</v>
      </c>
      <c r="AJ93" s="82">
        <f>P93-Q93</f>
        <v>0</v>
      </c>
      <c r="AK93" s="82">
        <f t="shared" si="148"/>
        <v>0</v>
      </c>
      <c r="AL93" s="79">
        <v>0</v>
      </c>
      <c r="AM93" s="82">
        <f t="shared" si="148"/>
        <v>0</v>
      </c>
      <c r="AN93" s="82">
        <f t="shared" si="148"/>
        <v>0</v>
      </c>
      <c r="AO93" s="411" t="s">
        <v>283</v>
      </c>
      <c r="AP93" s="47">
        <f>SUM(AP94:AP95)</f>
        <v>885</v>
      </c>
      <c r="AQ93" s="47">
        <f t="shared" ref="AQ93:BB93" si="149">SUM(AQ94:AQ95)</f>
        <v>0</v>
      </c>
      <c r="AR93" s="47">
        <f t="shared" si="149"/>
        <v>0</v>
      </c>
      <c r="AS93" s="47">
        <f t="shared" si="149"/>
        <v>0</v>
      </c>
      <c r="AT93" s="47">
        <f t="shared" si="149"/>
        <v>0</v>
      </c>
      <c r="AU93" s="47">
        <f t="shared" si="149"/>
        <v>0</v>
      </c>
      <c r="AV93" s="47">
        <f t="shared" si="149"/>
        <v>0</v>
      </c>
      <c r="AW93" s="47">
        <f t="shared" si="149"/>
        <v>2761.44</v>
      </c>
      <c r="AX93" s="47">
        <f t="shared" si="149"/>
        <v>885</v>
      </c>
      <c r="AY93" s="47">
        <f t="shared" si="149"/>
        <v>0</v>
      </c>
      <c r="AZ93" s="47">
        <f t="shared" si="149"/>
        <v>0</v>
      </c>
      <c r="BA93" s="47">
        <f t="shared" si="149"/>
        <v>0</v>
      </c>
      <c r="BB93" s="47">
        <f t="shared" si="149"/>
        <v>0</v>
      </c>
      <c r="BC93" s="47">
        <v>0</v>
      </c>
      <c r="BD93" s="47">
        <v>0</v>
      </c>
      <c r="BE93" s="47">
        <v>0</v>
      </c>
      <c r="BF93" s="47">
        <v>0</v>
      </c>
      <c r="BG93" s="47">
        <v>0</v>
      </c>
      <c r="BH93" s="301"/>
      <c r="BI93" s="81">
        <f t="shared" ref="BI93:BP93" si="150">BI94+BI95</f>
        <v>0</v>
      </c>
      <c r="BJ93" s="81">
        <f t="shared" si="150"/>
        <v>0</v>
      </c>
      <c r="BK93" s="81">
        <f t="shared" si="150"/>
        <v>0</v>
      </c>
      <c r="BL93" s="81">
        <f t="shared" si="150"/>
        <v>0</v>
      </c>
      <c r="BM93" s="81">
        <f t="shared" si="150"/>
        <v>0</v>
      </c>
      <c r="BN93" s="81">
        <f t="shared" si="150"/>
        <v>0</v>
      </c>
      <c r="BO93" s="81">
        <f t="shared" si="150"/>
        <v>0</v>
      </c>
      <c r="BP93" s="81">
        <f t="shared" si="150"/>
        <v>0</v>
      </c>
    </row>
    <row r="94" spans="1:68" s="292" customFormat="1" ht="17.25" customHeight="1">
      <c r="A94" s="814"/>
      <c r="B94" s="42" t="s">
        <v>208</v>
      </c>
      <c r="C94" s="320"/>
      <c r="D94" s="320"/>
      <c r="E94" s="320"/>
      <c r="F94" s="320"/>
      <c r="G94" s="320"/>
      <c r="H94" s="321"/>
      <c r="I94" s="877"/>
      <c r="J94" s="75"/>
      <c r="K94" s="47"/>
      <c r="L94" s="47">
        <v>372.9</v>
      </c>
      <c r="M94" s="47">
        <v>0</v>
      </c>
      <c r="N94" s="47">
        <v>372.9</v>
      </c>
      <c r="O94" s="47">
        <v>0</v>
      </c>
      <c r="P94" s="47">
        <v>0</v>
      </c>
      <c r="Q94" s="47">
        <f>Q95</f>
        <v>0</v>
      </c>
      <c r="R94" s="47">
        <f t="shared" si="148"/>
        <v>0</v>
      </c>
      <c r="S94" s="47">
        <f t="shared" si="148"/>
        <v>0</v>
      </c>
      <c r="T94" s="47">
        <f t="shared" si="148"/>
        <v>0</v>
      </c>
      <c r="U94" s="47">
        <f t="shared" si="148"/>
        <v>0</v>
      </c>
      <c r="V94" s="47">
        <f t="shared" si="148"/>
        <v>0</v>
      </c>
      <c r="W94" s="47">
        <f t="shared" si="148"/>
        <v>0</v>
      </c>
      <c r="X94" s="47">
        <f t="shared" si="148"/>
        <v>0</v>
      </c>
      <c r="Y94" s="47">
        <f t="shared" si="148"/>
        <v>0</v>
      </c>
      <c r="Z94" s="47">
        <f t="shared" si="148"/>
        <v>0</v>
      </c>
      <c r="AA94" s="47">
        <f t="shared" si="148"/>
        <v>0</v>
      </c>
      <c r="AB94" s="47">
        <f t="shared" si="148"/>
        <v>0</v>
      </c>
      <c r="AC94" s="47">
        <f t="shared" si="148"/>
        <v>0</v>
      </c>
      <c r="AD94" s="47">
        <f t="shared" si="148"/>
        <v>0</v>
      </c>
      <c r="AE94" s="47">
        <f>AE95</f>
        <v>0</v>
      </c>
      <c r="AF94" s="47">
        <f t="shared" si="148"/>
        <v>0</v>
      </c>
      <c r="AG94" s="47">
        <f t="shared" si="148"/>
        <v>0</v>
      </c>
      <c r="AH94" s="47">
        <f t="shared" si="148"/>
        <v>0</v>
      </c>
      <c r="AI94" s="47">
        <f t="shared" si="148"/>
        <v>0</v>
      </c>
      <c r="AJ94" s="47">
        <v>0</v>
      </c>
      <c r="AK94" s="47">
        <v>0</v>
      </c>
      <c r="AL94" s="47">
        <v>0</v>
      </c>
      <c r="AM94" s="47">
        <v>0</v>
      </c>
      <c r="AN94" s="47">
        <v>0</v>
      </c>
      <c r="AO94" s="403"/>
      <c r="AP94" s="99">
        <f>AX94</f>
        <v>885</v>
      </c>
      <c r="AQ94" s="99"/>
      <c r="AR94" s="99"/>
      <c r="AS94" s="99"/>
      <c r="AT94" s="99"/>
      <c r="AU94" s="99"/>
      <c r="AV94" s="99"/>
      <c r="AW94" s="99">
        <v>2761.44</v>
      </c>
      <c r="AX94" s="99">
        <v>885</v>
      </c>
      <c r="AY94" s="99">
        <f>AZ94</f>
        <v>0</v>
      </c>
      <c r="AZ94" s="99">
        <v>0</v>
      </c>
      <c r="BA94" s="99">
        <v>0</v>
      </c>
      <c r="BB94" s="99">
        <v>0</v>
      </c>
      <c r="BC94" s="99">
        <v>0</v>
      </c>
      <c r="BD94" s="99">
        <v>0</v>
      </c>
      <c r="BE94" s="99">
        <v>0</v>
      </c>
      <c r="BF94" s="99">
        <v>0</v>
      </c>
      <c r="BG94" s="99">
        <v>0</v>
      </c>
      <c r="BH94" s="309"/>
      <c r="BI94" s="125">
        <v>0</v>
      </c>
      <c r="BJ94" s="126">
        <v>0</v>
      </c>
      <c r="BK94" s="126">
        <v>0</v>
      </c>
      <c r="BL94" s="126">
        <v>0</v>
      </c>
      <c r="BM94" s="125">
        <v>0</v>
      </c>
      <c r="BN94" s="126">
        <v>0</v>
      </c>
      <c r="BO94" s="126">
        <v>0</v>
      </c>
      <c r="BP94" s="126">
        <v>0</v>
      </c>
    </row>
    <row r="95" spans="1:68" s="273" customFormat="1" ht="17.25" hidden="1" customHeight="1">
      <c r="A95" s="370"/>
      <c r="B95" s="257" t="s">
        <v>229</v>
      </c>
      <c r="C95" s="371"/>
      <c r="D95" s="371"/>
      <c r="E95" s="371"/>
      <c r="F95" s="371"/>
      <c r="G95" s="371"/>
      <c r="H95" s="372"/>
      <c r="I95" s="373"/>
      <c r="J95" s="263"/>
      <c r="K95" s="99"/>
      <c r="L95" s="99"/>
      <c r="M95" s="99"/>
      <c r="N95" s="99"/>
      <c r="O95" s="99"/>
      <c r="P95" s="47"/>
      <c r="Q95" s="99">
        <f>Y95</f>
        <v>0</v>
      </c>
      <c r="R95" s="99"/>
      <c r="S95" s="99"/>
      <c r="T95" s="99"/>
      <c r="U95" s="99"/>
      <c r="V95" s="99"/>
      <c r="W95" s="99"/>
      <c r="X95" s="99">
        <v>0</v>
      </c>
      <c r="Y95" s="99">
        <v>0</v>
      </c>
      <c r="Z95" s="99">
        <v>0</v>
      </c>
      <c r="AA95" s="99">
        <v>0</v>
      </c>
      <c r="AB95" s="99"/>
      <c r="AC95" s="99"/>
      <c r="AD95" s="99"/>
      <c r="AE95" s="99">
        <f>SUM(AF95:AF95)</f>
        <v>0</v>
      </c>
      <c r="AF95" s="99"/>
      <c r="AG95" s="99"/>
      <c r="AH95" s="99"/>
      <c r="AI95" s="99"/>
      <c r="AJ95" s="99"/>
      <c r="AK95" s="99"/>
      <c r="AL95" s="99"/>
      <c r="AM95" s="99"/>
      <c r="AN95" s="99"/>
      <c r="AO95" s="412"/>
      <c r="AP95" s="99"/>
      <c r="AQ95" s="99"/>
      <c r="AR95" s="99"/>
      <c r="AS95" s="99"/>
      <c r="AT95" s="99"/>
      <c r="AU95" s="99"/>
      <c r="AV95" s="99"/>
      <c r="AW95" s="99"/>
      <c r="AX95" s="99"/>
      <c r="AY95" s="99"/>
      <c r="AZ95" s="99"/>
      <c r="BA95" s="99"/>
      <c r="BB95" s="99"/>
      <c r="BC95" s="99"/>
      <c r="BD95" s="99"/>
      <c r="BE95" s="99"/>
      <c r="BF95" s="99"/>
      <c r="BG95" s="99"/>
      <c r="BH95" s="309"/>
      <c r="BI95" s="125">
        <v>0</v>
      </c>
      <c r="BJ95" s="126">
        <v>0</v>
      </c>
      <c r="BK95" s="126">
        <v>0</v>
      </c>
      <c r="BL95" s="126">
        <v>0</v>
      </c>
      <c r="BM95" s="125">
        <v>0</v>
      </c>
      <c r="BN95" s="126">
        <v>0</v>
      </c>
      <c r="BO95" s="126">
        <v>0</v>
      </c>
      <c r="BP95" s="126">
        <v>0</v>
      </c>
    </row>
    <row r="96" spans="1:68" s="292" customFormat="1" ht="95.25" customHeight="1">
      <c r="A96" s="812" t="s">
        <v>165</v>
      </c>
      <c r="B96" s="83" t="s">
        <v>168</v>
      </c>
      <c r="C96" s="322"/>
      <c r="D96" s="322"/>
      <c r="E96" s="322"/>
      <c r="F96" s="322"/>
      <c r="G96" s="323"/>
      <c r="H96" s="324"/>
      <c r="I96" s="820" t="s">
        <v>20</v>
      </c>
      <c r="J96" s="291"/>
      <c r="K96" s="175"/>
      <c r="L96" s="82">
        <f>L97+L101</f>
        <v>5513.9</v>
      </c>
      <c r="M96" s="82">
        <f t="shared" ref="M96:AN96" si="151">M97+M101</f>
        <v>297.18</v>
      </c>
      <c r="N96" s="82">
        <f t="shared" si="151"/>
        <v>1639.84</v>
      </c>
      <c r="O96" s="82">
        <f t="shared" si="151"/>
        <v>0</v>
      </c>
      <c r="P96" s="82">
        <f t="shared" si="151"/>
        <v>0</v>
      </c>
      <c r="Q96" s="82">
        <f t="shared" si="151"/>
        <v>0</v>
      </c>
      <c r="R96" s="82">
        <f t="shared" si="151"/>
        <v>0</v>
      </c>
      <c r="S96" s="82">
        <f t="shared" si="151"/>
        <v>0</v>
      </c>
      <c r="T96" s="82">
        <f t="shared" si="151"/>
        <v>0</v>
      </c>
      <c r="U96" s="82">
        <f t="shared" si="151"/>
        <v>0</v>
      </c>
      <c r="V96" s="82">
        <f t="shared" si="151"/>
        <v>0</v>
      </c>
      <c r="W96" s="82">
        <f t="shared" si="151"/>
        <v>0</v>
      </c>
      <c r="X96" s="82">
        <f t="shared" si="151"/>
        <v>0</v>
      </c>
      <c r="Y96" s="82">
        <f t="shared" si="151"/>
        <v>0</v>
      </c>
      <c r="Z96" s="82">
        <f t="shared" si="151"/>
        <v>0</v>
      </c>
      <c r="AA96" s="82">
        <f t="shared" si="151"/>
        <v>0</v>
      </c>
      <c r="AB96" s="82">
        <f t="shared" si="151"/>
        <v>0</v>
      </c>
      <c r="AC96" s="82">
        <f t="shared" si="151"/>
        <v>0</v>
      </c>
      <c r="AD96" s="82">
        <f t="shared" si="151"/>
        <v>0</v>
      </c>
      <c r="AE96" s="82">
        <f t="shared" si="151"/>
        <v>0</v>
      </c>
      <c r="AF96" s="82">
        <f t="shared" si="151"/>
        <v>0</v>
      </c>
      <c r="AG96" s="82">
        <f>AG97+AG101</f>
        <v>0</v>
      </c>
      <c r="AH96" s="82">
        <f t="shared" ref="AH96:AI96" si="152">AH97+AH101</f>
        <v>0</v>
      </c>
      <c r="AI96" s="82">
        <f t="shared" si="152"/>
        <v>0</v>
      </c>
      <c r="AJ96" s="82">
        <f>P96-Q96</f>
        <v>0</v>
      </c>
      <c r="AK96" s="82">
        <f t="shared" si="151"/>
        <v>0</v>
      </c>
      <c r="AL96" s="79">
        <v>0</v>
      </c>
      <c r="AM96" s="82">
        <f t="shared" si="151"/>
        <v>0</v>
      </c>
      <c r="AN96" s="82">
        <f t="shared" si="151"/>
        <v>0</v>
      </c>
      <c r="AO96" s="411" t="s">
        <v>264</v>
      </c>
      <c r="AP96" s="47">
        <v>0</v>
      </c>
      <c r="AQ96" s="47">
        <v>0</v>
      </c>
      <c r="AR96" s="47">
        <v>0</v>
      </c>
      <c r="AS96" s="47">
        <v>0</v>
      </c>
      <c r="AT96" s="47">
        <v>0</v>
      </c>
      <c r="AU96" s="47">
        <v>0</v>
      </c>
      <c r="AV96" s="47">
        <v>0</v>
      </c>
      <c r="AW96" s="47">
        <v>0</v>
      </c>
      <c r="AX96" s="47">
        <v>0</v>
      </c>
      <c r="AY96" s="47">
        <v>0</v>
      </c>
      <c r="AZ96" s="47">
        <v>0</v>
      </c>
      <c r="BA96" s="47">
        <v>0</v>
      </c>
      <c r="BB96" s="47">
        <v>0</v>
      </c>
      <c r="BC96" s="47">
        <v>0</v>
      </c>
      <c r="BD96" s="47">
        <v>0</v>
      </c>
      <c r="BE96" s="47">
        <v>0</v>
      </c>
      <c r="BF96" s="47">
        <v>0</v>
      </c>
      <c r="BG96" s="47">
        <v>0</v>
      </c>
      <c r="BH96" s="301"/>
      <c r="BI96" s="81">
        <f t="shared" ref="BI96:BP96" si="153">BI97+BI98</f>
        <v>0</v>
      </c>
      <c r="BJ96" s="81">
        <f t="shared" si="153"/>
        <v>0</v>
      </c>
      <c r="BK96" s="81">
        <f t="shared" si="153"/>
        <v>0</v>
      </c>
      <c r="BL96" s="81">
        <f t="shared" si="153"/>
        <v>0</v>
      </c>
      <c r="BM96" s="81">
        <f t="shared" si="153"/>
        <v>0</v>
      </c>
      <c r="BN96" s="81">
        <f t="shared" si="153"/>
        <v>0</v>
      </c>
      <c r="BO96" s="81">
        <f t="shared" si="153"/>
        <v>0</v>
      </c>
      <c r="BP96" s="81">
        <f t="shared" si="153"/>
        <v>0</v>
      </c>
    </row>
    <row r="97" spans="1:68" s="292" customFormat="1" ht="17.25" customHeight="1">
      <c r="A97" s="813"/>
      <c r="B97" s="42" t="s">
        <v>15</v>
      </c>
      <c r="C97" s="320"/>
      <c r="D97" s="320"/>
      <c r="E97" s="320"/>
      <c r="F97" s="320"/>
      <c r="G97" s="320"/>
      <c r="H97" s="321"/>
      <c r="I97" s="934"/>
      <c r="J97" s="75"/>
      <c r="K97" s="47"/>
      <c r="L97" s="47">
        <v>594.36</v>
      </c>
      <c r="M97" s="47">
        <v>297.18</v>
      </c>
      <c r="N97" s="47">
        <v>0</v>
      </c>
      <c r="O97" s="47">
        <v>0</v>
      </c>
      <c r="P97" s="47">
        <f>N97</f>
        <v>0</v>
      </c>
      <c r="Q97" s="47">
        <f>SUM(Q98:Q100)</f>
        <v>0</v>
      </c>
      <c r="R97" s="47">
        <f t="shared" ref="R97:AI97" si="154">SUM(R98:R100)</f>
        <v>0</v>
      </c>
      <c r="S97" s="47">
        <f>SUM(S98:S100)</f>
        <v>0</v>
      </c>
      <c r="T97" s="47">
        <f t="shared" si="154"/>
        <v>0</v>
      </c>
      <c r="U97" s="47">
        <f t="shared" si="154"/>
        <v>0</v>
      </c>
      <c r="V97" s="47">
        <f t="shared" si="154"/>
        <v>0</v>
      </c>
      <c r="W97" s="47">
        <f t="shared" si="154"/>
        <v>0</v>
      </c>
      <c r="X97" s="47">
        <v>0</v>
      </c>
      <c r="Y97" s="47">
        <f t="shared" si="154"/>
        <v>0</v>
      </c>
      <c r="Z97" s="47">
        <f t="shared" si="154"/>
        <v>0</v>
      </c>
      <c r="AA97" s="47">
        <f t="shared" si="154"/>
        <v>0</v>
      </c>
      <c r="AB97" s="47">
        <f t="shared" si="154"/>
        <v>0</v>
      </c>
      <c r="AC97" s="47">
        <f t="shared" si="154"/>
        <v>0</v>
      </c>
      <c r="AD97" s="47">
        <f t="shared" si="154"/>
        <v>0</v>
      </c>
      <c r="AE97" s="47">
        <f>SUM(AE98:AE100)</f>
        <v>0</v>
      </c>
      <c r="AF97" s="47">
        <f t="shared" si="154"/>
        <v>0</v>
      </c>
      <c r="AG97" s="47">
        <f t="shared" si="154"/>
        <v>0</v>
      </c>
      <c r="AH97" s="47">
        <f t="shared" si="154"/>
        <v>0</v>
      </c>
      <c r="AI97" s="47">
        <f t="shared" si="154"/>
        <v>0</v>
      </c>
      <c r="AJ97" s="47">
        <v>0</v>
      </c>
      <c r="AK97" s="47">
        <v>0</v>
      </c>
      <c r="AL97" s="47">
        <v>0</v>
      </c>
      <c r="AM97" s="47">
        <v>0</v>
      </c>
      <c r="AN97" s="47">
        <v>0</v>
      </c>
      <c r="AO97" s="403">
        <v>159.434</v>
      </c>
      <c r="AP97" s="22">
        <v>0</v>
      </c>
      <c r="AQ97" s="22">
        <v>0</v>
      </c>
      <c r="AR97" s="22">
        <v>0</v>
      </c>
      <c r="AS97" s="22">
        <v>0</v>
      </c>
      <c r="AT97" s="22">
        <v>0</v>
      </c>
      <c r="AU97" s="22">
        <v>0</v>
      </c>
      <c r="AV97" s="22">
        <v>0</v>
      </c>
      <c r="AW97" s="22">
        <v>0</v>
      </c>
      <c r="AX97" s="22">
        <v>0</v>
      </c>
      <c r="AY97" s="22">
        <v>0</v>
      </c>
      <c r="AZ97" s="22">
        <v>0</v>
      </c>
      <c r="BA97" s="22">
        <v>0</v>
      </c>
      <c r="BB97" s="22">
        <v>0</v>
      </c>
      <c r="BC97" s="22">
        <v>0</v>
      </c>
      <c r="BD97" s="22">
        <v>0</v>
      </c>
      <c r="BE97" s="22">
        <v>0</v>
      </c>
      <c r="BF97" s="22">
        <v>0</v>
      </c>
      <c r="BG97" s="22">
        <v>0</v>
      </c>
      <c r="BH97" s="302"/>
      <c r="BI97" s="125">
        <v>0</v>
      </c>
      <c r="BJ97" s="126">
        <v>0</v>
      </c>
      <c r="BK97" s="126">
        <v>0</v>
      </c>
      <c r="BL97" s="126">
        <v>0</v>
      </c>
      <c r="BM97" s="125">
        <v>0</v>
      </c>
      <c r="BN97" s="126">
        <v>0</v>
      </c>
      <c r="BO97" s="126">
        <v>0</v>
      </c>
      <c r="BP97" s="126">
        <v>0</v>
      </c>
    </row>
    <row r="98" spans="1:68" s="273" customFormat="1" ht="17.25" hidden="1" customHeight="1">
      <c r="A98" s="813"/>
      <c r="B98" s="257" t="s">
        <v>230</v>
      </c>
      <c r="C98" s="371"/>
      <c r="D98" s="371"/>
      <c r="E98" s="371"/>
      <c r="F98" s="371"/>
      <c r="G98" s="371"/>
      <c r="H98" s="372"/>
      <c r="I98" s="934"/>
      <c r="J98" s="263"/>
      <c r="K98" s="99"/>
      <c r="L98" s="99"/>
      <c r="M98" s="99"/>
      <c r="N98" s="99"/>
      <c r="O98" s="99"/>
      <c r="P98" s="47"/>
      <c r="Q98" s="99">
        <f>Y98</f>
        <v>0</v>
      </c>
      <c r="R98" s="99"/>
      <c r="S98" s="99"/>
      <c r="T98" s="99"/>
      <c r="U98" s="99"/>
      <c r="V98" s="99"/>
      <c r="W98" s="99"/>
      <c r="X98" s="99">
        <v>0</v>
      </c>
      <c r="Y98" s="99">
        <v>0</v>
      </c>
      <c r="Z98" s="99">
        <v>0</v>
      </c>
      <c r="AA98" s="99">
        <v>0</v>
      </c>
      <c r="AB98" s="99"/>
      <c r="AC98" s="99"/>
      <c r="AD98" s="99"/>
      <c r="AE98" s="99">
        <f>SUM(AF98:AF98)</f>
        <v>0</v>
      </c>
      <c r="AF98" s="99"/>
      <c r="AG98" s="99"/>
      <c r="AH98" s="99"/>
      <c r="AI98" s="99"/>
      <c r="AJ98" s="99"/>
      <c r="AK98" s="99"/>
      <c r="AL98" s="99"/>
      <c r="AM98" s="99"/>
      <c r="AN98" s="99"/>
      <c r="AO98" s="412"/>
      <c r="AP98" s="22">
        <f t="shared" ref="AP98:BG98" si="155">AP101</f>
        <v>0</v>
      </c>
      <c r="AQ98" s="22">
        <f t="shared" si="155"/>
        <v>0</v>
      </c>
      <c r="AR98" s="22">
        <f t="shared" si="155"/>
        <v>0</v>
      </c>
      <c r="AS98" s="22">
        <f t="shared" si="155"/>
        <v>0</v>
      </c>
      <c r="AT98" s="22">
        <f t="shared" si="155"/>
        <v>0</v>
      </c>
      <c r="AU98" s="22">
        <f t="shared" si="155"/>
        <v>0</v>
      </c>
      <c r="AV98" s="22">
        <f t="shared" si="155"/>
        <v>0</v>
      </c>
      <c r="AW98" s="22">
        <f t="shared" si="155"/>
        <v>0</v>
      </c>
      <c r="AX98" s="22">
        <f t="shared" si="155"/>
        <v>0</v>
      </c>
      <c r="AY98" s="22">
        <f t="shared" si="155"/>
        <v>0</v>
      </c>
      <c r="AZ98" s="22">
        <f t="shared" si="155"/>
        <v>0</v>
      </c>
      <c r="BA98" s="22">
        <f t="shared" si="155"/>
        <v>0</v>
      </c>
      <c r="BB98" s="22">
        <f t="shared" si="155"/>
        <v>0</v>
      </c>
      <c r="BC98" s="22" t="e">
        <f t="shared" si="155"/>
        <v>#REF!</v>
      </c>
      <c r="BD98" s="22" t="e">
        <f t="shared" si="155"/>
        <v>#REF!</v>
      </c>
      <c r="BE98" s="22">
        <f t="shared" si="155"/>
        <v>0</v>
      </c>
      <c r="BF98" s="22">
        <f t="shared" si="155"/>
        <v>0</v>
      </c>
      <c r="BG98" s="22">
        <f t="shared" si="155"/>
        <v>0</v>
      </c>
      <c r="BH98" s="302"/>
      <c r="BI98" s="125">
        <v>0</v>
      </c>
      <c r="BJ98" s="126">
        <v>0</v>
      </c>
      <c r="BK98" s="126">
        <v>0</v>
      </c>
      <c r="BL98" s="126">
        <v>0</v>
      </c>
      <c r="BM98" s="125">
        <v>0</v>
      </c>
      <c r="BN98" s="126">
        <v>0</v>
      </c>
      <c r="BO98" s="126">
        <v>0</v>
      </c>
      <c r="BP98" s="126">
        <v>0</v>
      </c>
    </row>
    <row r="99" spans="1:68" s="273" customFormat="1" ht="17.25" hidden="1" customHeight="1">
      <c r="A99" s="813"/>
      <c r="B99" s="257" t="s">
        <v>231</v>
      </c>
      <c r="C99" s="371"/>
      <c r="D99" s="371"/>
      <c r="E99" s="371"/>
      <c r="F99" s="371"/>
      <c r="G99" s="371"/>
      <c r="H99" s="372"/>
      <c r="I99" s="934"/>
      <c r="J99" s="263"/>
      <c r="K99" s="99"/>
      <c r="L99" s="99"/>
      <c r="M99" s="99"/>
      <c r="N99" s="99"/>
      <c r="O99" s="99"/>
      <c r="P99" s="47"/>
      <c r="Q99" s="99">
        <f>S99</f>
        <v>0</v>
      </c>
      <c r="R99" s="99">
        <f>S99</f>
        <v>0</v>
      </c>
      <c r="S99" s="99">
        <v>0</v>
      </c>
      <c r="T99" s="99"/>
      <c r="U99" s="99"/>
      <c r="V99" s="99"/>
      <c r="W99" s="99"/>
      <c r="X99" s="99">
        <v>0</v>
      </c>
      <c r="Y99" s="99">
        <v>0</v>
      </c>
      <c r="Z99" s="99">
        <f>AA99</f>
        <v>0</v>
      </c>
      <c r="AA99" s="99">
        <v>0</v>
      </c>
      <c r="AB99" s="99"/>
      <c r="AC99" s="99"/>
      <c r="AD99" s="99"/>
      <c r="AE99" s="99">
        <f>SUM(AF99:AF99)</f>
        <v>0</v>
      </c>
      <c r="AF99" s="99"/>
      <c r="AG99" s="99"/>
      <c r="AH99" s="99"/>
      <c r="AI99" s="99"/>
      <c r="AJ99" s="99"/>
      <c r="AK99" s="99"/>
      <c r="AL99" s="99"/>
      <c r="AM99" s="99"/>
      <c r="AN99" s="99"/>
      <c r="AO99" s="412"/>
      <c r="AP99" s="22">
        <v>0</v>
      </c>
      <c r="AQ99" s="22">
        <v>0</v>
      </c>
      <c r="AR99" s="22">
        <v>0</v>
      </c>
      <c r="AS99" s="22">
        <v>0</v>
      </c>
      <c r="AT99" s="22">
        <v>0</v>
      </c>
      <c r="AU99" s="22">
        <v>0</v>
      </c>
      <c r="AV99" s="22">
        <v>0</v>
      </c>
      <c r="AW99" s="22">
        <v>0</v>
      </c>
      <c r="AX99" s="22">
        <v>0</v>
      </c>
      <c r="AY99" s="22">
        <v>0</v>
      </c>
      <c r="AZ99" s="22">
        <v>0</v>
      </c>
      <c r="BA99" s="22">
        <v>0</v>
      </c>
      <c r="BB99" s="22">
        <v>0</v>
      </c>
      <c r="BC99" s="22">
        <v>0</v>
      </c>
      <c r="BD99" s="22">
        <v>0</v>
      </c>
      <c r="BE99" s="22">
        <v>0</v>
      </c>
      <c r="BF99" s="22">
        <v>0</v>
      </c>
      <c r="BG99" s="22">
        <v>0</v>
      </c>
      <c r="BH99" s="302"/>
      <c r="BI99" s="125">
        <v>0</v>
      </c>
      <c r="BJ99" s="126">
        <v>0</v>
      </c>
      <c r="BK99" s="126">
        <v>0</v>
      </c>
      <c r="BL99" s="126">
        <v>0</v>
      </c>
      <c r="BM99" s="125">
        <v>0</v>
      </c>
      <c r="BN99" s="126">
        <v>0</v>
      </c>
      <c r="BO99" s="126">
        <v>0</v>
      </c>
      <c r="BP99" s="126">
        <v>0</v>
      </c>
    </row>
    <row r="100" spans="1:68" s="273" customFormat="1" ht="17.25" hidden="1" customHeight="1">
      <c r="A100" s="813"/>
      <c r="B100" s="257" t="s">
        <v>232</v>
      </c>
      <c r="C100" s="371"/>
      <c r="D100" s="371"/>
      <c r="E100" s="371"/>
      <c r="F100" s="371"/>
      <c r="G100" s="371"/>
      <c r="H100" s="372"/>
      <c r="I100" s="934"/>
      <c r="J100" s="263"/>
      <c r="K100" s="99"/>
      <c r="L100" s="99"/>
      <c r="M100" s="99"/>
      <c r="N100" s="99"/>
      <c r="O100" s="99"/>
      <c r="P100" s="47"/>
      <c r="Q100" s="99">
        <f t="shared" ref="Q100" si="156">Y100</f>
        <v>0</v>
      </c>
      <c r="R100" s="99"/>
      <c r="S100" s="99"/>
      <c r="T100" s="99"/>
      <c r="U100" s="99"/>
      <c r="V100" s="99"/>
      <c r="W100" s="99"/>
      <c r="X100" s="99">
        <v>0</v>
      </c>
      <c r="Y100" s="99">
        <v>0</v>
      </c>
      <c r="Z100" s="99">
        <v>0</v>
      </c>
      <c r="AA100" s="99">
        <v>0</v>
      </c>
      <c r="AB100" s="99"/>
      <c r="AC100" s="99"/>
      <c r="AD100" s="99"/>
      <c r="AE100" s="99">
        <f>SUM(AF100:AF100)</f>
        <v>0</v>
      </c>
      <c r="AF100" s="99"/>
      <c r="AG100" s="99"/>
      <c r="AH100" s="99"/>
      <c r="AI100" s="99"/>
      <c r="AJ100" s="99"/>
      <c r="AK100" s="99"/>
      <c r="AL100" s="99"/>
      <c r="AM100" s="99"/>
      <c r="AN100" s="99"/>
      <c r="AO100" s="412"/>
      <c r="AP100" s="22">
        <v>0</v>
      </c>
      <c r="AQ100" s="22">
        <v>0</v>
      </c>
      <c r="AR100" s="22">
        <v>0</v>
      </c>
      <c r="AS100" s="22">
        <v>0</v>
      </c>
      <c r="AT100" s="22">
        <v>0</v>
      </c>
      <c r="AU100" s="22">
        <v>0</v>
      </c>
      <c r="AV100" s="22">
        <v>0</v>
      </c>
      <c r="AW100" s="22">
        <v>0</v>
      </c>
      <c r="AX100" s="22">
        <v>0</v>
      </c>
      <c r="AY100" s="22">
        <v>0</v>
      </c>
      <c r="AZ100" s="22">
        <v>0</v>
      </c>
      <c r="BA100" s="22">
        <v>0</v>
      </c>
      <c r="BB100" s="22">
        <v>0</v>
      </c>
      <c r="BC100" s="22">
        <v>0</v>
      </c>
      <c r="BD100" s="22">
        <v>0</v>
      </c>
      <c r="BE100" s="22">
        <v>0</v>
      </c>
      <c r="BF100" s="22">
        <v>0</v>
      </c>
      <c r="BG100" s="22">
        <v>0</v>
      </c>
      <c r="BH100" s="302"/>
      <c r="BI100" s="125">
        <v>0</v>
      </c>
      <c r="BJ100" s="126">
        <v>0</v>
      </c>
      <c r="BK100" s="126">
        <v>0</v>
      </c>
      <c r="BL100" s="126">
        <v>0</v>
      </c>
      <c r="BM100" s="125">
        <v>0</v>
      </c>
      <c r="BN100" s="126">
        <v>0</v>
      </c>
      <c r="BO100" s="126">
        <v>0</v>
      </c>
      <c r="BP100" s="126">
        <v>0</v>
      </c>
    </row>
    <row r="101" spans="1:68" s="292" customFormat="1" ht="16.5" customHeight="1">
      <c r="A101" s="814"/>
      <c r="B101" s="42" t="s">
        <v>32</v>
      </c>
      <c r="C101" s="320"/>
      <c r="D101" s="320"/>
      <c r="E101" s="320"/>
      <c r="F101" s="320"/>
      <c r="G101" s="320"/>
      <c r="H101" s="321"/>
      <c r="I101" s="877"/>
      <c r="J101" s="75"/>
      <c r="K101" s="47"/>
      <c r="L101" s="47">
        <v>4919.54</v>
      </c>
      <c r="M101" s="47">
        <v>0</v>
      </c>
      <c r="N101" s="47">
        <v>1639.84</v>
      </c>
      <c r="O101" s="47">
        <v>0</v>
      </c>
      <c r="P101" s="47">
        <v>0</v>
      </c>
      <c r="Q101" s="47">
        <v>0</v>
      </c>
      <c r="R101" s="47">
        <v>0</v>
      </c>
      <c r="S101" s="47">
        <v>0</v>
      </c>
      <c r="T101" s="47">
        <v>0</v>
      </c>
      <c r="U101" s="47">
        <v>0</v>
      </c>
      <c r="V101" s="47">
        <v>0</v>
      </c>
      <c r="W101" s="47">
        <v>0</v>
      </c>
      <c r="X101" s="47">
        <v>0</v>
      </c>
      <c r="Y101" s="47">
        <v>0</v>
      </c>
      <c r="Z101" s="47">
        <v>0</v>
      </c>
      <c r="AA101" s="47">
        <v>0</v>
      </c>
      <c r="AB101" s="47">
        <v>0</v>
      </c>
      <c r="AC101" s="47">
        <v>0</v>
      </c>
      <c r="AD101" s="47">
        <v>0</v>
      </c>
      <c r="AE101" s="47">
        <v>0</v>
      </c>
      <c r="AF101" s="47">
        <v>0</v>
      </c>
      <c r="AG101" s="47">
        <v>0</v>
      </c>
      <c r="AH101" s="47">
        <v>0</v>
      </c>
      <c r="AI101" s="47">
        <v>0</v>
      </c>
      <c r="AJ101" s="47">
        <v>0</v>
      </c>
      <c r="AK101" s="47">
        <v>0</v>
      </c>
      <c r="AL101" s="47">
        <v>0</v>
      </c>
      <c r="AM101" s="47">
        <v>0</v>
      </c>
      <c r="AN101" s="47">
        <v>0</v>
      </c>
      <c r="AO101" s="403">
        <v>1639.8466699999999</v>
      </c>
      <c r="AP101" s="82">
        <f t="shared" ref="AP101:BG101" si="157">AP102+AP103</f>
        <v>0</v>
      </c>
      <c r="AQ101" s="82">
        <f t="shared" si="157"/>
        <v>0</v>
      </c>
      <c r="AR101" s="82">
        <f t="shared" si="157"/>
        <v>0</v>
      </c>
      <c r="AS101" s="82">
        <f t="shared" si="157"/>
        <v>0</v>
      </c>
      <c r="AT101" s="82">
        <f t="shared" si="157"/>
        <v>0</v>
      </c>
      <c r="AU101" s="82">
        <f t="shared" si="157"/>
        <v>0</v>
      </c>
      <c r="AV101" s="82">
        <f t="shared" si="157"/>
        <v>0</v>
      </c>
      <c r="AW101" s="82">
        <f t="shared" si="157"/>
        <v>0</v>
      </c>
      <c r="AX101" s="82">
        <f t="shared" si="157"/>
        <v>0</v>
      </c>
      <c r="AY101" s="82">
        <f t="shared" si="157"/>
        <v>0</v>
      </c>
      <c r="AZ101" s="82">
        <f t="shared" si="157"/>
        <v>0</v>
      </c>
      <c r="BA101" s="82">
        <f t="shared" si="157"/>
        <v>0</v>
      </c>
      <c r="BB101" s="82">
        <f t="shared" si="157"/>
        <v>0</v>
      </c>
      <c r="BC101" s="82" t="e">
        <f>#REF!-AP101</f>
        <v>#REF!</v>
      </c>
      <c r="BD101" s="82" t="e">
        <f>BC101</f>
        <v>#REF!</v>
      </c>
      <c r="BE101" s="79">
        <v>0</v>
      </c>
      <c r="BF101" s="82">
        <f t="shared" si="157"/>
        <v>0</v>
      </c>
      <c r="BG101" s="82">
        <f t="shared" si="157"/>
        <v>0</v>
      </c>
      <c r="BH101" s="308"/>
      <c r="BI101" s="125">
        <v>0</v>
      </c>
      <c r="BJ101" s="126">
        <v>0</v>
      </c>
      <c r="BK101" s="126">
        <v>0</v>
      </c>
      <c r="BL101" s="126">
        <v>0</v>
      </c>
      <c r="BM101" s="125">
        <v>0</v>
      </c>
      <c r="BN101" s="126">
        <v>0</v>
      </c>
      <c r="BO101" s="126">
        <v>0</v>
      </c>
      <c r="BP101" s="126">
        <v>0</v>
      </c>
    </row>
    <row r="102" spans="1:68" s="335" customFormat="1" ht="91.5" customHeight="1">
      <c r="A102" s="812" t="s">
        <v>167</v>
      </c>
      <c r="B102" s="83" t="s">
        <v>171</v>
      </c>
      <c r="C102" s="322"/>
      <c r="D102" s="322"/>
      <c r="E102" s="322"/>
      <c r="F102" s="322"/>
      <c r="G102" s="322"/>
      <c r="H102" s="334"/>
      <c r="I102" s="820" t="s">
        <v>20</v>
      </c>
      <c r="J102" s="291"/>
      <c r="K102" s="82"/>
      <c r="L102" s="82">
        <f>L103+L106</f>
        <v>94875.549999999988</v>
      </c>
      <c r="M102" s="82">
        <f t="shared" ref="M102:AN102" si="158">M103+M106</f>
        <v>2761.44</v>
      </c>
      <c r="N102" s="82">
        <f t="shared" si="158"/>
        <v>9629.67</v>
      </c>
      <c r="O102" s="82">
        <f t="shared" si="158"/>
        <v>22469.279999999999</v>
      </c>
      <c r="P102" s="82">
        <f t="shared" si="158"/>
        <v>2605.9899999999998</v>
      </c>
      <c r="Q102" s="82">
        <f t="shared" si="158"/>
        <v>1822.39</v>
      </c>
      <c r="R102" s="82">
        <f t="shared" si="158"/>
        <v>775.23199999999997</v>
      </c>
      <c r="S102" s="82">
        <f t="shared" si="158"/>
        <v>775.23199999999997</v>
      </c>
      <c r="T102" s="82">
        <f t="shared" si="158"/>
        <v>1047.1600000000001</v>
      </c>
      <c r="U102" s="82">
        <f t="shared" si="158"/>
        <v>1047.1600000000001</v>
      </c>
      <c r="V102" s="82">
        <f t="shared" si="158"/>
        <v>0</v>
      </c>
      <c r="W102" s="82">
        <f t="shared" si="158"/>
        <v>0</v>
      </c>
      <c r="X102" s="82">
        <f t="shared" si="158"/>
        <v>0</v>
      </c>
      <c r="Y102" s="82">
        <f t="shared" si="158"/>
        <v>0</v>
      </c>
      <c r="Z102" s="82">
        <f t="shared" si="158"/>
        <v>0</v>
      </c>
      <c r="AA102" s="82">
        <f t="shared" si="158"/>
        <v>0</v>
      </c>
      <c r="AB102" s="82">
        <f t="shared" si="158"/>
        <v>0</v>
      </c>
      <c r="AC102" s="82">
        <f t="shared" si="158"/>
        <v>0</v>
      </c>
      <c r="AD102" s="82">
        <f t="shared" si="158"/>
        <v>0</v>
      </c>
      <c r="AE102" s="82">
        <f t="shared" si="158"/>
        <v>0</v>
      </c>
      <c r="AF102" s="82">
        <f t="shared" si="158"/>
        <v>0</v>
      </c>
      <c r="AG102" s="82">
        <f t="shared" si="158"/>
        <v>0</v>
      </c>
      <c r="AH102" s="82">
        <f t="shared" si="158"/>
        <v>0</v>
      </c>
      <c r="AI102" s="82">
        <f t="shared" si="158"/>
        <v>0</v>
      </c>
      <c r="AJ102" s="82">
        <f>P102-Q102</f>
        <v>783.59999999999968</v>
      </c>
      <c r="AK102" s="82">
        <f t="shared" si="158"/>
        <v>0</v>
      </c>
      <c r="AL102" s="79">
        <f>ROUND((Q102*100%/P102*100),2)</f>
        <v>69.930000000000007</v>
      </c>
      <c r="AM102" s="82">
        <f t="shared" si="158"/>
        <v>0</v>
      </c>
      <c r="AN102" s="82">
        <f t="shared" si="158"/>
        <v>0</v>
      </c>
      <c r="AO102" s="411" t="s">
        <v>264</v>
      </c>
      <c r="AP102" s="47">
        <v>0</v>
      </c>
      <c r="AQ102" s="47">
        <v>0</v>
      </c>
      <c r="AR102" s="47">
        <v>0</v>
      </c>
      <c r="AS102" s="47">
        <v>0</v>
      </c>
      <c r="AT102" s="47">
        <v>0</v>
      </c>
      <c r="AU102" s="47">
        <v>0</v>
      </c>
      <c r="AV102" s="47">
        <v>0</v>
      </c>
      <c r="AW102" s="47">
        <v>0</v>
      </c>
      <c r="AX102" s="47">
        <v>0</v>
      </c>
      <c r="AY102" s="47">
        <v>0</v>
      </c>
      <c r="AZ102" s="47">
        <v>0</v>
      </c>
      <c r="BA102" s="47">
        <v>0</v>
      </c>
      <c r="BB102" s="47">
        <v>0</v>
      </c>
      <c r="BC102" s="47">
        <v>0</v>
      </c>
      <c r="BD102" s="47">
        <v>0</v>
      </c>
      <c r="BE102" s="47">
        <v>0</v>
      </c>
      <c r="BF102" s="47">
        <v>0</v>
      </c>
      <c r="BG102" s="47">
        <v>0</v>
      </c>
      <c r="BH102" s="301"/>
      <c r="BI102" s="81">
        <f t="shared" ref="BI102:BP102" si="159">BI103+BI104</f>
        <v>0</v>
      </c>
      <c r="BJ102" s="81">
        <f t="shared" si="159"/>
        <v>0</v>
      </c>
      <c r="BK102" s="81">
        <f t="shared" si="159"/>
        <v>0</v>
      </c>
      <c r="BL102" s="81">
        <f t="shared" si="159"/>
        <v>0</v>
      </c>
      <c r="BM102" s="81">
        <f t="shared" si="159"/>
        <v>0</v>
      </c>
      <c r="BN102" s="81">
        <f t="shared" si="159"/>
        <v>0</v>
      </c>
      <c r="BO102" s="81">
        <f t="shared" si="159"/>
        <v>0</v>
      </c>
      <c r="BP102" s="81">
        <f t="shared" si="159"/>
        <v>0</v>
      </c>
    </row>
    <row r="103" spans="1:68" s="292" customFormat="1" ht="16.5" customHeight="1">
      <c r="A103" s="813"/>
      <c r="B103" s="42" t="s">
        <v>15</v>
      </c>
      <c r="C103" s="320"/>
      <c r="D103" s="320"/>
      <c r="E103" s="320"/>
      <c r="F103" s="320"/>
      <c r="G103" s="320"/>
      <c r="H103" s="321"/>
      <c r="I103" s="934"/>
      <c r="J103" s="75"/>
      <c r="K103" s="47"/>
      <c r="L103" s="47">
        <v>5734.87</v>
      </c>
      <c r="M103" s="47">
        <v>2761.44</v>
      </c>
      <c r="N103" s="47">
        <v>105.99</v>
      </c>
      <c r="O103" s="47">
        <v>0</v>
      </c>
      <c r="P103" s="47">
        <v>0</v>
      </c>
      <c r="Q103" s="47">
        <f>Q104</f>
        <v>1822.39</v>
      </c>
      <c r="R103" s="47">
        <f>S103</f>
        <v>775.23199999999997</v>
      </c>
      <c r="S103" s="47">
        <v>775.23199999999997</v>
      </c>
      <c r="T103" s="47">
        <f t="shared" ref="T103:AF103" si="160">SUM(T104:T105)</f>
        <v>1047.1600000000001</v>
      </c>
      <c r="U103" s="47">
        <f t="shared" si="160"/>
        <v>1047.1600000000001</v>
      </c>
      <c r="V103" s="47">
        <f t="shared" si="160"/>
        <v>0</v>
      </c>
      <c r="W103" s="47">
        <f t="shared" si="160"/>
        <v>0</v>
      </c>
      <c r="X103" s="47">
        <v>0</v>
      </c>
      <c r="Y103" s="47">
        <f t="shared" si="160"/>
        <v>0</v>
      </c>
      <c r="Z103" s="47">
        <f t="shared" si="160"/>
        <v>0</v>
      </c>
      <c r="AA103" s="47">
        <f t="shared" si="160"/>
        <v>0</v>
      </c>
      <c r="AB103" s="47">
        <f t="shared" si="160"/>
        <v>0</v>
      </c>
      <c r="AC103" s="47">
        <f t="shared" ref="AC103:AD103" si="161">SUM(AC104:AC105)</f>
        <v>0</v>
      </c>
      <c r="AD103" s="47">
        <f t="shared" si="161"/>
        <v>0</v>
      </c>
      <c r="AE103" s="47">
        <f t="shared" si="160"/>
        <v>0</v>
      </c>
      <c r="AF103" s="47">
        <f t="shared" si="160"/>
        <v>0</v>
      </c>
      <c r="AG103" s="47">
        <f t="shared" ref="AG103:AI103" si="162">SUM(AG104:AG105)</f>
        <v>0</v>
      </c>
      <c r="AH103" s="47">
        <f t="shared" si="162"/>
        <v>0</v>
      </c>
      <c r="AI103" s="47">
        <f t="shared" si="162"/>
        <v>0</v>
      </c>
      <c r="AJ103" s="47">
        <v>0</v>
      </c>
      <c r="AK103" s="47">
        <v>0</v>
      </c>
      <c r="AL103" s="47">
        <v>0</v>
      </c>
      <c r="AM103" s="47">
        <v>0</v>
      </c>
      <c r="AN103" s="47">
        <v>0</v>
      </c>
      <c r="AO103" s="403"/>
      <c r="AP103" s="22">
        <v>0</v>
      </c>
      <c r="AQ103" s="22">
        <v>0</v>
      </c>
      <c r="AR103" s="22">
        <v>0</v>
      </c>
      <c r="AS103" s="22">
        <v>0</v>
      </c>
      <c r="AT103" s="22">
        <v>0</v>
      </c>
      <c r="AU103" s="22">
        <v>0</v>
      </c>
      <c r="AV103" s="22">
        <v>0</v>
      </c>
      <c r="AW103" s="22">
        <v>0</v>
      </c>
      <c r="AX103" s="22">
        <v>0</v>
      </c>
      <c r="AY103" s="22">
        <v>0</v>
      </c>
      <c r="AZ103" s="22">
        <v>0</v>
      </c>
      <c r="BA103" s="22">
        <v>0</v>
      </c>
      <c r="BB103" s="22">
        <v>0</v>
      </c>
      <c r="BC103" s="22">
        <v>0</v>
      </c>
      <c r="BD103" s="22">
        <v>0</v>
      </c>
      <c r="BE103" s="22">
        <v>0</v>
      </c>
      <c r="BF103" s="22">
        <v>0</v>
      </c>
      <c r="BG103" s="22">
        <v>0</v>
      </c>
      <c r="BH103" s="302"/>
      <c r="BI103" s="125">
        <v>0</v>
      </c>
      <c r="BJ103" s="126">
        <v>0</v>
      </c>
      <c r="BK103" s="126">
        <v>0</v>
      </c>
      <c r="BL103" s="126">
        <v>0</v>
      </c>
      <c r="BM103" s="125">
        <v>0</v>
      </c>
      <c r="BN103" s="126">
        <v>0</v>
      </c>
      <c r="BO103" s="126">
        <v>0</v>
      </c>
      <c r="BP103" s="126">
        <v>0</v>
      </c>
    </row>
    <row r="104" spans="1:68" s="273" customFormat="1" ht="16.5" hidden="1" customHeight="1">
      <c r="A104" s="813"/>
      <c r="B104" s="257" t="s">
        <v>276</v>
      </c>
      <c r="C104" s="371"/>
      <c r="D104" s="371"/>
      <c r="E104" s="371"/>
      <c r="F104" s="371"/>
      <c r="G104" s="371"/>
      <c r="H104" s="372"/>
      <c r="I104" s="934"/>
      <c r="J104" s="263"/>
      <c r="K104" s="99"/>
      <c r="L104" s="47">
        <f t="shared" ref="L104:L105" si="163">SUM(M104:O104)</f>
        <v>0</v>
      </c>
      <c r="M104" s="99"/>
      <c r="N104" s="99"/>
      <c r="O104" s="99"/>
      <c r="P104" s="47"/>
      <c r="Q104" s="99">
        <f>S104+U104</f>
        <v>1822.39</v>
      </c>
      <c r="R104" s="99">
        <f>S104</f>
        <v>775.23</v>
      </c>
      <c r="S104" s="99">
        <v>775.23</v>
      </c>
      <c r="T104" s="99">
        <f>U104</f>
        <v>1047.1600000000001</v>
      </c>
      <c r="U104" s="99">
        <v>1047.1600000000001</v>
      </c>
      <c r="V104" s="99"/>
      <c r="W104" s="99"/>
      <c r="X104" s="99">
        <v>0</v>
      </c>
      <c r="Y104" s="99">
        <v>0</v>
      </c>
      <c r="Z104" s="99">
        <v>0</v>
      </c>
      <c r="AA104" s="99">
        <v>0</v>
      </c>
      <c r="AB104" s="99"/>
      <c r="AC104" s="99"/>
      <c r="AD104" s="99">
        <v>0</v>
      </c>
      <c r="AE104" s="99">
        <f>SUM(AF104:AF104)</f>
        <v>0</v>
      </c>
      <c r="AF104" s="99"/>
      <c r="AG104" s="99"/>
      <c r="AH104" s="99"/>
      <c r="AI104" s="99"/>
      <c r="AJ104" s="99">
        <v>0</v>
      </c>
      <c r="AK104" s="99">
        <v>0</v>
      </c>
      <c r="AL104" s="99">
        <v>0</v>
      </c>
      <c r="AM104" s="99">
        <v>0</v>
      </c>
      <c r="AN104" s="99">
        <v>0</v>
      </c>
      <c r="AO104" s="412"/>
      <c r="AP104" s="714"/>
      <c r="AQ104" s="714"/>
      <c r="AR104" s="714"/>
      <c r="AS104" s="714"/>
      <c r="AT104" s="714"/>
      <c r="AU104" s="714"/>
      <c r="AV104" s="714"/>
      <c r="AW104" s="714"/>
      <c r="AX104" s="714"/>
      <c r="AY104" s="714"/>
      <c r="AZ104" s="714"/>
      <c r="BA104" s="714"/>
      <c r="BB104" s="714"/>
      <c r="BC104" s="714"/>
      <c r="BD104" s="714"/>
      <c r="BE104" s="714"/>
      <c r="BF104" s="714"/>
      <c r="BG104" s="714"/>
      <c r="BH104" s="714"/>
      <c r="BI104" s="714"/>
      <c r="BJ104" s="714"/>
      <c r="BK104" s="714"/>
      <c r="BL104" s="714"/>
      <c r="BM104" s="714"/>
      <c r="BN104" s="714"/>
      <c r="BO104" s="714"/>
      <c r="BP104" s="714"/>
    </row>
    <row r="105" spans="1:68" s="273" customFormat="1" ht="16.5" hidden="1" customHeight="1">
      <c r="A105" s="813"/>
      <c r="B105" s="257" t="s">
        <v>275</v>
      </c>
      <c r="C105" s="371"/>
      <c r="D105" s="371"/>
      <c r="E105" s="371"/>
      <c r="F105" s="371"/>
      <c r="G105" s="371"/>
      <c r="H105" s="372"/>
      <c r="I105" s="934"/>
      <c r="J105" s="263"/>
      <c r="K105" s="99"/>
      <c r="L105" s="99">
        <f t="shared" si="163"/>
        <v>0</v>
      </c>
      <c r="M105" s="99"/>
      <c r="N105" s="99"/>
      <c r="O105" s="99"/>
      <c r="P105" s="99">
        <f>R105+T105</f>
        <v>0</v>
      </c>
      <c r="Q105" s="99">
        <v>0</v>
      </c>
      <c r="R105" s="99"/>
      <c r="S105" s="99"/>
      <c r="T105" s="99">
        <f>U105</f>
        <v>0</v>
      </c>
      <c r="U105" s="99">
        <v>0</v>
      </c>
      <c r="V105" s="99"/>
      <c r="W105" s="99"/>
      <c r="X105" s="99"/>
      <c r="Y105" s="99"/>
      <c r="Z105" s="99">
        <f>SUM(AA105:AC105)</f>
        <v>0</v>
      </c>
      <c r="AA105" s="99"/>
      <c r="AB105" s="99">
        <v>0</v>
      </c>
      <c r="AC105" s="99">
        <v>0</v>
      </c>
      <c r="AD105" s="99"/>
      <c r="AE105" s="99">
        <f>SUM(AF105:AF105)</f>
        <v>0</v>
      </c>
      <c r="AF105" s="99"/>
      <c r="AG105" s="99"/>
      <c r="AH105" s="99"/>
      <c r="AI105" s="99"/>
      <c r="AJ105" s="99"/>
      <c r="AK105" s="99"/>
      <c r="AL105" s="99"/>
      <c r="AM105" s="99"/>
      <c r="AN105" s="99"/>
      <c r="AO105" s="412"/>
      <c r="AP105" s="389" t="e">
        <f t="shared" ref="AP105:BP105" si="164">AP106+AP107+AP108+AP109</f>
        <v>#REF!</v>
      </c>
      <c r="AQ105" s="389" t="e">
        <f t="shared" si="164"/>
        <v>#REF!</v>
      </c>
      <c r="AR105" s="389" t="e">
        <f t="shared" si="164"/>
        <v>#REF!</v>
      </c>
      <c r="AS105" s="389" t="e">
        <f t="shared" si="164"/>
        <v>#REF!</v>
      </c>
      <c r="AT105" s="389" t="e">
        <f t="shared" si="164"/>
        <v>#REF!</v>
      </c>
      <c r="AU105" s="389" t="e">
        <f t="shared" si="164"/>
        <v>#REF!</v>
      </c>
      <c r="AV105" s="389" t="e">
        <f t="shared" si="164"/>
        <v>#REF!</v>
      </c>
      <c r="AW105" s="389" t="e">
        <f t="shared" si="164"/>
        <v>#REF!</v>
      </c>
      <c r="AX105" s="389" t="e">
        <f t="shared" si="164"/>
        <v>#REF!</v>
      </c>
      <c r="AY105" s="389" t="e">
        <f t="shared" si="164"/>
        <v>#REF!</v>
      </c>
      <c r="AZ105" s="389" t="e">
        <f t="shared" si="164"/>
        <v>#REF!</v>
      </c>
      <c r="BA105" s="389" t="e">
        <f t="shared" si="164"/>
        <v>#REF!</v>
      </c>
      <c r="BB105" s="389" t="e">
        <f t="shared" si="164"/>
        <v>#REF!</v>
      </c>
      <c r="BC105" s="389" t="e">
        <f t="shared" si="164"/>
        <v>#REF!</v>
      </c>
      <c r="BD105" s="389" t="e">
        <f t="shared" si="164"/>
        <v>#REF!</v>
      </c>
      <c r="BE105" s="389" t="e">
        <f t="shared" si="164"/>
        <v>#REF!</v>
      </c>
      <c r="BF105" s="389" t="e">
        <f t="shared" si="164"/>
        <v>#REF!</v>
      </c>
      <c r="BG105" s="389" t="e">
        <f t="shared" si="164"/>
        <v>#REF!</v>
      </c>
      <c r="BH105" s="389" t="e">
        <f t="shared" si="164"/>
        <v>#REF!</v>
      </c>
      <c r="BI105" s="389">
        <f t="shared" si="164"/>
        <v>0</v>
      </c>
      <c r="BJ105" s="389">
        <f t="shared" si="164"/>
        <v>0</v>
      </c>
      <c r="BK105" s="389">
        <f t="shared" si="164"/>
        <v>0</v>
      </c>
      <c r="BL105" s="389">
        <f t="shared" si="164"/>
        <v>0</v>
      </c>
      <c r="BM105" s="389">
        <f t="shared" si="164"/>
        <v>0</v>
      </c>
      <c r="BN105" s="389">
        <f t="shared" si="164"/>
        <v>0</v>
      </c>
      <c r="BO105" s="389">
        <f t="shared" si="164"/>
        <v>0</v>
      </c>
      <c r="BP105" s="389">
        <f t="shared" si="164"/>
        <v>0</v>
      </c>
    </row>
    <row r="106" spans="1:68" s="292" customFormat="1" ht="16.5" customHeight="1">
      <c r="A106" s="814"/>
      <c r="B106" s="42" t="s">
        <v>32</v>
      </c>
      <c r="C106" s="320"/>
      <c r="D106" s="320"/>
      <c r="E106" s="320"/>
      <c r="F106" s="320"/>
      <c r="G106" s="320"/>
      <c r="H106" s="321"/>
      <c r="I106" s="877"/>
      <c r="J106" s="75"/>
      <c r="K106" s="47"/>
      <c r="L106" s="47">
        <v>89140.68</v>
      </c>
      <c r="M106" s="47">
        <v>0</v>
      </c>
      <c r="N106" s="47">
        <v>9523.68</v>
      </c>
      <c r="O106" s="47">
        <v>22469.279999999999</v>
      </c>
      <c r="P106" s="47">
        <v>2605.9899999999998</v>
      </c>
      <c r="Q106" s="47">
        <v>0</v>
      </c>
      <c r="R106" s="47">
        <v>0</v>
      </c>
      <c r="S106" s="47">
        <v>0</v>
      </c>
      <c r="T106" s="47">
        <v>0</v>
      </c>
      <c r="U106" s="47">
        <v>0</v>
      </c>
      <c r="V106" s="47">
        <v>0</v>
      </c>
      <c r="W106" s="47">
        <v>0</v>
      </c>
      <c r="X106" s="47">
        <v>0</v>
      </c>
      <c r="Y106" s="47">
        <v>0</v>
      </c>
      <c r="Z106" s="47">
        <v>0</v>
      </c>
      <c r="AA106" s="47">
        <v>0</v>
      </c>
      <c r="AB106" s="47">
        <v>0</v>
      </c>
      <c r="AC106" s="47">
        <v>0</v>
      </c>
      <c r="AD106" s="47">
        <v>0</v>
      </c>
      <c r="AE106" s="47">
        <v>0</v>
      </c>
      <c r="AF106" s="47">
        <v>0</v>
      </c>
      <c r="AG106" s="47">
        <v>0</v>
      </c>
      <c r="AH106" s="47">
        <v>0</v>
      </c>
      <c r="AI106" s="47">
        <v>0</v>
      </c>
      <c r="AJ106" s="47">
        <v>0</v>
      </c>
      <c r="AK106" s="47">
        <v>0</v>
      </c>
      <c r="AL106" s="47">
        <v>0</v>
      </c>
      <c r="AM106" s="47">
        <v>0</v>
      </c>
      <c r="AN106" s="47">
        <v>0</v>
      </c>
      <c r="AO106" s="403"/>
      <c r="AP106" s="47" t="e">
        <f t="shared" ref="AP106:BP106" si="165">AP110+AP139+AP163</f>
        <v>#REF!</v>
      </c>
      <c r="AQ106" s="47" t="e">
        <f t="shared" si="165"/>
        <v>#REF!</v>
      </c>
      <c r="AR106" s="47" t="e">
        <f t="shared" si="165"/>
        <v>#REF!</v>
      </c>
      <c r="AS106" s="47" t="e">
        <f t="shared" si="165"/>
        <v>#REF!</v>
      </c>
      <c r="AT106" s="47" t="e">
        <f t="shared" si="165"/>
        <v>#REF!</v>
      </c>
      <c r="AU106" s="47" t="e">
        <f t="shared" si="165"/>
        <v>#REF!</v>
      </c>
      <c r="AV106" s="47" t="e">
        <f t="shared" si="165"/>
        <v>#REF!</v>
      </c>
      <c r="AW106" s="47" t="e">
        <f t="shared" si="165"/>
        <v>#REF!</v>
      </c>
      <c r="AX106" s="47" t="e">
        <f t="shared" si="165"/>
        <v>#REF!</v>
      </c>
      <c r="AY106" s="47" t="e">
        <f t="shared" si="165"/>
        <v>#REF!</v>
      </c>
      <c r="AZ106" s="47" t="e">
        <f t="shared" si="165"/>
        <v>#REF!</v>
      </c>
      <c r="BA106" s="47" t="e">
        <f t="shared" si="165"/>
        <v>#REF!</v>
      </c>
      <c r="BB106" s="47" t="e">
        <f t="shared" si="165"/>
        <v>#REF!</v>
      </c>
      <c r="BC106" s="47" t="e">
        <f t="shared" si="165"/>
        <v>#REF!</v>
      </c>
      <c r="BD106" s="47" t="e">
        <f t="shared" si="165"/>
        <v>#REF!</v>
      </c>
      <c r="BE106" s="47" t="e">
        <f t="shared" si="165"/>
        <v>#REF!</v>
      </c>
      <c r="BF106" s="47" t="e">
        <f t="shared" si="165"/>
        <v>#REF!</v>
      </c>
      <c r="BG106" s="47" t="e">
        <f t="shared" si="165"/>
        <v>#REF!</v>
      </c>
      <c r="BH106" s="47" t="e">
        <f t="shared" si="165"/>
        <v>#REF!</v>
      </c>
      <c r="BI106" s="47">
        <f t="shared" si="165"/>
        <v>0</v>
      </c>
      <c r="BJ106" s="47">
        <f t="shared" si="165"/>
        <v>0</v>
      </c>
      <c r="BK106" s="47">
        <f t="shared" si="165"/>
        <v>0</v>
      </c>
      <c r="BL106" s="47">
        <f t="shared" si="165"/>
        <v>0</v>
      </c>
      <c r="BM106" s="47">
        <f t="shared" si="165"/>
        <v>0</v>
      </c>
      <c r="BN106" s="47">
        <f t="shared" si="165"/>
        <v>0</v>
      </c>
      <c r="BO106" s="47">
        <f t="shared" si="165"/>
        <v>0</v>
      </c>
      <c r="BP106" s="47">
        <f t="shared" si="165"/>
        <v>0</v>
      </c>
    </row>
    <row r="107" spans="1:68" s="292" customFormat="1" ht="114.75" customHeight="1">
      <c r="A107" s="812" t="s">
        <v>170</v>
      </c>
      <c r="B107" s="80" t="s">
        <v>289</v>
      </c>
      <c r="C107" s="322"/>
      <c r="D107" s="322"/>
      <c r="E107" s="322"/>
      <c r="F107" s="322"/>
      <c r="G107" s="323"/>
      <c r="H107" s="324"/>
      <c r="I107" s="820" t="s">
        <v>20</v>
      </c>
      <c r="J107" s="291"/>
      <c r="K107" s="175"/>
      <c r="L107" s="82">
        <f>L108</f>
        <v>10177.64</v>
      </c>
      <c r="M107" s="82">
        <f>M108</f>
        <v>0</v>
      </c>
      <c r="N107" s="82">
        <f t="shared" ref="N107:AN107" si="166">N108</f>
        <v>0</v>
      </c>
      <c r="O107" s="82">
        <f t="shared" si="166"/>
        <v>0</v>
      </c>
      <c r="P107" s="82">
        <f t="shared" si="166"/>
        <v>2591.96</v>
      </c>
      <c r="Q107" s="82">
        <f>Q108</f>
        <v>48.6</v>
      </c>
      <c r="R107" s="82">
        <f t="shared" ref="R107:AA108" si="167">R108</f>
        <v>48.6</v>
      </c>
      <c r="S107" s="82">
        <f t="shared" si="167"/>
        <v>48.6</v>
      </c>
      <c r="T107" s="82">
        <f t="shared" si="167"/>
        <v>0</v>
      </c>
      <c r="U107" s="82">
        <f t="shared" si="167"/>
        <v>0</v>
      </c>
      <c r="V107" s="82">
        <f t="shared" si="167"/>
        <v>0</v>
      </c>
      <c r="W107" s="82">
        <f t="shared" si="167"/>
        <v>0</v>
      </c>
      <c r="X107" s="82">
        <f t="shared" si="167"/>
        <v>0</v>
      </c>
      <c r="Y107" s="82">
        <f t="shared" si="167"/>
        <v>0</v>
      </c>
      <c r="Z107" s="82">
        <f t="shared" si="167"/>
        <v>48.6</v>
      </c>
      <c r="AA107" s="82">
        <f t="shared" si="167"/>
        <v>48.6</v>
      </c>
      <c r="AB107" s="82">
        <f t="shared" si="166"/>
        <v>0</v>
      </c>
      <c r="AC107" s="82">
        <f t="shared" si="166"/>
        <v>0</v>
      </c>
      <c r="AD107" s="82">
        <f t="shared" si="166"/>
        <v>0</v>
      </c>
      <c r="AE107" s="82">
        <f t="shared" si="166"/>
        <v>0</v>
      </c>
      <c r="AF107" s="82">
        <f t="shared" si="166"/>
        <v>0</v>
      </c>
      <c r="AG107" s="82">
        <f t="shared" si="166"/>
        <v>0</v>
      </c>
      <c r="AH107" s="82">
        <f t="shared" si="166"/>
        <v>0</v>
      </c>
      <c r="AI107" s="82">
        <f t="shared" si="166"/>
        <v>0</v>
      </c>
      <c r="AJ107" s="82">
        <f>P107-Q107</f>
        <v>2543.36</v>
      </c>
      <c r="AK107" s="82">
        <f t="shared" si="166"/>
        <v>0</v>
      </c>
      <c r="AL107" s="82">
        <f t="shared" si="166"/>
        <v>0</v>
      </c>
      <c r="AM107" s="82">
        <f t="shared" si="166"/>
        <v>0</v>
      </c>
      <c r="AN107" s="82">
        <f t="shared" si="166"/>
        <v>0</v>
      </c>
      <c r="AO107" s="411"/>
      <c r="AP107" s="22">
        <f t="shared" ref="AP107:BH107" si="168">AP111+AP140+AP164+AP177</f>
        <v>23497.888999999999</v>
      </c>
      <c r="AQ107" s="22">
        <f t="shared" si="168"/>
        <v>33.478999999999999</v>
      </c>
      <c r="AR107" s="22">
        <f t="shared" si="168"/>
        <v>33.478999999999999</v>
      </c>
      <c r="AS107" s="22">
        <f t="shared" si="168"/>
        <v>0</v>
      </c>
      <c r="AT107" s="22">
        <f t="shared" si="168"/>
        <v>0</v>
      </c>
      <c r="AU107" s="22">
        <f t="shared" si="168"/>
        <v>3057.4540000000002</v>
      </c>
      <c r="AV107" s="22">
        <f t="shared" si="168"/>
        <v>3057.4540000000002</v>
      </c>
      <c r="AW107" s="22">
        <f t="shared" si="168"/>
        <v>22283.396000000001</v>
      </c>
      <c r="AX107" s="22">
        <f t="shared" si="168"/>
        <v>20406.955999999998</v>
      </c>
      <c r="AY107" s="22">
        <f t="shared" si="168"/>
        <v>32500.865000000002</v>
      </c>
      <c r="AZ107" s="22">
        <f t="shared" si="168"/>
        <v>32459.935000000005</v>
      </c>
      <c r="BA107" s="22">
        <f t="shared" si="168"/>
        <v>0</v>
      </c>
      <c r="BB107" s="22">
        <f t="shared" si="168"/>
        <v>0</v>
      </c>
      <c r="BC107" s="22" t="e">
        <f t="shared" si="168"/>
        <v>#REF!</v>
      </c>
      <c r="BD107" s="22" t="e">
        <f t="shared" si="168"/>
        <v>#REF!</v>
      </c>
      <c r="BE107" s="22" t="e">
        <f t="shared" si="168"/>
        <v>#REF!</v>
      </c>
      <c r="BF107" s="22">
        <f t="shared" si="168"/>
        <v>0</v>
      </c>
      <c r="BG107" s="22">
        <f t="shared" si="168"/>
        <v>0</v>
      </c>
      <c r="BH107" s="22" t="e">
        <f t="shared" si="168"/>
        <v>#VALUE!</v>
      </c>
      <c r="BI107" s="81">
        <f t="shared" ref="BI107:BP107" si="169">BI108+BI109</f>
        <v>0</v>
      </c>
      <c r="BJ107" s="81">
        <f t="shared" si="169"/>
        <v>0</v>
      </c>
      <c r="BK107" s="81">
        <f t="shared" si="169"/>
        <v>0</v>
      </c>
      <c r="BL107" s="81">
        <f t="shared" si="169"/>
        <v>0</v>
      </c>
      <c r="BM107" s="81">
        <f t="shared" si="169"/>
        <v>0</v>
      </c>
      <c r="BN107" s="81">
        <f t="shared" si="169"/>
        <v>0</v>
      </c>
      <c r="BO107" s="81">
        <f t="shared" si="169"/>
        <v>0</v>
      </c>
      <c r="BP107" s="81">
        <f t="shared" si="169"/>
        <v>0</v>
      </c>
    </row>
    <row r="108" spans="1:68" s="292" customFormat="1" ht="25.5" customHeight="1">
      <c r="A108" s="877"/>
      <c r="B108" s="42" t="s">
        <v>208</v>
      </c>
      <c r="C108" s="320"/>
      <c r="D108" s="320"/>
      <c r="E108" s="320"/>
      <c r="F108" s="320"/>
      <c r="G108" s="320"/>
      <c r="H108" s="321"/>
      <c r="I108" s="877"/>
      <c r="J108" s="75"/>
      <c r="K108" s="47"/>
      <c r="L108" s="47">
        <v>10177.64</v>
      </c>
      <c r="M108" s="47">
        <v>0</v>
      </c>
      <c r="N108" s="47">
        <v>0</v>
      </c>
      <c r="O108" s="47">
        <v>0</v>
      </c>
      <c r="P108" s="47">
        <v>2591.96</v>
      </c>
      <c r="Q108" s="47">
        <f>Q109</f>
        <v>48.6</v>
      </c>
      <c r="R108" s="47">
        <f t="shared" si="167"/>
        <v>48.6</v>
      </c>
      <c r="S108" s="47">
        <f t="shared" si="167"/>
        <v>48.6</v>
      </c>
      <c r="T108" s="47">
        <f t="shared" si="167"/>
        <v>0</v>
      </c>
      <c r="U108" s="47">
        <f t="shared" si="167"/>
        <v>0</v>
      </c>
      <c r="V108" s="47">
        <f t="shared" si="167"/>
        <v>0</v>
      </c>
      <c r="W108" s="47">
        <f t="shared" si="167"/>
        <v>0</v>
      </c>
      <c r="X108" s="47">
        <f t="shared" si="167"/>
        <v>0</v>
      </c>
      <c r="Y108" s="47">
        <f t="shared" si="167"/>
        <v>0</v>
      </c>
      <c r="Z108" s="47">
        <f t="shared" si="167"/>
        <v>48.6</v>
      </c>
      <c r="AA108" s="47">
        <f t="shared" si="167"/>
        <v>48.6</v>
      </c>
      <c r="AB108" s="47">
        <v>0</v>
      </c>
      <c r="AC108" s="47">
        <v>0</v>
      </c>
      <c r="AD108" s="47">
        <v>0</v>
      </c>
      <c r="AE108" s="47">
        <f>SUM(AF108:AH108)</f>
        <v>0</v>
      </c>
      <c r="AF108" s="47">
        <v>0</v>
      </c>
      <c r="AG108" s="47">
        <v>0</v>
      </c>
      <c r="AH108" s="47">
        <v>0</v>
      </c>
      <c r="AI108" s="47">
        <v>0</v>
      </c>
      <c r="AJ108" s="47">
        <v>0</v>
      </c>
      <c r="AK108" s="47">
        <v>0</v>
      </c>
      <c r="AL108" s="47">
        <v>0</v>
      </c>
      <c r="AM108" s="47">
        <v>0</v>
      </c>
      <c r="AN108" s="47">
        <v>0</v>
      </c>
      <c r="AO108" s="403"/>
      <c r="AP108" s="22">
        <f t="shared" ref="AP108:BP108" si="170">AP112+AP141+AP165</f>
        <v>0</v>
      </c>
      <c r="AQ108" s="22">
        <f t="shared" si="170"/>
        <v>0</v>
      </c>
      <c r="AR108" s="22">
        <f t="shared" si="170"/>
        <v>0</v>
      </c>
      <c r="AS108" s="22">
        <f t="shared" si="170"/>
        <v>0</v>
      </c>
      <c r="AT108" s="22">
        <f t="shared" si="170"/>
        <v>0</v>
      </c>
      <c r="AU108" s="22">
        <f t="shared" si="170"/>
        <v>0</v>
      </c>
      <c r="AV108" s="22">
        <f t="shared" si="170"/>
        <v>0</v>
      </c>
      <c r="AW108" s="22">
        <f t="shared" si="170"/>
        <v>0</v>
      </c>
      <c r="AX108" s="22">
        <f t="shared" si="170"/>
        <v>0</v>
      </c>
      <c r="AY108" s="22">
        <f t="shared" si="170"/>
        <v>0</v>
      </c>
      <c r="AZ108" s="22">
        <f t="shared" si="170"/>
        <v>0</v>
      </c>
      <c r="BA108" s="22">
        <f t="shared" si="170"/>
        <v>0</v>
      </c>
      <c r="BB108" s="22">
        <f t="shared" si="170"/>
        <v>0</v>
      </c>
      <c r="BC108" s="22">
        <f t="shared" si="170"/>
        <v>0</v>
      </c>
      <c r="BD108" s="22">
        <f t="shared" si="170"/>
        <v>0</v>
      </c>
      <c r="BE108" s="22">
        <f t="shared" si="170"/>
        <v>0</v>
      </c>
      <c r="BF108" s="22">
        <f t="shared" si="170"/>
        <v>0</v>
      </c>
      <c r="BG108" s="22">
        <f t="shared" si="170"/>
        <v>0</v>
      </c>
      <c r="BH108" s="22">
        <f t="shared" si="170"/>
        <v>0</v>
      </c>
      <c r="BI108" s="22">
        <f t="shared" si="170"/>
        <v>0</v>
      </c>
      <c r="BJ108" s="22">
        <f t="shared" si="170"/>
        <v>0</v>
      </c>
      <c r="BK108" s="22">
        <f t="shared" si="170"/>
        <v>0</v>
      </c>
      <c r="BL108" s="22">
        <f t="shared" si="170"/>
        <v>0</v>
      </c>
      <c r="BM108" s="22">
        <f t="shared" si="170"/>
        <v>0</v>
      </c>
      <c r="BN108" s="22">
        <f t="shared" si="170"/>
        <v>0</v>
      </c>
      <c r="BO108" s="22">
        <f t="shared" si="170"/>
        <v>0</v>
      </c>
      <c r="BP108" s="22">
        <f t="shared" si="170"/>
        <v>0</v>
      </c>
    </row>
    <row r="109" spans="1:68" s="273" customFormat="1" ht="25.5" hidden="1" customHeight="1">
      <c r="A109" s="373"/>
      <c r="B109" s="257" t="s">
        <v>335</v>
      </c>
      <c r="C109" s="371"/>
      <c r="D109" s="371"/>
      <c r="E109" s="371"/>
      <c r="F109" s="371"/>
      <c r="G109" s="371"/>
      <c r="H109" s="372"/>
      <c r="I109" s="373"/>
      <c r="J109" s="263"/>
      <c r="K109" s="99"/>
      <c r="L109" s="99"/>
      <c r="M109" s="99"/>
      <c r="N109" s="99"/>
      <c r="O109" s="99"/>
      <c r="P109" s="99"/>
      <c r="Q109" s="99">
        <f>S109</f>
        <v>48.6</v>
      </c>
      <c r="R109" s="99">
        <f>S109</f>
        <v>48.6</v>
      </c>
      <c r="S109" s="99">
        <v>48.6</v>
      </c>
      <c r="T109" s="99"/>
      <c r="U109" s="99"/>
      <c r="V109" s="99"/>
      <c r="W109" s="99"/>
      <c r="X109" s="99"/>
      <c r="Y109" s="99"/>
      <c r="Z109" s="99">
        <f>AA109</f>
        <v>48.6</v>
      </c>
      <c r="AA109" s="99">
        <v>48.6</v>
      </c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275"/>
      <c r="AM109" s="99"/>
      <c r="AN109" s="99"/>
      <c r="AO109" s="412"/>
      <c r="AP109" s="22">
        <f t="shared" ref="AP109:BP109" si="171">AP113+AP142+AP166</f>
        <v>0</v>
      </c>
      <c r="AQ109" s="22">
        <f t="shared" si="171"/>
        <v>0</v>
      </c>
      <c r="AR109" s="22">
        <f t="shared" si="171"/>
        <v>0</v>
      </c>
      <c r="AS109" s="22">
        <f t="shared" si="171"/>
        <v>0</v>
      </c>
      <c r="AT109" s="22">
        <f t="shared" si="171"/>
        <v>0</v>
      </c>
      <c r="AU109" s="22">
        <f t="shared" si="171"/>
        <v>0</v>
      </c>
      <c r="AV109" s="22">
        <f t="shared" si="171"/>
        <v>0</v>
      </c>
      <c r="AW109" s="22">
        <f t="shared" si="171"/>
        <v>0</v>
      </c>
      <c r="AX109" s="22">
        <f t="shared" si="171"/>
        <v>0</v>
      </c>
      <c r="AY109" s="22">
        <f t="shared" si="171"/>
        <v>0</v>
      </c>
      <c r="AZ109" s="22">
        <f t="shared" si="171"/>
        <v>0</v>
      </c>
      <c r="BA109" s="22">
        <f t="shared" si="171"/>
        <v>0</v>
      </c>
      <c r="BB109" s="22">
        <f t="shared" si="171"/>
        <v>0</v>
      </c>
      <c r="BC109" s="22">
        <f t="shared" si="171"/>
        <v>0</v>
      </c>
      <c r="BD109" s="22">
        <f t="shared" si="171"/>
        <v>0</v>
      </c>
      <c r="BE109" s="22">
        <f t="shared" si="171"/>
        <v>0</v>
      </c>
      <c r="BF109" s="22">
        <f t="shared" si="171"/>
        <v>0</v>
      </c>
      <c r="BG109" s="22">
        <f t="shared" si="171"/>
        <v>0</v>
      </c>
      <c r="BH109" s="22">
        <f t="shared" si="171"/>
        <v>0</v>
      </c>
      <c r="BI109" s="22">
        <f t="shared" si="171"/>
        <v>0</v>
      </c>
      <c r="BJ109" s="22">
        <f t="shared" si="171"/>
        <v>0</v>
      </c>
      <c r="BK109" s="22">
        <f t="shared" si="171"/>
        <v>0</v>
      </c>
      <c r="BL109" s="22">
        <f t="shared" si="171"/>
        <v>0</v>
      </c>
      <c r="BM109" s="22">
        <f t="shared" si="171"/>
        <v>0</v>
      </c>
      <c r="BN109" s="22">
        <f t="shared" si="171"/>
        <v>0</v>
      </c>
      <c r="BO109" s="22">
        <f t="shared" si="171"/>
        <v>0</v>
      </c>
      <c r="BP109" s="22">
        <f t="shared" si="171"/>
        <v>0</v>
      </c>
    </row>
    <row r="110" spans="1:68" s="292" customFormat="1" ht="44.25" customHeight="1">
      <c r="A110" s="812" t="s">
        <v>290</v>
      </c>
      <c r="B110" s="83" t="s">
        <v>293</v>
      </c>
      <c r="C110" s="322"/>
      <c r="D110" s="322"/>
      <c r="E110" s="322"/>
      <c r="F110" s="322"/>
      <c r="G110" s="323"/>
      <c r="H110" s="324"/>
      <c r="I110" s="820" t="s">
        <v>20</v>
      </c>
      <c r="J110" s="291"/>
      <c r="K110" s="175"/>
      <c r="L110" s="82">
        <f>SUM(L111:L113)</f>
        <v>12294.88</v>
      </c>
      <c r="M110" s="82">
        <f t="shared" ref="M110:P110" si="172">SUM(M111:M113)</f>
        <v>0</v>
      </c>
      <c r="N110" s="82">
        <f t="shared" si="172"/>
        <v>0</v>
      </c>
      <c r="O110" s="82">
        <f t="shared" si="172"/>
        <v>0</v>
      </c>
      <c r="P110" s="82">
        <f t="shared" si="172"/>
        <v>980</v>
      </c>
      <c r="Q110" s="82">
        <f>Q111</f>
        <v>980</v>
      </c>
      <c r="R110" s="82">
        <f t="shared" ref="R110:AA111" si="173">R111</f>
        <v>686</v>
      </c>
      <c r="S110" s="82">
        <f t="shared" si="173"/>
        <v>686</v>
      </c>
      <c r="T110" s="82">
        <f t="shared" si="173"/>
        <v>294</v>
      </c>
      <c r="U110" s="82">
        <f t="shared" si="173"/>
        <v>294</v>
      </c>
      <c r="V110" s="82">
        <f t="shared" si="173"/>
        <v>0</v>
      </c>
      <c r="W110" s="82">
        <f t="shared" si="173"/>
        <v>0</v>
      </c>
      <c r="X110" s="82">
        <f t="shared" si="173"/>
        <v>0</v>
      </c>
      <c r="Y110" s="82">
        <f t="shared" si="173"/>
        <v>0</v>
      </c>
      <c r="Z110" s="82">
        <f t="shared" si="173"/>
        <v>0</v>
      </c>
      <c r="AA110" s="82">
        <f t="shared" si="173"/>
        <v>0</v>
      </c>
      <c r="AB110" s="82">
        <f t="shared" ref="AB110:AI110" si="174">AB113</f>
        <v>0</v>
      </c>
      <c r="AC110" s="82">
        <f t="shared" si="174"/>
        <v>0</v>
      </c>
      <c r="AD110" s="82">
        <f t="shared" si="174"/>
        <v>0</v>
      </c>
      <c r="AE110" s="82">
        <f t="shared" si="174"/>
        <v>0</v>
      </c>
      <c r="AF110" s="82">
        <f t="shared" si="174"/>
        <v>0</v>
      </c>
      <c r="AG110" s="82">
        <f t="shared" si="174"/>
        <v>0</v>
      </c>
      <c r="AH110" s="82">
        <f t="shared" si="174"/>
        <v>0</v>
      </c>
      <c r="AI110" s="82">
        <f t="shared" si="174"/>
        <v>0</v>
      </c>
      <c r="AJ110" s="82">
        <f>P110-Q110</f>
        <v>0</v>
      </c>
      <c r="AK110" s="82">
        <f>AK113</f>
        <v>0</v>
      </c>
      <c r="AL110" s="79">
        <v>0</v>
      </c>
      <c r="AM110" s="82">
        <f>AM113</f>
        <v>0</v>
      </c>
      <c r="AN110" s="82">
        <f>AN113</f>
        <v>0</v>
      </c>
      <c r="AO110" s="411" t="s">
        <v>264</v>
      </c>
      <c r="AP110" s="22" t="e">
        <f>AP114+AP116+#REF!+AP126+AP129+AP131</f>
        <v>#REF!</v>
      </c>
      <c r="AQ110" s="22" t="e">
        <f>AQ114+AQ116+#REF!+AQ126+AQ129+AQ131</f>
        <v>#REF!</v>
      </c>
      <c r="AR110" s="22" t="e">
        <f>AR114+AR116+#REF!+AR126+AR129+AR131</f>
        <v>#REF!</v>
      </c>
      <c r="AS110" s="22" t="e">
        <f>AS114+AS116+#REF!+AS126+AS129+AS131</f>
        <v>#REF!</v>
      </c>
      <c r="AT110" s="22" t="e">
        <f>AT114+AT116+#REF!+AT126+AT129+AT131</f>
        <v>#REF!</v>
      </c>
      <c r="AU110" s="22" t="e">
        <f>AU114+AU116+#REF!+AU126+AU129+AU131</f>
        <v>#REF!</v>
      </c>
      <c r="AV110" s="22" t="e">
        <f>AV114+AV116+#REF!+AV126+AV129+AV131</f>
        <v>#REF!</v>
      </c>
      <c r="AW110" s="22" t="e">
        <f>AW114+AW116+#REF!+AW126+AW129+AW131</f>
        <v>#REF!</v>
      </c>
      <c r="AX110" s="22" t="e">
        <f>AX114+AX116+#REF!+AX126+AX129+AX131</f>
        <v>#REF!</v>
      </c>
      <c r="AY110" s="22" t="e">
        <f>AY114+AY116+#REF!+AY126+AY129+AY131</f>
        <v>#REF!</v>
      </c>
      <c r="AZ110" s="22" t="e">
        <f>AZ114+AZ116+#REF!+AZ126+AZ129+AZ131</f>
        <v>#REF!</v>
      </c>
      <c r="BA110" s="22" t="e">
        <f>BA114+BA116+#REF!+BA126+BA129+BA131</f>
        <v>#REF!</v>
      </c>
      <c r="BB110" s="22" t="e">
        <f>BB114+BB116+#REF!+BB126+BB129+BB131</f>
        <v>#REF!</v>
      </c>
      <c r="BC110" s="22" t="e">
        <f>BC114+BC116+#REF!+BC126+BC129+BC131</f>
        <v>#REF!</v>
      </c>
      <c r="BD110" s="22" t="e">
        <f>BD114+BD116+#REF!+BD126+BD129+BD131</f>
        <v>#REF!</v>
      </c>
      <c r="BE110" s="22" t="e">
        <f>BE114+BE116+#REF!+BE126+BE129+BE131</f>
        <v>#REF!</v>
      </c>
      <c r="BF110" s="22" t="e">
        <f>BF114+BF116+#REF!+BF126+BF129+BF131</f>
        <v>#REF!</v>
      </c>
      <c r="BG110" s="22" t="e">
        <f>BG114+BG116+#REF!+BG126+BG129+BG131</f>
        <v>#REF!</v>
      </c>
      <c r="BH110" s="22" t="e">
        <f>BH114+BH116+#REF!+BH126+BH129+BH131</f>
        <v>#REF!</v>
      </c>
      <c r="BI110" s="81">
        <f t="shared" ref="BI110:BP110" si="175">BI111+BI112</f>
        <v>0</v>
      </c>
      <c r="BJ110" s="81">
        <f t="shared" si="175"/>
        <v>0</v>
      </c>
      <c r="BK110" s="81">
        <f t="shared" si="175"/>
        <v>0</v>
      </c>
      <c r="BL110" s="81">
        <f t="shared" si="175"/>
        <v>0</v>
      </c>
      <c r="BM110" s="81">
        <f t="shared" si="175"/>
        <v>0</v>
      </c>
      <c r="BN110" s="81">
        <f t="shared" si="175"/>
        <v>0</v>
      </c>
      <c r="BO110" s="81">
        <f t="shared" si="175"/>
        <v>0</v>
      </c>
      <c r="BP110" s="81">
        <f t="shared" si="175"/>
        <v>0</v>
      </c>
    </row>
    <row r="111" spans="1:68" s="292" customFormat="1" ht="20.25" customHeight="1">
      <c r="A111" s="813"/>
      <c r="B111" s="42" t="s">
        <v>294</v>
      </c>
      <c r="C111" s="320"/>
      <c r="D111" s="320"/>
      <c r="E111" s="320"/>
      <c r="F111" s="320"/>
      <c r="G111" s="320"/>
      <c r="H111" s="321"/>
      <c r="I111" s="822"/>
      <c r="J111" s="75"/>
      <c r="K111" s="47"/>
      <c r="L111" s="47">
        <v>980</v>
      </c>
      <c r="M111" s="47"/>
      <c r="N111" s="47">
        <v>0</v>
      </c>
      <c r="O111" s="47"/>
      <c r="P111" s="47">
        <v>980</v>
      </c>
      <c r="Q111" s="47">
        <f>Q112</f>
        <v>980</v>
      </c>
      <c r="R111" s="47">
        <f t="shared" si="173"/>
        <v>686</v>
      </c>
      <c r="S111" s="47">
        <f t="shared" si="173"/>
        <v>686</v>
      </c>
      <c r="T111" s="47">
        <f t="shared" si="173"/>
        <v>294</v>
      </c>
      <c r="U111" s="47">
        <f t="shared" si="173"/>
        <v>294</v>
      </c>
      <c r="V111" s="47">
        <f t="shared" si="173"/>
        <v>0</v>
      </c>
      <c r="W111" s="47">
        <f t="shared" si="173"/>
        <v>0</v>
      </c>
      <c r="X111" s="47">
        <f t="shared" si="173"/>
        <v>0</v>
      </c>
      <c r="Y111" s="47">
        <f t="shared" si="173"/>
        <v>0</v>
      </c>
      <c r="Z111" s="47">
        <f t="shared" si="173"/>
        <v>0</v>
      </c>
      <c r="AA111" s="47">
        <f t="shared" si="173"/>
        <v>0</v>
      </c>
      <c r="AB111" s="47">
        <f>AB112</f>
        <v>0</v>
      </c>
      <c r="AC111" s="47">
        <f t="shared" ref="AC111:AF111" si="176">AC112</f>
        <v>0</v>
      </c>
      <c r="AD111" s="47">
        <f t="shared" si="176"/>
        <v>0</v>
      </c>
      <c r="AE111" s="47">
        <f t="shared" si="176"/>
        <v>0</v>
      </c>
      <c r="AF111" s="47">
        <f t="shared" si="176"/>
        <v>0</v>
      </c>
      <c r="AG111" s="47"/>
      <c r="AH111" s="47"/>
      <c r="AI111" s="47"/>
      <c r="AJ111" s="47">
        <v>0</v>
      </c>
      <c r="AK111" s="47">
        <v>0</v>
      </c>
      <c r="AL111" s="47">
        <v>0</v>
      </c>
      <c r="AM111" s="47">
        <v>0</v>
      </c>
      <c r="AN111" s="47">
        <v>0</v>
      </c>
      <c r="AO111" s="403"/>
      <c r="AP111" s="22">
        <v>0</v>
      </c>
      <c r="AQ111" s="22">
        <v>0</v>
      </c>
      <c r="AR111" s="22">
        <v>0</v>
      </c>
      <c r="AS111" s="22">
        <v>0</v>
      </c>
      <c r="AT111" s="22">
        <v>0</v>
      </c>
      <c r="AU111" s="22">
        <v>0</v>
      </c>
      <c r="AV111" s="22">
        <v>0</v>
      </c>
      <c r="AW111" s="22">
        <v>0</v>
      </c>
      <c r="AX111" s="22">
        <v>0</v>
      </c>
      <c r="AY111" s="22">
        <v>0</v>
      </c>
      <c r="AZ111" s="22">
        <v>0</v>
      </c>
      <c r="BA111" s="22">
        <v>0</v>
      </c>
      <c r="BB111" s="22">
        <v>0</v>
      </c>
      <c r="BC111" s="22">
        <v>0</v>
      </c>
      <c r="BD111" s="22">
        <v>0</v>
      </c>
      <c r="BE111" s="22">
        <v>0</v>
      </c>
      <c r="BF111" s="22">
        <v>0</v>
      </c>
      <c r="BG111" s="22">
        <v>0</v>
      </c>
      <c r="BH111" s="22">
        <v>0</v>
      </c>
      <c r="BI111" s="125">
        <v>0</v>
      </c>
      <c r="BJ111" s="126">
        <v>0</v>
      </c>
      <c r="BK111" s="126">
        <v>0</v>
      </c>
      <c r="BL111" s="126">
        <v>0</v>
      </c>
      <c r="BM111" s="22">
        <v>0</v>
      </c>
      <c r="BN111" s="22">
        <v>0</v>
      </c>
      <c r="BO111" s="22">
        <v>0</v>
      </c>
      <c r="BP111" s="126">
        <v>0</v>
      </c>
    </row>
    <row r="112" spans="1:68" s="273" customFormat="1" ht="41.25" hidden="1" customHeight="1">
      <c r="A112" s="813"/>
      <c r="B112" s="257" t="s">
        <v>334</v>
      </c>
      <c r="C112" s="371"/>
      <c r="D112" s="371"/>
      <c r="E112" s="371"/>
      <c r="F112" s="371"/>
      <c r="G112" s="371"/>
      <c r="H112" s="372"/>
      <c r="I112" s="822"/>
      <c r="J112" s="263"/>
      <c r="K112" s="99"/>
      <c r="L112" s="99"/>
      <c r="M112" s="99"/>
      <c r="N112" s="99"/>
      <c r="O112" s="99"/>
      <c r="P112" s="99"/>
      <c r="Q112" s="99">
        <f>S112+U112</f>
        <v>980</v>
      </c>
      <c r="R112" s="99">
        <f>S112</f>
        <v>686</v>
      </c>
      <c r="S112" s="99">
        <v>686</v>
      </c>
      <c r="T112" s="99">
        <v>294</v>
      </c>
      <c r="U112" s="99">
        <v>294</v>
      </c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412"/>
      <c r="AP112" s="22">
        <v>0</v>
      </c>
      <c r="AQ112" s="22">
        <v>0</v>
      </c>
      <c r="AR112" s="22">
        <v>0</v>
      </c>
      <c r="AS112" s="22">
        <v>0</v>
      </c>
      <c r="AT112" s="22">
        <v>0</v>
      </c>
      <c r="AU112" s="22">
        <v>0</v>
      </c>
      <c r="AV112" s="22">
        <v>0</v>
      </c>
      <c r="AW112" s="22">
        <v>0</v>
      </c>
      <c r="AX112" s="22">
        <v>0</v>
      </c>
      <c r="AY112" s="22">
        <v>0</v>
      </c>
      <c r="AZ112" s="22">
        <v>0</v>
      </c>
      <c r="BA112" s="22">
        <v>0</v>
      </c>
      <c r="BB112" s="22">
        <v>0</v>
      </c>
      <c r="BC112" s="22">
        <v>0</v>
      </c>
      <c r="BD112" s="22">
        <v>0</v>
      </c>
      <c r="BE112" s="22">
        <v>0</v>
      </c>
      <c r="BF112" s="22">
        <v>0</v>
      </c>
      <c r="BG112" s="22">
        <v>0</v>
      </c>
      <c r="BH112" s="22">
        <v>0</v>
      </c>
      <c r="BI112" s="125">
        <v>0</v>
      </c>
      <c r="BJ112" s="126">
        <v>0</v>
      </c>
      <c r="BK112" s="126">
        <v>0</v>
      </c>
      <c r="BL112" s="126">
        <v>0</v>
      </c>
      <c r="BM112" s="22">
        <v>0</v>
      </c>
      <c r="BN112" s="22">
        <v>0</v>
      </c>
      <c r="BO112" s="22">
        <v>0</v>
      </c>
      <c r="BP112" s="126">
        <v>0</v>
      </c>
    </row>
    <row r="113" spans="1:68" s="292" customFormat="1" ht="17.25" customHeight="1">
      <c r="A113" s="877"/>
      <c r="B113" s="42" t="s">
        <v>296</v>
      </c>
      <c r="C113" s="320"/>
      <c r="D113" s="320"/>
      <c r="E113" s="320"/>
      <c r="F113" s="320"/>
      <c r="G113" s="320"/>
      <c r="H113" s="321"/>
      <c r="I113" s="877"/>
      <c r="J113" s="75"/>
      <c r="K113" s="47"/>
      <c r="L113" s="47">
        <v>11314.88</v>
      </c>
      <c r="M113" s="47">
        <v>0</v>
      </c>
      <c r="N113" s="47">
        <v>0</v>
      </c>
      <c r="O113" s="47">
        <v>0</v>
      </c>
      <c r="P113" s="47">
        <f>N113</f>
        <v>0</v>
      </c>
      <c r="Q113" s="47">
        <v>0</v>
      </c>
      <c r="R113" s="47">
        <v>0</v>
      </c>
      <c r="S113" s="47">
        <v>0</v>
      </c>
      <c r="T113" s="47"/>
      <c r="U113" s="47"/>
      <c r="V113" s="47">
        <f t="shared" ref="V113:Y113" si="177">V123</f>
        <v>0</v>
      </c>
      <c r="W113" s="47">
        <f t="shared" si="177"/>
        <v>0</v>
      </c>
      <c r="X113" s="47">
        <f t="shared" si="177"/>
        <v>0</v>
      </c>
      <c r="Y113" s="47">
        <f t="shared" si="177"/>
        <v>0</v>
      </c>
      <c r="Z113" s="47">
        <v>0</v>
      </c>
      <c r="AA113" s="47">
        <v>0</v>
      </c>
      <c r="AB113" s="47">
        <f t="shared" ref="AB113:AI113" si="178">AB123</f>
        <v>0</v>
      </c>
      <c r="AC113" s="47">
        <f t="shared" si="178"/>
        <v>0</v>
      </c>
      <c r="AD113" s="47">
        <f t="shared" si="178"/>
        <v>0</v>
      </c>
      <c r="AE113" s="47">
        <f t="shared" si="178"/>
        <v>0</v>
      </c>
      <c r="AF113" s="47">
        <f t="shared" si="178"/>
        <v>0</v>
      </c>
      <c r="AG113" s="47">
        <f t="shared" si="178"/>
        <v>0</v>
      </c>
      <c r="AH113" s="47">
        <f t="shared" si="178"/>
        <v>0</v>
      </c>
      <c r="AI113" s="47">
        <f t="shared" si="178"/>
        <v>0</v>
      </c>
      <c r="AJ113" s="47">
        <v>0</v>
      </c>
      <c r="AK113" s="47">
        <v>0</v>
      </c>
      <c r="AL113" s="47">
        <v>0</v>
      </c>
      <c r="AM113" s="47">
        <v>0</v>
      </c>
      <c r="AN113" s="47">
        <v>0</v>
      </c>
      <c r="AO113" s="403"/>
      <c r="AP113" s="22">
        <v>0</v>
      </c>
      <c r="AQ113" s="22">
        <v>0</v>
      </c>
      <c r="AR113" s="22">
        <v>0</v>
      </c>
      <c r="AS113" s="22">
        <v>0</v>
      </c>
      <c r="AT113" s="22">
        <v>0</v>
      </c>
      <c r="AU113" s="22">
        <v>0</v>
      </c>
      <c r="AV113" s="22">
        <v>0</v>
      </c>
      <c r="AW113" s="22">
        <v>0</v>
      </c>
      <c r="AX113" s="22">
        <v>0</v>
      </c>
      <c r="AY113" s="22">
        <v>0</v>
      </c>
      <c r="AZ113" s="22">
        <v>0</v>
      </c>
      <c r="BA113" s="22">
        <v>0</v>
      </c>
      <c r="BB113" s="22">
        <v>0</v>
      </c>
      <c r="BC113" s="22">
        <v>0</v>
      </c>
      <c r="BD113" s="22">
        <v>0</v>
      </c>
      <c r="BE113" s="22">
        <v>0</v>
      </c>
      <c r="BF113" s="22">
        <v>0</v>
      </c>
      <c r="BG113" s="22">
        <v>0</v>
      </c>
      <c r="BH113" s="22">
        <v>0</v>
      </c>
      <c r="BI113" s="125">
        <v>0</v>
      </c>
      <c r="BJ113" s="126">
        <v>0</v>
      </c>
      <c r="BK113" s="126">
        <v>0</v>
      </c>
      <c r="BL113" s="126">
        <v>0</v>
      </c>
      <c r="BM113" s="22">
        <v>0</v>
      </c>
      <c r="BN113" s="22">
        <v>0</v>
      </c>
      <c r="BO113" s="22">
        <v>0</v>
      </c>
      <c r="BP113" s="126">
        <v>0</v>
      </c>
    </row>
    <row r="114" spans="1:68" s="292" customFormat="1" ht="39.75" customHeight="1">
      <c r="A114" s="812" t="s">
        <v>291</v>
      </c>
      <c r="B114" s="83" t="s">
        <v>295</v>
      </c>
      <c r="C114" s="322"/>
      <c r="D114" s="322"/>
      <c r="E114" s="322"/>
      <c r="F114" s="322"/>
      <c r="G114" s="323"/>
      <c r="H114" s="324"/>
      <c r="I114" s="820" t="s">
        <v>20</v>
      </c>
      <c r="J114" s="291"/>
      <c r="K114" s="175"/>
      <c r="L114" s="82">
        <f>SUM(L115:L118)</f>
        <v>2085.84</v>
      </c>
      <c r="M114" s="82">
        <f t="shared" ref="M114:P114" si="179">SUM(M115:M118)</f>
        <v>0</v>
      </c>
      <c r="N114" s="82">
        <f t="shared" si="179"/>
        <v>0</v>
      </c>
      <c r="O114" s="82">
        <f t="shared" si="179"/>
        <v>0</v>
      </c>
      <c r="P114" s="82">
        <f t="shared" si="179"/>
        <v>1600</v>
      </c>
      <c r="Q114" s="82" t="e">
        <f>Q118+Q115</f>
        <v>#REF!</v>
      </c>
      <c r="R114" s="82" t="e">
        <f t="shared" ref="R114:AI114" si="180">R118+R115</f>
        <v>#REF!</v>
      </c>
      <c r="S114" s="82" t="e">
        <f t="shared" si="180"/>
        <v>#REF!</v>
      </c>
      <c r="T114" s="82" t="e">
        <f t="shared" si="180"/>
        <v>#REF!</v>
      </c>
      <c r="U114" s="82" t="e">
        <f t="shared" si="180"/>
        <v>#REF!</v>
      </c>
      <c r="V114" s="82">
        <f>V118+V115</f>
        <v>1511.6</v>
      </c>
      <c r="W114" s="82">
        <f t="shared" si="180"/>
        <v>1511.6</v>
      </c>
      <c r="X114" s="82">
        <f t="shared" si="180"/>
        <v>0</v>
      </c>
      <c r="Y114" s="82">
        <f t="shared" si="180"/>
        <v>0</v>
      </c>
      <c r="Z114" s="82">
        <f t="shared" si="180"/>
        <v>1653.412</v>
      </c>
      <c r="AA114" s="82">
        <f t="shared" si="180"/>
        <v>0</v>
      </c>
      <c r="AB114" s="82">
        <f t="shared" si="180"/>
        <v>0</v>
      </c>
      <c r="AC114" s="82">
        <f t="shared" si="180"/>
        <v>1653.412</v>
      </c>
      <c r="AD114" s="82">
        <f t="shared" si="180"/>
        <v>0</v>
      </c>
      <c r="AE114" s="82">
        <f t="shared" si="180"/>
        <v>0</v>
      </c>
      <c r="AF114" s="82">
        <f t="shared" si="180"/>
        <v>0</v>
      </c>
      <c r="AG114" s="82">
        <f t="shared" si="180"/>
        <v>0</v>
      </c>
      <c r="AH114" s="82">
        <f t="shared" si="180"/>
        <v>0</v>
      </c>
      <c r="AI114" s="82">
        <f t="shared" si="180"/>
        <v>0</v>
      </c>
      <c r="AJ114" s="82" t="e">
        <f>P114-Q114</f>
        <v>#REF!</v>
      </c>
      <c r="AK114" s="82">
        <f>AK118</f>
        <v>0</v>
      </c>
      <c r="AL114" s="82">
        <f>AL118</f>
        <v>0</v>
      </c>
      <c r="AM114" s="82">
        <f>AM118</f>
        <v>0</v>
      </c>
      <c r="AN114" s="82">
        <f>AN118</f>
        <v>0</v>
      </c>
      <c r="AO114" s="411" t="s">
        <v>249</v>
      </c>
      <c r="AP114" s="85">
        <f t="shared" ref="AP114:BG114" si="181">AP115</f>
        <v>0</v>
      </c>
      <c r="AQ114" s="85">
        <f t="shared" si="181"/>
        <v>0</v>
      </c>
      <c r="AR114" s="85">
        <f t="shared" si="181"/>
        <v>0</v>
      </c>
      <c r="AS114" s="85">
        <f t="shared" si="181"/>
        <v>0</v>
      </c>
      <c r="AT114" s="85">
        <f t="shared" si="181"/>
        <v>0</v>
      </c>
      <c r="AU114" s="85">
        <f t="shared" si="181"/>
        <v>0</v>
      </c>
      <c r="AV114" s="85">
        <f t="shared" si="181"/>
        <v>0</v>
      </c>
      <c r="AW114" s="85">
        <f t="shared" si="181"/>
        <v>0</v>
      </c>
      <c r="AX114" s="85">
        <f t="shared" si="181"/>
        <v>0</v>
      </c>
      <c r="AY114" s="85">
        <f t="shared" si="181"/>
        <v>0</v>
      </c>
      <c r="AZ114" s="85">
        <f t="shared" si="181"/>
        <v>0</v>
      </c>
      <c r="BA114" s="85">
        <f t="shared" si="181"/>
        <v>0</v>
      </c>
      <c r="BB114" s="85">
        <f t="shared" si="181"/>
        <v>0</v>
      </c>
      <c r="BC114" s="82" t="e">
        <f>#REF!-AP114</f>
        <v>#REF!</v>
      </c>
      <c r="BD114" s="82" t="e">
        <f>BC114</f>
        <v>#REF!</v>
      </c>
      <c r="BE114" s="82" t="e">
        <f>ROUND((AP114*100%/#REF!*100),2)</f>
        <v>#REF!</v>
      </c>
      <c r="BF114" s="85">
        <f t="shared" si="181"/>
        <v>0</v>
      </c>
      <c r="BG114" s="85">
        <f t="shared" si="181"/>
        <v>0</v>
      </c>
      <c r="BH114" s="84"/>
      <c r="BI114" s="81">
        <f t="shared" ref="BI114:BP114" si="182">BI115+BI116</f>
        <v>0</v>
      </c>
      <c r="BJ114" s="81">
        <f t="shared" si="182"/>
        <v>0</v>
      </c>
      <c r="BK114" s="81">
        <f t="shared" si="182"/>
        <v>0</v>
      </c>
      <c r="BL114" s="81">
        <f t="shared" si="182"/>
        <v>0</v>
      </c>
      <c r="BM114" s="81">
        <f t="shared" si="182"/>
        <v>0</v>
      </c>
      <c r="BN114" s="81">
        <f t="shared" si="182"/>
        <v>0</v>
      </c>
      <c r="BO114" s="81">
        <f t="shared" si="182"/>
        <v>0</v>
      </c>
      <c r="BP114" s="81">
        <f t="shared" si="182"/>
        <v>0</v>
      </c>
    </row>
    <row r="115" spans="1:68" s="292" customFormat="1" ht="20.25" customHeight="1">
      <c r="A115" s="813"/>
      <c r="B115" s="42" t="s">
        <v>294</v>
      </c>
      <c r="C115" s="320"/>
      <c r="D115" s="320"/>
      <c r="E115" s="320"/>
      <c r="F115" s="320"/>
      <c r="G115" s="320"/>
      <c r="H115" s="321"/>
      <c r="I115" s="822"/>
      <c r="J115" s="75"/>
      <c r="K115" s="47"/>
      <c r="L115" s="47">
        <v>2085.84</v>
      </c>
      <c r="M115" s="47"/>
      <c r="N115" s="47">
        <v>0</v>
      </c>
      <c r="O115" s="47"/>
      <c r="P115" s="47">
        <v>1600</v>
      </c>
      <c r="Q115" s="47">
        <f>SUM(Q116:Q117)</f>
        <v>1615.0119999999999</v>
      </c>
      <c r="R115" s="47">
        <f t="shared" ref="R115:AH115" si="183">SUM(R116:R117)</f>
        <v>0</v>
      </c>
      <c r="S115" s="47">
        <f t="shared" si="183"/>
        <v>0</v>
      </c>
      <c r="T115" s="47">
        <f t="shared" si="183"/>
        <v>103.41200000000001</v>
      </c>
      <c r="U115" s="47">
        <f t="shared" si="183"/>
        <v>103.41200000000001</v>
      </c>
      <c r="V115" s="47">
        <f t="shared" si="183"/>
        <v>1511.6</v>
      </c>
      <c r="W115" s="47">
        <f t="shared" si="183"/>
        <v>1511.6</v>
      </c>
      <c r="X115" s="47">
        <f t="shared" si="183"/>
        <v>0</v>
      </c>
      <c r="Y115" s="47">
        <f t="shared" si="183"/>
        <v>0</v>
      </c>
      <c r="Z115" s="47">
        <f t="shared" si="183"/>
        <v>1653.412</v>
      </c>
      <c r="AA115" s="47">
        <f t="shared" si="183"/>
        <v>0</v>
      </c>
      <c r="AB115" s="47">
        <f t="shared" si="183"/>
        <v>0</v>
      </c>
      <c r="AC115" s="47">
        <f t="shared" si="183"/>
        <v>1653.412</v>
      </c>
      <c r="AD115" s="47">
        <f t="shared" si="183"/>
        <v>0</v>
      </c>
      <c r="AE115" s="47">
        <f t="shared" si="183"/>
        <v>0</v>
      </c>
      <c r="AF115" s="47">
        <f t="shared" si="183"/>
        <v>0</v>
      </c>
      <c r="AG115" s="47">
        <f t="shared" si="183"/>
        <v>0</v>
      </c>
      <c r="AH115" s="47">
        <f t="shared" si="183"/>
        <v>0</v>
      </c>
      <c r="AI115" s="47"/>
      <c r="AJ115" s="47">
        <v>0</v>
      </c>
      <c r="AK115" s="47">
        <v>0</v>
      </c>
      <c r="AL115" s="47">
        <v>0</v>
      </c>
      <c r="AM115" s="47">
        <v>0</v>
      </c>
      <c r="AN115" s="47">
        <v>0</v>
      </c>
      <c r="AO115" s="403"/>
      <c r="AP115" s="86">
        <v>0</v>
      </c>
      <c r="AQ115" s="86">
        <v>0</v>
      </c>
      <c r="AR115" s="86">
        <v>0</v>
      </c>
      <c r="AS115" s="86">
        <v>0</v>
      </c>
      <c r="AT115" s="86">
        <v>0</v>
      </c>
      <c r="AU115" s="86">
        <v>0</v>
      </c>
      <c r="AV115" s="86">
        <v>0</v>
      </c>
      <c r="AW115" s="86">
        <v>0</v>
      </c>
      <c r="AX115" s="86">
        <v>0</v>
      </c>
      <c r="AY115" s="86">
        <v>0</v>
      </c>
      <c r="AZ115" s="86">
        <v>0</v>
      </c>
      <c r="BA115" s="86">
        <v>0</v>
      </c>
      <c r="BB115" s="86">
        <v>0</v>
      </c>
      <c r="BC115" s="86">
        <v>0</v>
      </c>
      <c r="BD115" s="86">
        <v>0</v>
      </c>
      <c r="BE115" s="86">
        <v>0</v>
      </c>
      <c r="BF115" s="86">
        <v>0</v>
      </c>
      <c r="BG115" s="86">
        <v>0</v>
      </c>
      <c r="BH115" s="64"/>
      <c r="BI115" s="125">
        <v>0</v>
      </c>
      <c r="BJ115" s="126">
        <v>0</v>
      </c>
      <c r="BK115" s="126">
        <v>0</v>
      </c>
      <c r="BL115" s="126">
        <v>0</v>
      </c>
      <c r="BM115" s="22">
        <v>0</v>
      </c>
      <c r="BN115" s="22">
        <v>0</v>
      </c>
      <c r="BO115" s="22">
        <v>0</v>
      </c>
      <c r="BP115" s="126">
        <v>0</v>
      </c>
    </row>
    <row r="116" spans="1:68" s="273" customFormat="1" ht="42.75" hidden="1" customHeight="1">
      <c r="A116" s="813"/>
      <c r="B116" s="257" t="s">
        <v>334</v>
      </c>
      <c r="C116" s="371"/>
      <c r="D116" s="371"/>
      <c r="E116" s="371"/>
      <c r="F116" s="371"/>
      <c r="G116" s="371"/>
      <c r="H116" s="372"/>
      <c r="I116" s="822"/>
      <c r="J116" s="263"/>
      <c r="K116" s="99"/>
      <c r="L116" s="99"/>
      <c r="M116" s="99"/>
      <c r="N116" s="99"/>
      <c r="O116" s="99"/>
      <c r="P116" s="99"/>
      <c r="Q116" s="99">
        <f>W116</f>
        <v>1511.6</v>
      </c>
      <c r="R116" s="99"/>
      <c r="S116" s="99"/>
      <c r="T116" s="99"/>
      <c r="U116" s="99"/>
      <c r="V116" s="99">
        <f>W116</f>
        <v>1511.6</v>
      </c>
      <c r="W116" s="99">
        <v>1511.6</v>
      </c>
      <c r="X116" s="99"/>
      <c r="Y116" s="99"/>
      <c r="Z116" s="99">
        <f>AC116</f>
        <v>1550</v>
      </c>
      <c r="AA116" s="99"/>
      <c r="AB116" s="99"/>
      <c r="AC116" s="99">
        <v>1550</v>
      </c>
      <c r="AD116" s="99"/>
      <c r="AE116" s="99"/>
      <c r="AF116" s="99"/>
      <c r="AG116" s="99"/>
      <c r="AH116" s="99"/>
      <c r="AI116" s="99"/>
      <c r="AJ116" s="99"/>
      <c r="AK116" s="99"/>
      <c r="AL116" s="275"/>
      <c r="AM116" s="99"/>
      <c r="AN116" s="99"/>
      <c r="AO116" s="412"/>
      <c r="AP116" s="82">
        <f t="shared" ref="AP116:BG116" si="184">AP118+AP117</f>
        <v>0</v>
      </c>
      <c r="AQ116" s="82">
        <f t="shared" si="184"/>
        <v>0</v>
      </c>
      <c r="AR116" s="82">
        <f t="shared" si="184"/>
        <v>0</v>
      </c>
      <c r="AS116" s="82">
        <f t="shared" si="184"/>
        <v>0</v>
      </c>
      <c r="AT116" s="82">
        <f t="shared" si="184"/>
        <v>0</v>
      </c>
      <c r="AU116" s="82">
        <f t="shared" si="184"/>
        <v>0</v>
      </c>
      <c r="AV116" s="82">
        <f t="shared" si="184"/>
        <v>0</v>
      </c>
      <c r="AW116" s="82">
        <f t="shared" si="184"/>
        <v>0</v>
      </c>
      <c r="AX116" s="82">
        <f t="shared" si="184"/>
        <v>0</v>
      </c>
      <c r="AY116" s="82">
        <f t="shared" si="184"/>
        <v>0</v>
      </c>
      <c r="AZ116" s="82">
        <f t="shared" si="184"/>
        <v>0</v>
      </c>
      <c r="BA116" s="82">
        <f t="shared" si="184"/>
        <v>0</v>
      </c>
      <c r="BB116" s="82">
        <f t="shared" si="184"/>
        <v>0</v>
      </c>
      <c r="BC116" s="82" t="e">
        <f>#REF!-AP116</f>
        <v>#REF!</v>
      </c>
      <c r="BD116" s="82" t="e">
        <f>BC116</f>
        <v>#REF!</v>
      </c>
      <c r="BE116" s="82" t="e">
        <f>ROUND((AP116*100%/#REF!*100),2)</f>
        <v>#REF!</v>
      </c>
      <c r="BF116" s="82">
        <f t="shared" si="184"/>
        <v>0</v>
      </c>
      <c r="BG116" s="82">
        <f t="shared" si="184"/>
        <v>0</v>
      </c>
      <c r="BH116" s="310"/>
      <c r="BI116" s="125">
        <v>0</v>
      </c>
      <c r="BJ116" s="126">
        <v>0</v>
      </c>
      <c r="BK116" s="126">
        <v>0</v>
      </c>
      <c r="BL116" s="126">
        <v>0</v>
      </c>
      <c r="BM116" s="22">
        <v>0</v>
      </c>
      <c r="BN116" s="22">
        <v>0</v>
      </c>
      <c r="BO116" s="22">
        <v>0</v>
      </c>
      <c r="BP116" s="126">
        <v>0</v>
      </c>
    </row>
    <row r="117" spans="1:68" s="273" customFormat="1" ht="17.25" hidden="1" customHeight="1">
      <c r="A117" s="813"/>
      <c r="B117" s="257" t="s">
        <v>352</v>
      </c>
      <c r="C117" s="371"/>
      <c r="D117" s="371"/>
      <c r="E117" s="371"/>
      <c r="F117" s="371"/>
      <c r="G117" s="371"/>
      <c r="H117" s="372"/>
      <c r="I117" s="822"/>
      <c r="J117" s="263"/>
      <c r="K117" s="99"/>
      <c r="L117" s="99"/>
      <c r="M117" s="99"/>
      <c r="N117" s="99"/>
      <c r="O117" s="99"/>
      <c r="P117" s="99"/>
      <c r="Q117" s="99">
        <f>U117</f>
        <v>103.41200000000001</v>
      </c>
      <c r="R117" s="99"/>
      <c r="S117" s="99"/>
      <c r="T117" s="99">
        <f>U117</f>
        <v>103.41200000000001</v>
      </c>
      <c r="U117" s="99">
        <v>103.41200000000001</v>
      </c>
      <c r="V117" s="99"/>
      <c r="W117" s="99"/>
      <c r="X117" s="99"/>
      <c r="Y117" s="99"/>
      <c r="Z117" s="99">
        <f>AC117</f>
        <v>103.41200000000001</v>
      </c>
      <c r="AA117" s="99"/>
      <c r="AB117" s="99"/>
      <c r="AC117" s="99">
        <v>103.41200000000001</v>
      </c>
      <c r="AD117" s="99"/>
      <c r="AE117" s="99"/>
      <c r="AF117" s="99"/>
      <c r="AG117" s="99"/>
      <c r="AH117" s="99"/>
      <c r="AI117" s="99"/>
      <c r="AJ117" s="99"/>
      <c r="AK117" s="99"/>
      <c r="AL117" s="275"/>
      <c r="AM117" s="99"/>
      <c r="AN117" s="99"/>
      <c r="AO117" s="412"/>
      <c r="AP117" s="22">
        <v>0</v>
      </c>
      <c r="AQ117" s="22">
        <v>0</v>
      </c>
      <c r="AR117" s="22">
        <v>0</v>
      </c>
      <c r="AS117" s="22">
        <v>0</v>
      </c>
      <c r="AT117" s="22">
        <v>0</v>
      </c>
      <c r="AU117" s="22">
        <v>0</v>
      </c>
      <c r="AV117" s="22">
        <v>0</v>
      </c>
      <c r="AW117" s="22">
        <v>0</v>
      </c>
      <c r="AX117" s="22">
        <v>0</v>
      </c>
      <c r="AY117" s="22">
        <v>0</v>
      </c>
      <c r="AZ117" s="22">
        <v>0</v>
      </c>
      <c r="BA117" s="22">
        <v>0</v>
      </c>
      <c r="BB117" s="22">
        <v>0</v>
      </c>
      <c r="BC117" s="22">
        <v>0</v>
      </c>
      <c r="BD117" s="22">
        <v>0</v>
      </c>
      <c r="BE117" s="22">
        <v>0</v>
      </c>
      <c r="BF117" s="22">
        <v>0</v>
      </c>
      <c r="BG117" s="22">
        <v>0</v>
      </c>
      <c r="BH117" s="311"/>
      <c r="BI117" s="125">
        <v>0</v>
      </c>
      <c r="BJ117" s="126">
        <v>0</v>
      </c>
      <c r="BK117" s="126">
        <v>0</v>
      </c>
      <c r="BL117" s="126">
        <v>0</v>
      </c>
      <c r="BM117" s="22">
        <v>0</v>
      </c>
      <c r="BN117" s="22">
        <v>0</v>
      </c>
      <c r="BO117" s="22">
        <v>0</v>
      </c>
      <c r="BP117" s="126">
        <v>0</v>
      </c>
    </row>
    <row r="118" spans="1:68" s="292" customFormat="1" ht="17.25" customHeight="1">
      <c r="A118" s="877"/>
      <c r="B118" s="42" t="s">
        <v>296</v>
      </c>
      <c r="C118" s="320"/>
      <c r="D118" s="320"/>
      <c r="E118" s="320"/>
      <c r="F118" s="320"/>
      <c r="G118" s="320"/>
      <c r="H118" s="321"/>
      <c r="I118" s="877"/>
      <c r="J118" s="75"/>
      <c r="K118" s="47"/>
      <c r="L118" s="47">
        <v>0</v>
      </c>
      <c r="M118" s="47">
        <v>0</v>
      </c>
      <c r="N118" s="47">
        <v>0</v>
      </c>
      <c r="O118" s="47">
        <v>0</v>
      </c>
      <c r="P118" s="47">
        <f>N118</f>
        <v>0</v>
      </c>
      <c r="Q118" s="47" t="e">
        <f>#REF!</f>
        <v>#REF!</v>
      </c>
      <c r="R118" s="47" t="e">
        <f>#REF!</f>
        <v>#REF!</v>
      </c>
      <c r="S118" s="47" t="e">
        <f>#REF!</f>
        <v>#REF!</v>
      </c>
      <c r="T118" s="47" t="e">
        <f>#REF!</f>
        <v>#REF!</v>
      </c>
      <c r="U118" s="47" t="e">
        <f>#REF!</f>
        <v>#REF!</v>
      </c>
      <c r="V118" s="47">
        <f t="shared" ref="V118:Y118" si="185">V126</f>
        <v>0</v>
      </c>
      <c r="W118" s="47">
        <f t="shared" si="185"/>
        <v>0</v>
      </c>
      <c r="X118" s="47">
        <f t="shared" si="185"/>
        <v>0</v>
      </c>
      <c r="Y118" s="47">
        <f t="shared" si="185"/>
        <v>0</v>
      </c>
      <c r="Z118" s="47">
        <v>0</v>
      </c>
      <c r="AA118" s="47">
        <v>0</v>
      </c>
      <c r="AB118" s="47">
        <f t="shared" ref="AB118:AI118" si="186">AB126</f>
        <v>0</v>
      </c>
      <c r="AC118" s="47">
        <f t="shared" si="186"/>
        <v>0</v>
      </c>
      <c r="AD118" s="47">
        <f t="shared" si="186"/>
        <v>0</v>
      </c>
      <c r="AE118" s="47">
        <f t="shared" si="186"/>
        <v>0</v>
      </c>
      <c r="AF118" s="47">
        <f t="shared" si="186"/>
        <v>0</v>
      </c>
      <c r="AG118" s="47">
        <f t="shared" si="186"/>
        <v>0</v>
      </c>
      <c r="AH118" s="47">
        <f t="shared" si="186"/>
        <v>0</v>
      </c>
      <c r="AI118" s="47">
        <f t="shared" si="186"/>
        <v>0</v>
      </c>
      <c r="AJ118" s="47">
        <v>0</v>
      </c>
      <c r="AK118" s="47">
        <v>0</v>
      </c>
      <c r="AL118" s="47">
        <v>0</v>
      </c>
      <c r="AM118" s="47">
        <v>0</v>
      </c>
      <c r="AN118" s="47">
        <v>0</v>
      </c>
      <c r="AO118" s="403"/>
      <c r="AP118" s="22">
        <v>0</v>
      </c>
      <c r="AQ118" s="22">
        <v>0</v>
      </c>
      <c r="AR118" s="22">
        <v>0</v>
      </c>
      <c r="AS118" s="22">
        <v>0</v>
      </c>
      <c r="AT118" s="22">
        <v>0</v>
      </c>
      <c r="AU118" s="22">
        <v>0</v>
      </c>
      <c r="AV118" s="22">
        <v>0</v>
      </c>
      <c r="AW118" s="22">
        <v>0</v>
      </c>
      <c r="AX118" s="22">
        <v>0</v>
      </c>
      <c r="AY118" s="22">
        <v>0</v>
      </c>
      <c r="AZ118" s="22">
        <v>0</v>
      </c>
      <c r="BA118" s="22">
        <v>0</v>
      </c>
      <c r="BB118" s="22">
        <v>0</v>
      </c>
      <c r="BC118" s="22">
        <v>0</v>
      </c>
      <c r="BD118" s="22">
        <v>0</v>
      </c>
      <c r="BE118" s="22">
        <v>0</v>
      </c>
      <c r="BF118" s="22">
        <v>0</v>
      </c>
      <c r="BG118" s="22">
        <v>0</v>
      </c>
      <c r="BH118" s="302"/>
      <c r="BI118" s="125">
        <v>0</v>
      </c>
      <c r="BJ118" s="126">
        <v>0</v>
      </c>
      <c r="BK118" s="126">
        <v>0</v>
      </c>
      <c r="BL118" s="126">
        <v>0</v>
      </c>
      <c r="BM118" s="125">
        <v>0</v>
      </c>
      <c r="BN118" s="126">
        <v>0</v>
      </c>
      <c r="BO118" s="126">
        <v>0</v>
      </c>
      <c r="BP118" s="126">
        <v>0</v>
      </c>
    </row>
    <row r="119" spans="1:68" s="292" customFormat="1" ht="66.75" customHeight="1">
      <c r="A119" s="812" t="s">
        <v>292</v>
      </c>
      <c r="B119" s="83" t="s">
        <v>297</v>
      </c>
      <c r="C119" s="322"/>
      <c r="D119" s="322"/>
      <c r="E119" s="322"/>
      <c r="F119" s="322"/>
      <c r="G119" s="323"/>
      <c r="H119" s="324"/>
      <c r="I119" s="820" t="s">
        <v>20</v>
      </c>
      <c r="J119" s="291"/>
      <c r="K119" s="175"/>
      <c r="L119" s="82">
        <f t="shared" ref="L119:AI120" si="187">L120</f>
        <v>28990</v>
      </c>
      <c r="M119" s="82">
        <f t="shared" si="187"/>
        <v>0</v>
      </c>
      <c r="N119" s="82">
        <f t="shared" si="187"/>
        <v>10150</v>
      </c>
      <c r="O119" s="82">
        <f t="shared" si="187"/>
        <v>0</v>
      </c>
      <c r="P119" s="82">
        <f t="shared" si="187"/>
        <v>18840</v>
      </c>
      <c r="Q119" s="82">
        <f t="shared" si="187"/>
        <v>28990</v>
      </c>
      <c r="R119" s="82">
        <f t="shared" si="187"/>
        <v>12000</v>
      </c>
      <c r="S119" s="82">
        <f t="shared" si="187"/>
        <v>12000</v>
      </c>
      <c r="T119" s="82">
        <f t="shared" si="187"/>
        <v>16990</v>
      </c>
      <c r="U119" s="82">
        <f t="shared" si="187"/>
        <v>16990</v>
      </c>
      <c r="V119" s="82">
        <f t="shared" si="187"/>
        <v>0</v>
      </c>
      <c r="W119" s="82">
        <f t="shared" si="187"/>
        <v>0</v>
      </c>
      <c r="X119" s="82">
        <f t="shared" si="187"/>
        <v>0</v>
      </c>
      <c r="Y119" s="82">
        <f t="shared" si="187"/>
        <v>0</v>
      </c>
      <c r="Z119" s="82">
        <f t="shared" si="187"/>
        <v>0</v>
      </c>
      <c r="AA119" s="82">
        <f t="shared" si="187"/>
        <v>0</v>
      </c>
      <c r="AB119" s="82">
        <f t="shared" si="187"/>
        <v>0</v>
      </c>
      <c r="AC119" s="82">
        <f t="shared" si="187"/>
        <v>0</v>
      </c>
      <c r="AD119" s="82">
        <f t="shared" si="187"/>
        <v>0</v>
      </c>
      <c r="AE119" s="82">
        <f t="shared" si="187"/>
        <v>0</v>
      </c>
      <c r="AF119" s="82">
        <f t="shared" si="187"/>
        <v>0</v>
      </c>
      <c r="AG119" s="82">
        <f t="shared" si="187"/>
        <v>0</v>
      </c>
      <c r="AH119" s="82">
        <f t="shared" si="187"/>
        <v>0</v>
      </c>
      <c r="AI119" s="82">
        <f t="shared" si="187"/>
        <v>0</v>
      </c>
      <c r="AJ119" s="82">
        <f>P119-Q119</f>
        <v>-10150</v>
      </c>
      <c r="AK119" s="82">
        <f>AK120</f>
        <v>0</v>
      </c>
      <c r="AL119" s="79">
        <f>ROUND((Q119*100%/P119*100),2)</f>
        <v>153.87</v>
      </c>
      <c r="AM119" s="82">
        <f>AM120</f>
        <v>0</v>
      </c>
      <c r="AN119" s="82">
        <f>AN120</f>
        <v>0</v>
      </c>
      <c r="AO119" s="411" t="s">
        <v>306</v>
      </c>
      <c r="AP119" s="86">
        <f>SUM(AP120:AP125)</f>
        <v>33139.902999999998</v>
      </c>
      <c r="AQ119" s="86">
        <f t="shared" ref="AQ119:AV119" si="188">SUM(AQ120:AQ125)</f>
        <v>0</v>
      </c>
      <c r="AR119" s="86">
        <f t="shared" si="188"/>
        <v>0</v>
      </c>
      <c r="AS119" s="86">
        <f t="shared" si="188"/>
        <v>154.69999999999999</v>
      </c>
      <c r="AT119" s="86">
        <f t="shared" si="188"/>
        <v>154.69999999999999</v>
      </c>
      <c r="AU119" s="86">
        <f t="shared" si="188"/>
        <v>786.48</v>
      </c>
      <c r="AV119" s="86">
        <f t="shared" si="188"/>
        <v>786.48</v>
      </c>
      <c r="AW119" s="86">
        <f>SUM(AW120:AW125)</f>
        <v>32198.722999999998</v>
      </c>
      <c r="AX119" s="86">
        <f>SUM(AX120:AX125)</f>
        <v>32198.722999999998</v>
      </c>
      <c r="AY119" s="86">
        <f>SUM(AY120:AY125)</f>
        <v>63864.607000000004</v>
      </c>
      <c r="AZ119" s="86">
        <f>SUM(AZ120:AZ125)</f>
        <v>62923.427000000003</v>
      </c>
      <c r="BA119" s="86">
        <f t="shared" ref="BA119:BG119" si="189">SUM(BA120:BA125)</f>
        <v>0</v>
      </c>
      <c r="BB119" s="86">
        <f t="shared" si="189"/>
        <v>0</v>
      </c>
      <c r="BC119" s="86">
        <f t="shared" si="189"/>
        <v>0</v>
      </c>
      <c r="BD119" s="86">
        <f t="shared" si="189"/>
        <v>0</v>
      </c>
      <c r="BE119" s="86">
        <f t="shared" si="189"/>
        <v>0</v>
      </c>
      <c r="BF119" s="86">
        <f t="shared" si="189"/>
        <v>0</v>
      </c>
      <c r="BG119" s="86">
        <f t="shared" si="189"/>
        <v>0</v>
      </c>
      <c r="BH119" s="64"/>
      <c r="BI119" s="81">
        <f t="shared" ref="BI119:BP119" si="190">BI120+BI121</f>
        <v>0</v>
      </c>
      <c r="BJ119" s="81">
        <f t="shared" si="190"/>
        <v>0</v>
      </c>
      <c r="BK119" s="81">
        <f t="shared" si="190"/>
        <v>0</v>
      </c>
      <c r="BL119" s="81">
        <f t="shared" si="190"/>
        <v>0</v>
      </c>
      <c r="BM119" s="81">
        <f t="shared" si="190"/>
        <v>0</v>
      </c>
      <c r="BN119" s="81">
        <f t="shared" si="190"/>
        <v>0</v>
      </c>
      <c r="BO119" s="81">
        <f t="shared" si="190"/>
        <v>0</v>
      </c>
      <c r="BP119" s="81">
        <f t="shared" si="190"/>
        <v>0</v>
      </c>
    </row>
    <row r="120" spans="1:68" s="292" customFormat="1" ht="17.25" customHeight="1">
      <c r="A120" s="877"/>
      <c r="B120" s="42" t="s">
        <v>206</v>
      </c>
      <c r="C120" s="320"/>
      <c r="D120" s="320"/>
      <c r="E120" s="320"/>
      <c r="F120" s="320"/>
      <c r="G120" s="320"/>
      <c r="H120" s="321"/>
      <c r="I120" s="877"/>
      <c r="J120" s="75"/>
      <c r="K120" s="47"/>
      <c r="L120" s="47">
        <v>28990</v>
      </c>
      <c r="M120" s="47">
        <v>0</v>
      </c>
      <c r="N120" s="47">
        <v>10150</v>
      </c>
      <c r="O120" s="47">
        <v>0</v>
      </c>
      <c r="P120" s="47">
        <v>18840</v>
      </c>
      <c r="Q120" s="47">
        <f>Q121</f>
        <v>28990</v>
      </c>
      <c r="R120" s="47">
        <f t="shared" si="187"/>
        <v>12000</v>
      </c>
      <c r="S120" s="47">
        <f t="shared" si="187"/>
        <v>12000</v>
      </c>
      <c r="T120" s="47">
        <f t="shared" si="187"/>
        <v>16990</v>
      </c>
      <c r="U120" s="47">
        <f t="shared" si="187"/>
        <v>16990</v>
      </c>
      <c r="V120" s="47">
        <f t="shared" si="187"/>
        <v>0</v>
      </c>
      <c r="W120" s="47">
        <f t="shared" si="187"/>
        <v>0</v>
      </c>
      <c r="X120" s="47">
        <f t="shared" si="187"/>
        <v>0</v>
      </c>
      <c r="Y120" s="47">
        <f t="shared" si="187"/>
        <v>0</v>
      </c>
      <c r="Z120" s="47">
        <f t="shared" si="187"/>
        <v>0</v>
      </c>
      <c r="AA120" s="47">
        <f t="shared" si="187"/>
        <v>0</v>
      </c>
      <c r="AB120" s="47">
        <f t="shared" si="187"/>
        <v>0</v>
      </c>
      <c r="AC120" s="47">
        <f t="shared" si="187"/>
        <v>0</v>
      </c>
      <c r="AD120" s="47">
        <f t="shared" si="187"/>
        <v>0</v>
      </c>
      <c r="AE120" s="47">
        <f t="shared" si="187"/>
        <v>0</v>
      </c>
      <c r="AF120" s="47">
        <f t="shared" si="187"/>
        <v>0</v>
      </c>
      <c r="AG120" s="47">
        <f t="shared" si="187"/>
        <v>0</v>
      </c>
      <c r="AH120" s="47">
        <f t="shared" si="187"/>
        <v>0</v>
      </c>
      <c r="AI120" s="47">
        <f t="shared" si="187"/>
        <v>0</v>
      </c>
      <c r="AJ120" s="47">
        <v>0</v>
      </c>
      <c r="AK120" s="47">
        <v>0</v>
      </c>
      <c r="AL120" s="47">
        <v>0</v>
      </c>
      <c r="AM120" s="47">
        <v>0</v>
      </c>
      <c r="AN120" s="47">
        <v>0</v>
      </c>
      <c r="AO120" s="403"/>
      <c r="AP120" s="264">
        <f>AR120+AT120</f>
        <v>2</v>
      </c>
      <c r="AQ120" s="86">
        <f>AR120</f>
        <v>0</v>
      </c>
      <c r="AR120" s="86">
        <v>0</v>
      </c>
      <c r="AS120" s="264">
        <f>AT120</f>
        <v>2</v>
      </c>
      <c r="AT120" s="264">
        <v>2</v>
      </c>
      <c r="AU120" s="264"/>
      <c r="AV120" s="264"/>
      <c r="AW120" s="264"/>
      <c r="AX120" s="264"/>
      <c r="AY120" s="264">
        <v>2</v>
      </c>
      <c r="AZ120" s="264"/>
      <c r="BA120" s="264"/>
      <c r="BB120" s="264"/>
      <c r="BC120" s="264"/>
      <c r="BD120" s="264"/>
      <c r="BE120" s="264"/>
      <c r="BF120" s="264"/>
      <c r="BG120" s="264"/>
      <c r="BH120" s="265"/>
      <c r="BI120" s="125">
        <v>0</v>
      </c>
      <c r="BJ120" s="126">
        <v>0</v>
      </c>
      <c r="BK120" s="126">
        <v>0</v>
      </c>
      <c r="BL120" s="126">
        <v>0</v>
      </c>
      <c r="BM120" s="125">
        <v>0</v>
      </c>
      <c r="BN120" s="126">
        <v>0</v>
      </c>
      <c r="BO120" s="126">
        <v>0</v>
      </c>
      <c r="BP120" s="126">
        <v>0</v>
      </c>
    </row>
    <row r="121" spans="1:68" s="273" customFormat="1" ht="17.25" hidden="1" customHeight="1">
      <c r="A121" s="373"/>
      <c r="B121" s="257" t="s">
        <v>300</v>
      </c>
      <c r="C121" s="371"/>
      <c r="D121" s="371"/>
      <c r="E121" s="371"/>
      <c r="F121" s="371"/>
      <c r="G121" s="371"/>
      <c r="H121" s="372"/>
      <c r="I121" s="505"/>
      <c r="J121" s="263"/>
      <c r="K121" s="99"/>
      <c r="L121" s="99"/>
      <c r="M121" s="99"/>
      <c r="N121" s="99"/>
      <c r="O121" s="99"/>
      <c r="P121" s="99"/>
      <c r="Q121" s="99">
        <f>S121+U121</f>
        <v>28990</v>
      </c>
      <c r="R121" s="99">
        <f>S121</f>
        <v>12000</v>
      </c>
      <c r="S121" s="99">
        <v>12000</v>
      </c>
      <c r="T121" s="99">
        <f>U121</f>
        <v>16990</v>
      </c>
      <c r="U121" s="99">
        <v>16990</v>
      </c>
      <c r="V121" s="99"/>
      <c r="W121" s="99"/>
      <c r="X121" s="99"/>
      <c r="Y121" s="99"/>
      <c r="Z121" s="99">
        <f>SUM(AA121:AD121)</f>
        <v>0</v>
      </c>
      <c r="AA121" s="99"/>
      <c r="AB121" s="99"/>
      <c r="AC121" s="99"/>
      <c r="AD121" s="99">
        <v>0</v>
      </c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412"/>
      <c r="AP121" s="264">
        <f>AR121+AT121+AV121</f>
        <v>786.48</v>
      </c>
      <c r="AQ121" s="86"/>
      <c r="AR121" s="86"/>
      <c r="AS121" s="264"/>
      <c r="AT121" s="264"/>
      <c r="AU121" s="264">
        <f>AV121</f>
        <v>786.48</v>
      </c>
      <c r="AV121" s="264">
        <v>786.48</v>
      </c>
      <c r="AW121" s="264"/>
      <c r="AX121" s="264"/>
      <c r="AY121" s="264">
        <f>786.48+AZ121</f>
        <v>786.48</v>
      </c>
      <c r="AZ121" s="264">
        <v>0</v>
      </c>
      <c r="BA121" s="264"/>
      <c r="BB121" s="264"/>
      <c r="BC121" s="264"/>
      <c r="BD121" s="264"/>
      <c r="BE121" s="264"/>
      <c r="BF121" s="264"/>
      <c r="BG121" s="264"/>
      <c r="BH121" s="265"/>
      <c r="BI121" s="125">
        <v>0</v>
      </c>
      <c r="BJ121" s="126">
        <v>0</v>
      </c>
      <c r="BK121" s="126">
        <v>0</v>
      </c>
      <c r="BL121" s="126">
        <v>0</v>
      </c>
      <c r="BM121" s="125">
        <v>0</v>
      </c>
      <c r="BN121" s="126">
        <v>0</v>
      </c>
      <c r="BO121" s="126">
        <v>0</v>
      </c>
      <c r="BP121" s="126">
        <v>0</v>
      </c>
    </row>
    <row r="122" spans="1:68" ht="54" customHeight="1">
      <c r="A122" s="833" t="s">
        <v>60</v>
      </c>
      <c r="B122" s="889" t="s">
        <v>45</v>
      </c>
      <c r="C122" s="890"/>
      <c r="D122" s="890"/>
      <c r="E122" s="890"/>
      <c r="F122" s="890"/>
      <c r="G122" s="890"/>
      <c r="H122" s="891"/>
      <c r="I122" s="15" t="s">
        <v>19</v>
      </c>
      <c r="J122" s="16">
        <v>0</v>
      </c>
      <c r="K122" s="16">
        <f t="shared" ref="K122" si="191">K125</f>
        <v>0</v>
      </c>
      <c r="L122" s="16">
        <f t="shared" ref="L122:L140" si="192">M122+N122+O122</f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  <c r="V122" s="22">
        <v>0</v>
      </c>
      <c r="W122" s="22">
        <v>0</v>
      </c>
      <c r="X122" s="22">
        <v>0</v>
      </c>
      <c r="Y122" s="22">
        <v>0</v>
      </c>
      <c r="Z122" s="22">
        <v>0</v>
      </c>
      <c r="AA122" s="22">
        <v>0</v>
      </c>
      <c r="AB122" s="22">
        <v>0</v>
      </c>
      <c r="AC122" s="22">
        <v>0</v>
      </c>
      <c r="AD122" s="22">
        <v>0</v>
      </c>
      <c r="AE122" s="22">
        <v>0</v>
      </c>
      <c r="AF122" s="22">
        <v>0</v>
      </c>
      <c r="AG122" s="22">
        <v>0</v>
      </c>
      <c r="AH122" s="22">
        <v>0</v>
      </c>
      <c r="AI122" s="22">
        <v>0</v>
      </c>
      <c r="AJ122" s="22">
        <v>0</v>
      </c>
      <c r="AK122" s="22">
        <v>0</v>
      </c>
      <c r="AL122" s="22">
        <v>0</v>
      </c>
      <c r="AM122" s="22">
        <v>0</v>
      </c>
      <c r="AN122" s="22">
        <v>0</v>
      </c>
      <c r="AO122" s="404"/>
      <c r="AP122" s="264">
        <f>AR122+AT122+AV122+AX122</f>
        <v>9.8030000000000008</v>
      </c>
      <c r="AQ122" s="86"/>
      <c r="AR122" s="86"/>
      <c r="AS122" s="264"/>
      <c r="AT122" s="264"/>
      <c r="AU122" s="264"/>
      <c r="AV122" s="264"/>
      <c r="AW122" s="264">
        <f>AX122</f>
        <v>9.8030000000000008</v>
      </c>
      <c r="AX122" s="264">
        <v>9.8030000000000008</v>
      </c>
      <c r="AY122" s="264">
        <f>AZ122</f>
        <v>9.8030000000000008</v>
      </c>
      <c r="AZ122" s="264">
        <v>9.8030000000000008</v>
      </c>
      <c r="BA122" s="264"/>
      <c r="BB122" s="264"/>
      <c r="BC122" s="264"/>
      <c r="BD122" s="264"/>
      <c r="BE122" s="264"/>
      <c r="BF122" s="264"/>
      <c r="BG122" s="264"/>
      <c r="BH122" s="265"/>
      <c r="BI122" s="125">
        <v>0</v>
      </c>
      <c r="BJ122" s="126">
        <v>0</v>
      </c>
      <c r="BK122" s="126">
        <v>0</v>
      </c>
      <c r="BL122" s="126">
        <v>0</v>
      </c>
      <c r="BM122" s="125">
        <v>0</v>
      </c>
      <c r="BN122" s="126">
        <v>0</v>
      </c>
      <c r="BO122" s="126">
        <v>0</v>
      </c>
      <c r="BP122" s="126">
        <v>0</v>
      </c>
    </row>
    <row r="123" spans="1:68" ht="42.75" customHeight="1">
      <c r="A123" s="834"/>
      <c r="B123" s="892"/>
      <c r="C123" s="893"/>
      <c r="D123" s="893"/>
      <c r="E123" s="893"/>
      <c r="F123" s="893"/>
      <c r="G123" s="893"/>
      <c r="H123" s="894"/>
      <c r="I123" s="15" t="s">
        <v>20</v>
      </c>
      <c r="J123" s="16">
        <f t="shared" ref="J123" si="193">J126</f>
        <v>4106.3500000000004</v>
      </c>
      <c r="K123" s="16">
        <v>0</v>
      </c>
      <c r="L123" s="16">
        <f>L126</f>
        <v>6022.96</v>
      </c>
      <c r="M123" s="16">
        <f>M126</f>
        <v>0</v>
      </c>
      <c r="N123" s="22">
        <f t="shared" ref="N123:AN123" si="194">N126</f>
        <v>980</v>
      </c>
      <c r="O123" s="16">
        <f t="shared" si="194"/>
        <v>0</v>
      </c>
      <c r="P123" s="22">
        <f t="shared" si="194"/>
        <v>4622.4799999999996</v>
      </c>
      <c r="Q123" s="22">
        <f t="shared" si="194"/>
        <v>980</v>
      </c>
      <c r="R123" s="22">
        <f t="shared" si="194"/>
        <v>0</v>
      </c>
      <c r="S123" s="22">
        <f t="shared" si="194"/>
        <v>0</v>
      </c>
      <c r="T123" s="22">
        <f t="shared" si="194"/>
        <v>980</v>
      </c>
      <c r="U123" s="22">
        <f t="shared" si="194"/>
        <v>980</v>
      </c>
      <c r="V123" s="22">
        <f t="shared" si="194"/>
        <v>0</v>
      </c>
      <c r="W123" s="22">
        <f t="shared" si="194"/>
        <v>0</v>
      </c>
      <c r="X123" s="22">
        <f t="shared" si="194"/>
        <v>0</v>
      </c>
      <c r="Y123" s="22">
        <f t="shared" si="194"/>
        <v>0</v>
      </c>
      <c r="Z123" s="22">
        <f t="shared" si="194"/>
        <v>0</v>
      </c>
      <c r="AA123" s="22">
        <f t="shared" si="194"/>
        <v>0</v>
      </c>
      <c r="AB123" s="22">
        <f t="shared" si="194"/>
        <v>0</v>
      </c>
      <c r="AC123" s="22">
        <f t="shared" si="194"/>
        <v>0</v>
      </c>
      <c r="AD123" s="22">
        <f t="shared" si="194"/>
        <v>0</v>
      </c>
      <c r="AE123" s="22">
        <f t="shared" si="194"/>
        <v>0</v>
      </c>
      <c r="AF123" s="22">
        <f t="shared" si="194"/>
        <v>0</v>
      </c>
      <c r="AG123" s="22">
        <f t="shared" si="194"/>
        <v>0</v>
      </c>
      <c r="AH123" s="22">
        <f t="shared" si="194"/>
        <v>0</v>
      </c>
      <c r="AI123" s="22">
        <f t="shared" si="194"/>
        <v>0</v>
      </c>
      <c r="AJ123" s="22">
        <f t="shared" si="194"/>
        <v>3642.4799999999996</v>
      </c>
      <c r="AK123" s="22">
        <f t="shared" si="194"/>
        <v>3642.4799999999996</v>
      </c>
      <c r="AL123" s="22">
        <f t="shared" si="194"/>
        <v>21.2</v>
      </c>
      <c r="AM123" s="22">
        <f t="shared" si="194"/>
        <v>0</v>
      </c>
      <c r="AN123" s="22">
        <f t="shared" si="194"/>
        <v>0</v>
      </c>
      <c r="AO123" s="404"/>
      <c r="AP123" s="264">
        <f t="shared" ref="AP123:AP125" si="195">AR123+AT123+AV123+AX123</f>
        <v>32188.92</v>
      </c>
      <c r="AQ123" s="86"/>
      <c r="AR123" s="86"/>
      <c r="AS123" s="264"/>
      <c r="AT123" s="264"/>
      <c r="AU123" s="264"/>
      <c r="AV123" s="264"/>
      <c r="AW123" s="264">
        <f t="shared" ref="AW123:AW125" si="196">AX123</f>
        <v>32188.92</v>
      </c>
      <c r="AX123" s="264">
        <v>32188.92</v>
      </c>
      <c r="AY123" s="264">
        <f t="shared" ref="AY123:AY124" si="197">AZ123</f>
        <v>62831.624000000003</v>
      </c>
      <c r="AZ123" s="264">
        <v>62831.624000000003</v>
      </c>
      <c r="BA123" s="264"/>
      <c r="BB123" s="264"/>
      <c r="BC123" s="264"/>
      <c r="BD123" s="264"/>
      <c r="BE123" s="264"/>
      <c r="BF123" s="264"/>
      <c r="BG123" s="264"/>
      <c r="BH123" s="265"/>
      <c r="BI123" s="125">
        <v>0</v>
      </c>
      <c r="BJ123" s="126">
        <v>0</v>
      </c>
      <c r="BK123" s="126">
        <v>0</v>
      </c>
      <c r="BL123" s="126">
        <v>0</v>
      </c>
      <c r="BM123" s="125">
        <v>0</v>
      </c>
      <c r="BN123" s="126">
        <v>0</v>
      </c>
      <c r="BO123" s="126">
        <v>0</v>
      </c>
      <c r="BP123" s="126">
        <v>0</v>
      </c>
    </row>
    <row r="124" spans="1:68" ht="25.5">
      <c r="A124" s="834"/>
      <c r="B124" s="892"/>
      <c r="C124" s="893"/>
      <c r="D124" s="893"/>
      <c r="E124" s="893"/>
      <c r="F124" s="893"/>
      <c r="G124" s="893"/>
      <c r="H124" s="894"/>
      <c r="I124" s="15" t="s">
        <v>10</v>
      </c>
      <c r="J124" s="16">
        <v>0</v>
      </c>
      <c r="K124" s="16">
        <v>0</v>
      </c>
      <c r="L124" s="16">
        <f t="shared" si="192"/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22">
        <v>0</v>
      </c>
      <c r="U124" s="22">
        <v>0</v>
      </c>
      <c r="V124" s="22">
        <v>0</v>
      </c>
      <c r="W124" s="22">
        <v>0</v>
      </c>
      <c r="X124" s="22">
        <v>0</v>
      </c>
      <c r="Y124" s="22">
        <v>0</v>
      </c>
      <c r="Z124" s="22">
        <v>0</v>
      </c>
      <c r="AA124" s="22">
        <v>0</v>
      </c>
      <c r="AB124" s="22">
        <v>0</v>
      </c>
      <c r="AC124" s="22">
        <v>0</v>
      </c>
      <c r="AD124" s="22">
        <v>0</v>
      </c>
      <c r="AE124" s="22">
        <v>0</v>
      </c>
      <c r="AF124" s="22">
        <v>0</v>
      </c>
      <c r="AG124" s="22">
        <v>0</v>
      </c>
      <c r="AH124" s="22">
        <v>0</v>
      </c>
      <c r="AI124" s="22">
        <v>0</v>
      </c>
      <c r="AJ124" s="22">
        <v>0</v>
      </c>
      <c r="AK124" s="22">
        <v>0</v>
      </c>
      <c r="AL124" s="22">
        <v>0</v>
      </c>
      <c r="AM124" s="22">
        <v>0</v>
      </c>
      <c r="AN124" s="22">
        <v>0</v>
      </c>
      <c r="AO124" s="404"/>
      <c r="AP124" s="264">
        <f t="shared" si="195"/>
        <v>0</v>
      </c>
      <c r="AQ124" s="86"/>
      <c r="AR124" s="86"/>
      <c r="AS124" s="264"/>
      <c r="AT124" s="264"/>
      <c r="AU124" s="264"/>
      <c r="AV124" s="264"/>
      <c r="AW124" s="264">
        <f t="shared" si="196"/>
        <v>0</v>
      </c>
      <c r="AX124" s="264">
        <v>0</v>
      </c>
      <c r="AY124" s="264">
        <f t="shared" si="197"/>
        <v>82</v>
      </c>
      <c r="AZ124" s="264">
        <v>82</v>
      </c>
      <c r="BA124" s="264"/>
      <c r="BB124" s="264"/>
      <c r="BC124" s="264"/>
      <c r="BD124" s="264"/>
      <c r="BE124" s="264"/>
      <c r="BF124" s="264"/>
      <c r="BG124" s="264"/>
      <c r="BH124" s="265"/>
      <c r="BI124" s="125">
        <v>0</v>
      </c>
      <c r="BJ124" s="126">
        <v>0</v>
      </c>
      <c r="BK124" s="126">
        <v>0</v>
      </c>
      <c r="BL124" s="126">
        <v>0</v>
      </c>
      <c r="BM124" s="125">
        <v>0</v>
      </c>
      <c r="BN124" s="126">
        <v>0</v>
      </c>
      <c r="BO124" s="126">
        <v>0</v>
      </c>
      <c r="BP124" s="126">
        <v>0</v>
      </c>
    </row>
    <row r="125" spans="1:68" ht="176.25" customHeight="1">
      <c r="A125" s="835"/>
      <c r="B125" s="895"/>
      <c r="C125" s="896"/>
      <c r="D125" s="896"/>
      <c r="E125" s="896"/>
      <c r="F125" s="896"/>
      <c r="G125" s="896"/>
      <c r="H125" s="897"/>
      <c r="I125" s="15" t="s">
        <v>9</v>
      </c>
      <c r="J125" s="16">
        <v>0</v>
      </c>
      <c r="K125" s="16"/>
      <c r="L125" s="16">
        <f t="shared" si="192"/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Y125" s="22">
        <v>0</v>
      </c>
      <c r="Z125" s="22">
        <v>0</v>
      </c>
      <c r="AA125" s="22">
        <v>0</v>
      </c>
      <c r="AB125" s="22">
        <v>0</v>
      </c>
      <c r="AC125" s="22">
        <v>0</v>
      </c>
      <c r="AD125" s="22">
        <v>0</v>
      </c>
      <c r="AE125" s="22">
        <v>0</v>
      </c>
      <c r="AF125" s="22">
        <v>0</v>
      </c>
      <c r="AG125" s="22">
        <v>0</v>
      </c>
      <c r="AH125" s="22">
        <v>0</v>
      </c>
      <c r="AI125" s="22">
        <v>0</v>
      </c>
      <c r="AJ125" s="22">
        <v>0</v>
      </c>
      <c r="AK125" s="22">
        <v>0</v>
      </c>
      <c r="AL125" s="22">
        <v>0</v>
      </c>
      <c r="AM125" s="22">
        <v>0</v>
      </c>
      <c r="AN125" s="22">
        <v>0</v>
      </c>
      <c r="AO125" s="404"/>
      <c r="AP125" s="264">
        <f t="shared" si="195"/>
        <v>152.69999999999999</v>
      </c>
      <c r="AQ125" s="86">
        <f>AR125</f>
        <v>0</v>
      </c>
      <c r="AR125" s="86">
        <v>0</v>
      </c>
      <c r="AS125" s="264">
        <f>AT125</f>
        <v>152.69999999999999</v>
      </c>
      <c r="AT125" s="264">
        <v>152.69999999999999</v>
      </c>
      <c r="AU125" s="264"/>
      <c r="AV125" s="264"/>
      <c r="AW125" s="264">
        <f t="shared" si="196"/>
        <v>0</v>
      </c>
      <c r="AX125" s="264"/>
      <c r="AY125" s="264">
        <v>152.69999999999999</v>
      </c>
      <c r="AZ125" s="264"/>
      <c r="BA125" s="264"/>
      <c r="BB125" s="264"/>
      <c r="BC125" s="264"/>
      <c r="BD125" s="264"/>
      <c r="BE125" s="264"/>
      <c r="BF125" s="264"/>
      <c r="BG125" s="264"/>
      <c r="BH125" s="265"/>
      <c r="BI125" s="125">
        <v>0</v>
      </c>
      <c r="BJ125" s="126">
        <v>0</v>
      </c>
      <c r="BK125" s="126">
        <v>0</v>
      </c>
      <c r="BL125" s="126">
        <v>0</v>
      </c>
      <c r="BM125" s="125">
        <v>0</v>
      </c>
      <c r="BN125" s="126">
        <v>0</v>
      </c>
      <c r="BO125" s="126">
        <v>0</v>
      </c>
      <c r="BP125" s="126">
        <v>0</v>
      </c>
    </row>
    <row r="126" spans="1:68" ht="54" customHeight="1">
      <c r="A126" s="812" t="s">
        <v>61</v>
      </c>
      <c r="B126" s="78" t="s">
        <v>88</v>
      </c>
      <c r="C126" s="46"/>
      <c r="D126" s="46"/>
      <c r="E126" s="46"/>
      <c r="F126" s="46"/>
      <c r="G126" s="46"/>
      <c r="H126" s="46"/>
      <c r="I126" s="884" t="s">
        <v>20</v>
      </c>
      <c r="J126" s="809">
        <v>4106.3500000000004</v>
      </c>
      <c r="K126" s="16">
        <v>0</v>
      </c>
      <c r="L126" s="82">
        <f>L127+L130</f>
        <v>6022.96</v>
      </c>
      <c r="M126" s="82">
        <f>M127+M130</f>
        <v>0</v>
      </c>
      <c r="N126" s="82">
        <f t="shared" ref="N126:O126" si="198">N127+N130</f>
        <v>980</v>
      </c>
      <c r="O126" s="82">
        <f t="shared" si="198"/>
        <v>0</v>
      </c>
      <c r="P126" s="82">
        <f>P127+P130</f>
        <v>4622.4799999999996</v>
      </c>
      <c r="Q126" s="82">
        <f t="shared" ref="Q126:AN126" si="199">Q127+Q130</f>
        <v>980</v>
      </c>
      <c r="R126" s="82">
        <f t="shared" si="199"/>
        <v>0</v>
      </c>
      <c r="S126" s="82">
        <f t="shared" si="199"/>
        <v>0</v>
      </c>
      <c r="T126" s="82">
        <f t="shared" si="199"/>
        <v>980</v>
      </c>
      <c r="U126" s="82">
        <f t="shared" si="199"/>
        <v>980</v>
      </c>
      <c r="V126" s="82">
        <f t="shared" si="199"/>
        <v>0</v>
      </c>
      <c r="W126" s="82">
        <f t="shared" si="199"/>
        <v>0</v>
      </c>
      <c r="X126" s="82">
        <f t="shared" si="199"/>
        <v>0</v>
      </c>
      <c r="Y126" s="82">
        <f t="shared" si="199"/>
        <v>0</v>
      </c>
      <c r="Z126" s="82">
        <f t="shared" si="199"/>
        <v>0</v>
      </c>
      <c r="AA126" s="82">
        <f>AA127+AA130</f>
        <v>0</v>
      </c>
      <c r="AB126" s="82">
        <f>AB127+AB130</f>
        <v>0</v>
      </c>
      <c r="AC126" s="82">
        <f t="shared" ref="AC126:AD126" si="200">AC127+AC130</f>
        <v>0</v>
      </c>
      <c r="AD126" s="82">
        <f t="shared" si="200"/>
        <v>0</v>
      </c>
      <c r="AE126" s="82">
        <f t="shared" si="199"/>
        <v>0</v>
      </c>
      <c r="AF126" s="82">
        <f t="shared" si="199"/>
        <v>0</v>
      </c>
      <c r="AG126" s="82">
        <f t="shared" si="199"/>
        <v>0</v>
      </c>
      <c r="AH126" s="82">
        <f t="shared" si="199"/>
        <v>0</v>
      </c>
      <c r="AI126" s="82">
        <f t="shared" si="199"/>
        <v>0</v>
      </c>
      <c r="AJ126" s="82">
        <f>P126-Q126</f>
        <v>3642.4799999999996</v>
      </c>
      <c r="AK126" s="82">
        <f>AJ126</f>
        <v>3642.4799999999996</v>
      </c>
      <c r="AL126" s="79">
        <f>ROUND((Q126*100%/P126*100),2)</f>
        <v>21.2</v>
      </c>
      <c r="AM126" s="82">
        <f t="shared" si="199"/>
        <v>0</v>
      </c>
      <c r="AN126" s="82">
        <f t="shared" si="199"/>
        <v>0</v>
      </c>
      <c r="AO126" s="411" t="s">
        <v>264</v>
      </c>
      <c r="AP126" s="291">
        <f t="shared" ref="AP126:BG126" si="201">AP127</f>
        <v>0</v>
      </c>
      <c r="AQ126" s="291">
        <f t="shared" si="201"/>
        <v>0</v>
      </c>
      <c r="AR126" s="291">
        <f t="shared" si="201"/>
        <v>0</v>
      </c>
      <c r="AS126" s="291">
        <f t="shared" si="201"/>
        <v>0</v>
      </c>
      <c r="AT126" s="291">
        <f t="shared" si="201"/>
        <v>0</v>
      </c>
      <c r="AU126" s="291">
        <f t="shared" si="201"/>
        <v>0</v>
      </c>
      <c r="AV126" s="291">
        <f t="shared" si="201"/>
        <v>0</v>
      </c>
      <c r="AW126" s="291">
        <f t="shared" si="201"/>
        <v>0</v>
      </c>
      <c r="AX126" s="291">
        <f t="shared" si="201"/>
        <v>0</v>
      </c>
      <c r="AY126" s="291">
        <f t="shared" si="201"/>
        <v>0</v>
      </c>
      <c r="AZ126" s="291">
        <f t="shared" si="201"/>
        <v>0</v>
      </c>
      <c r="BA126" s="291">
        <f t="shared" si="201"/>
        <v>0</v>
      </c>
      <c r="BB126" s="291">
        <f t="shared" si="201"/>
        <v>0</v>
      </c>
      <c r="BC126" s="291">
        <f t="shared" si="201"/>
        <v>0</v>
      </c>
      <c r="BD126" s="291">
        <f t="shared" si="201"/>
        <v>0</v>
      </c>
      <c r="BE126" s="291">
        <f t="shared" si="201"/>
        <v>0</v>
      </c>
      <c r="BF126" s="291">
        <f t="shared" si="201"/>
        <v>0</v>
      </c>
      <c r="BG126" s="291">
        <f t="shared" si="201"/>
        <v>0</v>
      </c>
      <c r="BH126" s="341"/>
      <c r="BI126" s="81">
        <f t="shared" ref="BI126:BP126" si="202">BI127+BI128</f>
        <v>0</v>
      </c>
      <c r="BJ126" s="81">
        <f t="shared" si="202"/>
        <v>0</v>
      </c>
      <c r="BK126" s="81">
        <f t="shared" si="202"/>
        <v>0</v>
      </c>
      <c r="BL126" s="81">
        <f t="shared" si="202"/>
        <v>0</v>
      </c>
      <c r="BM126" s="81">
        <f t="shared" si="202"/>
        <v>0</v>
      </c>
      <c r="BN126" s="81">
        <f t="shared" si="202"/>
        <v>0</v>
      </c>
      <c r="BO126" s="81">
        <f t="shared" si="202"/>
        <v>0</v>
      </c>
      <c r="BP126" s="81">
        <f t="shared" si="202"/>
        <v>0</v>
      </c>
    </row>
    <row r="127" spans="1:68" ht="15.75">
      <c r="A127" s="813"/>
      <c r="B127" s="23" t="s">
        <v>15</v>
      </c>
      <c r="C127" s="46"/>
      <c r="D127" s="46"/>
      <c r="E127" s="46"/>
      <c r="F127" s="46"/>
      <c r="G127" s="697">
        <v>2019</v>
      </c>
      <c r="H127" s="697">
        <v>2019</v>
      </c>
      <c r="I127" s="888"/>
      <c r="J127" s="810"/>
      <c r="K127" s="22"/>
      <c r="L127" s="22">
        <v>1000</v>
      </c>
      <c r="M127" s="47">
        <v>0</v>
      </c>
      <c r="N127" s="47">
        <v>980</v>
      </c>
      <c r="O127" s="47">
        <v>0</v>
      </c>
      <c r="P127" s="47">
        <v>20</v>
      </c>
      <c r="Q127" s="47">
        <f t="shared" ref="Q127:Z127" si="203">Q128+Q129</f>
        <v>980</v>
      </c>
      <c r="R127" s="47">
        <f t="shared" si="203"/>
        <v>0</v>
      </c>
      <c r="S127" s="47">
        <f t="shared" si="203"/>
        <v>0</v>
      </c>
      <c r="T127" s="47">
        <f t="shared" si="203"/>
        <v>980</v>
      </c>
      <c r="U127" s="47">
        <f t="shared" si="203"/>
        <v>980</v>
      </c>
      <c r="V127" s="47">
        <f t="shared" si="203"/>
        <v>0</v>
      </c>
      <c r="W127" s="47">
        <f t="shared" si="203"/>
        <v>0</v>
      </c>
      <c r="X127" s="47">
        <f t="shared" si="203"/>
        <v>0</v>
      </c>
      <c r="Y127" s="47">
        <f t="shared" si="203"/>
        <v>0</v>
      </c>
      <c r="Z127" s="47">
        <f t="shared" si="203"/>
        <v>0</v>
      </c>
      <c r="AA127" s="47">
        <f>AA128+AA129</f>
        <v>0</v>
      </c>
      <c r="AB127" s="47">
        <f>AB128+AB129</f>
        <v>0</v>
      </c>
      <c r="AC127" s="47">
        <f t="shared" ref="AC127:AD127" si="204">AC128+AC129</f>
        <v>0</v>
      </c>
      <c r="AD127" s="47">
        <f t="shared" si="204"/>
        <v>0</v>
      </c>
      <c r="AE127" s="47">
        <v>0</v>
      </c>
      <c r="AF127" s="47">
        <v>0</v>
      </c>
      <c r="AG127" s="47">
        <v>0</v>
      </c>
      <c r="AH127" s="47">
        <v>0</v>
      </c>
      <c r="AI127" s="47">
        <v>0</v>
      </c>
      <c r="AJ127" s="47">
        <v>0</v>
      </c>
      <c r="AK127" s="47">
        <v>0</v>
      </c>
      <c r="AL127" s="47">
        <v>0</v>
      </c>
      <c r="AM127" s="47">
        <v>0</v>
      </c>
      <c r="AN127" s="47">
        <v>0</v>
      </c>
      <c r="AO127" s="403"/>
      <c r="AP127" s="86">
        <v>0</v>
      </c>
      <c r="AQ127" s="86">
        <v>0</v>
      </c>
      <c r="AR127" s="86">
        <v>0</v>
      </c>
      <c r="AS127" s="86">
        <v>0</v>
      </c>
      <c r="AT127" s="86">
        <v>0</v>
      </c>
      <c r="AU127" s="86">
        <v>0</v>
      </c>
      <c r="AV127" s="86">
        <v>0</v>
      </c>
      <c r="AW127" s="86">
        <v>0</v>
      </c>
      <c r="AX127" s="86">
        <v>0</v>
      </c>
      <c r="AY127" s="86">
        <v>0</v>
      </c>
      <c r="AZ127" s="86">
        <v>0</v>
      </c>
      <c r="BA127" s="86">
        <v>0</v>
      </c>
      <c r="BB127" s="86">
        <v>0</v>
      </c>
      <c r="BC127" s="86">
        <v>0</v>
      </c>
      <c r="BD127" s="86">
        <v>0</v>
      </c>
      <c r="BE127" s="86">
        <v>0</v>
      </c>
      <c r="BF127" s="86">
        <v>0</v>
      </c>
      <c r="BG127" s="86">
        <v>0</v>
      </c>
      <c r="BH127" s="64"/>
      <c r="BI127" s="125">
        <v>0</v>
      </c>
      <c r="BJ127" s="126">
        <v>0</v>
      </c>
      <c r="BK127" s="126">
        <v>0</v>
      </c>
      <c r="BL127" s="126">
        <v>0</v>
      </c>
      <c r="BM127" s="125">
        <v>0</v>
      </c>
      <c r="BN127" s="126">
        <v>0</v>
      </c>
      <c r="BO127" s="126">
        <v>0</v>
      </c>
      <c r="BP127" s="126">
        <v>0</v>
      </c>
    </row>
    <row r="128" spans="1:68" s="100" customFormat="1" hidden="1">
      <c r="A128" s="813"/>
      <c r="B128" s="456" t="s">
        <v>259</v>
      </c>
      <c r="C128" s="457"/>
      <c r="D128" s="457"/>
      <c r="E128" s="457"/>
      <c r="F128" s="457"/>
      <c r="G128" s="267"/>
      <c r="H128" s="267"/>
      <c r="I128" s="888"/>
      <c r="J128" s="810"/>
      <c r="K128" s="178"/>
      <c r="L128" s="178"/>
      <c r="M128" s="99"/>
      <c r="N128" s="99"/>
      <c r="O128" s="99"/>
      <c r="P128" s="99">
        <v>0</v>
      </c>
      <c r="Q128" s="99">
        <f>U128</f>
        <v>980</v>
      </c>
      <c r="R128" s="99">
        <v>0</v>
      </c>
      <c r="S128" s="99">
        <v>0</v>
      </c>
      <c r="T128" s="99">
        <f>U128</f>
        <v>980</v>
      </c>
      <c r="U128" s="99">
        <v>980</v>
      </c>
      <c r="V128" s="99"/>
      <c r="W128" s="99"/>
      <c r="X128" s="99"/>
      <c r="Y128" s="99"/>
      <c r="Z128" s="99">
        <f>AA128</f>
        <v>0</v>
      </c>
      <c r="AA128" s="99">
        <v>0</v>
      </c>
      <c r="AB128" s="99"/>
      <c r="AC128" s="99"/>
      <c r="AD128" s="99"/>
      <c r="AE128" s="99"/>
      <c r="AF128" s="99"/>
      <c r="AG128" s="99"/>
      <c r="AH128" s="99"/>
      <c r="AI128" s="99"/>
      <c r="AJ128" s="99"/>
      <c r="AK128" s="99"/>
      <c r="AL128" s="99"/>
      <c r="AM128" s="99"/>
      <c r="AN128" s="99"/>
      <c r="AO128" s="412"/>
      <c r="AP128" s="264"/>
      <c r="AQ128" s="264"/>
      <c r="AR128" s="264"/>
      <c r="AS128" s="264"/>
      <c r="AT128" s="264"/>
      <c r="AU128" s="264"/>
      <c r="AV128" s="264"/>
      <c r="AW128" s="86"/>
      <c r="AX128" s="86"/>
      <c r="AY128" s="264"/>
      <c r="AZ128" s="264"/>
      <c r="BA128" s="264"/>
      <c r="BB128" s="264"/>
      <c r="BC128" s="264"/>
      <c r="BD128" s="264"/>
      <c r="BE128" s="264"/>
      <c r="BF128" s="264"/>
      <c r="BG128" s="264"/>
      <c r="BH128" s="265"/>
      <c r="BI128" s="143"/>
      <c r="BJ128" s="144"/>
      <c r="BK128" s="144"/>
      <c r="BL128" s="144"/>
      <c r="BM128" s="145"/>
      <c r="BN128" s="145"/>
      <c r="BO128" s="145"/>
      <c r="BP128" s="145"/>
    </row>
    <row r="129" spans="1:68" s="100" customFormat="1" ht="25.5" hidden="1">
      <c r="A129" s="813"/>
      <c r="B129" s="456" t="s">
        <v>260</v>
      </c>
      <c r="C129" s="457"/>
      <c r="D129" s="457"/>
      <c r="E129" s="457"/>
      <c r="F129" s="457"/>
      <c r="G129" s="267"/>
      <c r="H129" s="267"/>
      <c r="I129" s="888"/>
      <c r="J129" s="810"/>
      <c r="K129" s="178"/>
      <c r="L129" s="178"/>
      <c r="M129" s="99"/>
      <c r="N129" s="99"/>
      <c r="O129" s="99"/>
      <c r="P129" s="99"/>
      <c r="Q129" s="99">
        <f>S129</f>
        <v>0</v>
      </c>
      <c r="R129" s="99">
        <f>S129</f>
        <v>0</v>
      </c>
      <c r="S129" s="99">
        <v>0</v>
      </c>
      <c r="T129" s="99"/>
      <c r="U129" s="99"/>
      <c r="V129" s="99"/>
      <c r="W129" s="99"/>
      <c r="X129" s="99"/>
      <c r="Y129" s="99"/>
      <c r="Z129" s="99">
        <f>AA129</f>
        <v>0</v>
      </c>
      <c r="AA129" s="99">
        <v>0</v>
      </c>
      <c r="AB129" s="99"/>
      <c r="AC129" s="99"/>
      <c r="AD129" s="99"/>
      <c r="AE129" s="99"/>
      <c r="AF129" s="99"/>
      <c r="AG129" s="99"/>
      <c r="AH129" s="99"/>
      <c r="AI129" s="99"/>
      <c r="AJ129" s="99"/>
      <c r="AK129" s="99"/>
      <c r="AL129" s="99"/>
      <c r="AM129" s="99"/>
      <c r="AN129" s="99"/>
      <c r="AO129" s="412"/>
      <c r="AP129" s="291">
        <f t="shared" ref="AP129:BG129" si="205">AP130</f>
        <v>0</v>
      </c>
      <c r="AQ129" s="291">
        <f t="shared" si="205"/>
        <v>0</v>
      </c>
      <c r="AR129" s="291">
        <f t="shared" si="205"/>
        <v>0</v>
      </c>
      <c r="AS129" s="291">
        <f t="shared" si="205"/>
        <v>0</v>
      </c>
      <c r="AT129" s="291">
        <f t="shared" si="205"/>
        <v>0</v>
      </c>
      <c r="AU129" s="291">
        <f t="shared" si="205"/>
        <v>0</v>
      </c>
      <c r="AV129" s="291">
        <f t="shared" si="205"/>
        <v>0</v>
      </c>
      <c r="AW129" s="291">
        <f t="shared" si="205"/>
        <v>0</v>
      </c>
      <c r="AX129" s="291">
        <f t="shared" si="205"/>
        <v>0</v>
      </c>
      <c r="AY129" s="291">
        <f t="shared" si="205"/>
        <v>0</v>
      </c>
      <c r="AZ129" s="291">
        <f t="shared" si="205"/>
        <v>0</v>
      </c>
      <c r="BA129" s="291">
        <f t="shared" si="205"/>
        <v>0</v>
      </c>
      <c r="BB129" s="291">
        <f t="shared" si="205"/>
        <v>0</v>
      </c>
      <c r="BC129" s="291">
        <f t="shared" si="205"/>
        <v>0</v>
      </c>
      <c r="BD129" s="291">
        <f t="shared" si="205"/>
        <v>0</v>
      </c>
      <c r="BE129" s="291">
        <f t="shared" si="205"/>
        <v>0</v>
      </c>
      <c r="BF129" s="291">
        <f t="shared" si="205"/>
        <v>0</v>
      </c>
      <c r="BG129" s="291">
        <f t="shared" si="205"/>
        <v>0</v>
      </c>
      <c r="BH129" s="341"/>
      <c r="BI129" s="128">
        <v>0</v>
      </c>
      <c r="BJ129" s="129">
        <v>0</v>
      </c>
      <c r="BK129" s="129">
        <v>0</v>
      </c>
      <c r="BL129" s="129">
        <v>0</v>
      </c>
      <c r="BM129" s="128">
        <v>0</v>
      </c>
      <c r="BN129" s="129">
        <v>0</v>
      </c>
      <c r="BO129" s="129">
        <v>0</v>
      </c>
      <c r="BP129" s="129">
        <v>0</v>
      </c>
    </row>
    <row r="130" spans="1:68" ht="15.75">
      <c r="A130" s="814"/>
      <c r="B130" s="23" t="s">
        <v>16</v>
      </c>
      <c r="C130" s="46"/>
      <c r="D130" s="46"/>
      <c r="E130" s="46"/>
      <c r="F130" s="46"/>
      <c r="G130" s="697">
        <v>2020</v>
      </c>
      <c r="H130" s="697">
        <v>2021</v>
      </c>
      <c r="I130" s="885"/>
      <c r="J130" s="811"/>
      <c r="K130" s="22"/>
      <c r="L130" s="22">
        <v>5022.96</v>
      </c>
      <c r="M130" s="22">
        <v>0</v>
      </c>
      <c r="N130" s="22">
        <v>0</v>
      </c>
      <c r="O130" s="22">
        <v>0</v>
      </c>
      <c r="P130" s="22">
        <v>4602.4799999999996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0</v>
      </c>
      <c r="X130" s="178">
        <v>0</v>
      </c>
      <c r="Y130" s="178">
        <v>0</v>
      </c>
      <c r="Z130" s="22">
        <v>0</v>
      </c>
      <c r="AA130" s="22">
        <v>0</v>
      </c>
      <c r="AB130" s="22">
        <v>0</v>
      </c>
      <c r="AC130" s="22">
        <v>0</v>
      </c>
      <c r="AD130" s="22">
        <v>0</v>
      </c>
      <c r="AE130" s="22">
        <v>0</v>
      </c>
      <c r="AF130" s="22">
        <v>0</v>
      </c>
      <c r="AG130" s="22">
        <v>0</v>
      </c>
      <c r="AH130" s="22">
        <v>0</v>
      </c>
      <c r="AI130" s="22">
        <v>0</v>
      </c>
      <c r="AJ130" s="22">
        <v>0</v>
      </c>
      <c r="AK130" s="22">
        <v>0</v>
      </c>
      <c r="AL130" s="22">
        <v>0</v>
      </c>
      <c r="AM130" s="22">
        <v>0</v>
      </c>
      <c r="AN130" s="22">
        <v>0</v>
      </c>
      <c r="AO130" s="404"/>
      <c r="AP130" s="86">
        <v>0</v>
      </c>
      <c r="AQ130" s="86">
        <v>0</v>
      </c>
      <c r="AR130" s="86">
        <v>0</v>
      </c>
      <c r="AS130" s="86">
        <v>0</v>
      </c>
      <c r="AT130" s="86">
        <v>0</v>
      </c>
      <c r="AU130" s="86">
        <v>0</v>
      </c>
      <c r="AV130" s="86">
        <v>0</v>
      </c>
      <c r="AW130" s="86">
        <v>0</v>
      </c>
      <c r="AX130" s="86">
        <v>0</v>
      </c>
      <c r="AY130" s="86">
        <v>0</v>
      </c>
      <c r="AZ130" s="86">
        <v>0</v>
      </c>
      <c r="BA130" s="86">
        <v>0</v>
      </c>
      <c r="BB130" s="86">
        <v>0</v>
      </c>
      <c r="BC130" s="86">
        <v>0</v>
      </c>
      <c r="BD130" s="86">
        <v>0</v>
      </c>
      <c r="BE130" s="86">
        <v>0</v>
      </c>
      <c r="BF130" s="86">
        <v>0</v>
      </c>
      <c r="BG130" s="86">
        <v>0</v>
      </c>
      <c r="BH130" s="64"/>
      <c r="BI130" s="125">
        <v>0</v>
      </c>
      <c r="BJ130" s="126">
        <v>0</v>
      </c>
      <c r="BK130" s="126">
        <v>0</v>
      </c>
      <c r="BL130" s="126">
        <v>0</v>
      </c>
      <c r="BM130" s="125">
        <v>0</v>
      </c>
      <c r="BN130" s="126">
        <v>0</v>
      </c>
      <c r="BO130" s="126">
        <v>0</v>
      </c>
      <c r="BP130" s="126">
        <v>0</v>
      </c>
    </row>
    <row r="131" spans="1:68" ht="15.75">
      <c r="A131" s="331" t="s">
        <v>13</v>
      </c>
      <c r="B131" s="712" t="s">
        <v>7</v>
      </c>
      <c r="C131" s="713"/>
      <c r="D131" s="713"/>
      <c r="E131" s="713"/>
      <c r="F131" s="713"/>
      <c r="G131" s="713"/>
      <c r="H131" s="713"/>
      <c r="I131" s="713"/>
      <c r="J131" s="713"/>
      <c r="K131" s="713"/>
      <c r="L131" s="714"/>
      <c r="M131" s="714"/>
      <c r="N131" s="714"/>
      <c r="O131" s="714"/>
      <c r="P131" s="714"/>
      <c r="Q131" s="714"/>
      <c r="R131" s="714"/>
      <c r="S131" s="714"/>
      <c r="T131" s="714"/>
      <c r="U131" s="714"/>
      <c r="V131" s="714"/>
      <c r="W131" s="714"/>
      <c r="X131" s="714"/>
      <c r="Y131" s="714"/>
      <c r="Z131" s="714"/>
      <c r="AA131" s="714"/>
      <c r="AB131" s="714"/>
      <c r="AC131" s="714"/>
      <c r="AD131" s="714"/>
      <c r="AE131" s="714"/>
      <c r="AF131" s="714"/>
      <c r="AG131" s="714"/>
      <c r="AH131" s="714"/>
      <c r="AI131" s="714"/>
      <c r="AJ131" s="714"/>
      <c r="AK131" s="714"/>
      <c r="AL131" s="714"/>
      <c r="AM131" s="714"/>
      <c r="AN131" s="714"/>
      <c r="AO131" s="714"/>
      <c r="AP131" s="714"/>
      <c r="AQ131" s="714"/>
      <c r="AR131" s="714"/>
      <c r="AS131" s="714"/>
      <c r="AT131" s="714"/>
      <c r="AU131" s="714"/>
      <c r="AV131" s="714"/>
      <c r="AW131" s="714"/>
      <c r="AX131" s="714"/>
      <c r="AY131" s="714"/>
      <c r="AZ131" s="714"/>
      <c r="BA131" s="714"/>
      <c r="BB131" s="714"/>
      <c r="BC131" s="714"/>
      <c r="BD131" s="714"/>
      <c r="BE131" s="714"/>
      <c r="BF131" s="714"/>
      <c r="BG131" s="714"/>
      <c r="BH131" s="714"/>
      <c r="BI131" s="714"/>
      <c r="BJ131" s="714"/>
      <c r="BK131" s="714"/>
      <c r="BL131" s="714"/>
      <c r="BM131" s="714"/>
      <c r="BN131" s="714"/>
      <c r="BO131" s="714"/>
      <c r="BP131" s="714"/>
    </row>
    <row r="132" spans="1:68" s="390" customFormat="1" ht="15.75">
      <c r="A132" s="948"/>
      <c r="B132" s="949"/>
      <c r="C132" s="949"/>
      <c r="D132" s="949"/>
      <c r="E132" s="949"/>
      <c r="F132" s="949"/>
      <c r="G132" s="949"/>
      <c r="H132" s="950"/>
      <c r="I132" s="387" t="s">
        <v>21</v>
      </c>
      <c r="J132" s="388">
        <f t="shared" ref="J132:AN132" si="206">J133+J134+J135+J136</f>
        <v>165965.11999999997</v>
      </c>
      <c r="K132" s="388">
        <f t="shared" si="206"/>
        <v>25354.1</v>
      </c>
      <c r="L132" s="388">
        <f t="shared" si="206"/>
        <v>1042119.19</v>
      </c>
      <c r="M132" s="388">
        <f t="shared" si="206"/>
        <v>571026.48</v>
      </c>
      <c r="N132" s="389">
        <f t="shared" si="206"/>
        <v>616839.18000000005</v>
      </c>
      <c r="O132" s="388">
        <f t="shared" si="206"/>
        <v>381271.67000000004</v>
      </c>
      <c r="P132" s="389">
        <f t="shared" si="206"/>
        <v>126827.90400000001</v>
      </c>
      <c r="Q132" s="389">
        <f>Q133+Q134+Q135+Q136</f>
        <v>181442.52534999998</v>
      </c>
      <c r="R132" s="389">
        <f t="shared" si="206"/>
        <v>25715.019</v>
      </c>
      <c r="S132" s="389">
        <f t="shared" si="206"/>
        <v>25715.019</v>
      </c>
      <c r="T132" s="389">
        <f t="shared" si="206"/>
        <v>39318.800999999999</v>
      </c>
      <c r="U132" s="389">
        <f t="shared" si="206"/>
        <v>39351.201000000001</v>
      </c>
      <c r="V132" s="389">
        <f t="shared" si="206"/>
        <v>112202.48535</v>
      </c>
      <c r="W132" s="389">
        <f t="shared" si="206"/>
        <v>116376.30535000001</v>
      </c>
      <c r="X132" s="389">
        <f t="shared" si="206"/>
        <v>0</v>
      </c>
      <c r="Y132" s="389">
        <f t="shared" si="206"/>
        <v>0</v>
      </c>
      <c r="Z132" s="389">
        <f t="shared" si="206"/>
        <v>172926.96612</v>
      </c>
      <c r="AA132" s="389">
        <f t="shared" si="206"/>
        <v>24420.41</v>
      </c>
      <c r="AB132" s="389">
        <f t="shared" si="206"/>
        <v>41928.57</v>
      </c>
      <c r="AC132" s="389">
        <f t="shared" si="206"/>
        <v>106577.98612</v>
      </c>
      <c r="AD132" s="389">
        <f t="shared" si="206"/>
        <v>0</v>
      </c>
      <c r="AE132" s="389">
        <f t="shared" si="206"/>
        <v>0</v>
      </c>
      <c r="AF132" s="389">
        <f t="shared" si="206"/>
        <v>0</v>
      </c>
      <c r="AG132" s="389">
        <f t="shared" si="206"/>
        <v>0</v>
      </c>
      <c r="AH132" s="389">
        <f t="shared" si="206"/>
        <v>0</v>
      </c>
      <c r="AI132" s="389">
        <f t="shared" si="206"/>
        <v>0</v>
      </c>
      <c r="AJ132" s="389">
        <f t="shared" si="206"/>
        <v>-2426.1409999999996</v>
      </c>
      <c r="AK132" s="389">
        <f t="shared" si="206"/>
        <v>-2426.1409999999996</v>
      </c>
      <c r="AL132" s="389">
        <f t="shared" si="206"/>
        <v>3291.2999999999997</v>
      </c>
      <c r="AM132" s="389">
        <f t="shared" si="206"/>
        <v>0</v>
      </c>
      <c r="AN132" s="389">
        <f t="shared" si="206"/>
        <v>0</v>
      </c>
      <c r="AO132" s="415"/>
      <c r="AP132" s="86">
        <v>0</v>
      </c>
      <c r="AQ132" s="86">
        <v>0</v>
      </c>
      <c r="AR132" s="86">
        <v>0</v>
      </c>
      <c r="AS132" s="86">
        <v>0</v>
      </c>
      <c r="AT132" s="86">
        <v>0</v>
      </c>
      <c r="AU132" s="86">
        <v>0</v>
      </c>
      <c r="AV132" s="86">
        <v>0</v>
      </c>
      <c r="AW132" s="86">
        <v>0</v>
      </c>
      <c r="AX132" s="86">
        <v>0</v>
      </c>
      <c r="AY132" s="86">
        <v>0</v>
      </c>
      <c r="AZ132" s="86">
        <v>0</v>
      </c>
      <c r="BA132" s="86">
        <v>0</v>
      </c>
      <c r="BB132" s="86">
        <v>0</v>
      </c>
      <c r="BC132" s="86">
        <v>0</v>
      </c>
      <c r="BD132" s="86">
        <v>0</v>
      </c>
      <c r="BE132" s="86">
        <v>0</v>
      </c>
      <c r="BF132" s="86">
        <v>0</v>
      </c>
      <c r="BG132" s="86">
        <v>0</v>
      </c>
      <c r="BH132" s="64"/>
      <c r="BI132" s="86">
        <f t="shared" ref="BI132:BL132" si="207">BF132</f>
        <v>0</v>
      </c>
      <c r="BJ132" s="86">
        <v>0</v>
      </c>
      <c r="BK132" s="86">
        <f t="shared" si="207"/>
        <v>0</v>
      </c>
      <c r="BL132" s="86">
        <f t="shared" si="207"/>
        <v>0</v>
      </c>
      <c r="BM132" s="125">
        <v>0</v>
      </c>
      <c r="BN132" s="126">
        <v>0</v>
      </c>
      <c r="BO132" s="126">
        <v>0</v>
      </c>
      <c r="BP132" s="126">
        <v>0</v>
      </c>
    </row>
    <row r="133" spans="1:68" s="390" customFormat="1" ht="58.5" customHeight="1">
      <c r="A133" s="951"/>
      <c r="B133" s="952"/>
      <c r="C133" s="952"/>
      <c r="D133" s="952"/>
      <c r="E133" s="952"/>
      <c r="F133" s="952"/>
      <c r="G133" s="952"/>
      <c r="H133" s="953"/>
      <c r="I133" s="23" t="s">
        <v>19</v>
      </c>
      <c r="J133" s="73">
        <f t="shared" ref="J133:AN136" si="208">J137+J174+J199</f>
        <v>152888.53999999998</v>
      </c>
      <c r="K133" s="73">
        <f t="shared" si="208"/>
        <v>25354.1</v>
      </c>
      <c r="L133" s="3">
        <f>L137+L174+L199</f>
        <v>193023.18</v>
      </c>
      <c r="M133" s="3">
        <f t="shared" si="208"/>
        <v>42443.12</v>
      </c>
      <c r="N133" s="47">
        <f t="shared" si="208"/>
        <v>35331.160000000003</v>
      </c>
      <c r="O133" s="3">
        <f t="shared" si="208"/>
        <v>29531.94</v>
      </c>
      <c r="P133" s="47">
        <f>P137+P174+P199</f>
        <v>66917.148000000001</v>
      </c>
      <c r="Q133" s="47">
        <f>Q137+Q174+Q199</f>
        <v>6434.8770000000004</v>
      </c>
      <c r="R133" s="47">
        <f t="shared" si="208"/>
        <v>3750.672</v>
      </c>
      <c r="S133" s="47">
        <f t="shared" si="208"/>
        <v>3750.672</v>
      </c>
      <c r="T133" s="47">
        <f t="shared" si="208"/>
        <v>2684.2050000000004</v>
      </c>
      <c r="U133" s="47">
        <f t="shared" si="208"/>
        <v>2684.2050000000004</v>
      </c>
      <c r="V133" s="47">
        <f t="shared" si="208"/>
        <v>0</v>
      </c>
      <c r="W133" s="47">
        <f t="shared" si="208"/>
        <v>0</v>
      </c>
      <c r="X133" s="47">
        <f t="shared" si="208"/>
        <v>0</v>
      </c>
      <c r="Y133" s="47">
        <f t="shared" si="208"/>
        <v>0</v>
      </c>
      <c r="Z133" s="47">
        <f t="shared" si="208"/>
        <v>3434.8770000000004</v>
      </c>
      <c r="AA133" s="47">
        <f t="shared" si="208"/>
        <v>3397.0770000000002</v>
      </c>
      <c r="AB133" s="47">
        <f t="shared" si="208"/>
        <v>0</v>
      </c>
      <c r="AC133" s="47">
        <f t="shared" si="208"/>
        <v>37.799999999999997</v>
      </c>
      <c r="AD133" s="47">
        <f t="shared" si="208"/>
        <v>0</v>
      </c>
      <c r="AE133" s="47">
        <f t="shared" si="208"/>
        <v>0</v>
      </c>
      <c r="AF133" s="47">
        <f t="shared" si="208"/>
        <v>0</v>
      </c>
      <c r="AG133" s="47">
        <f t="shared" si="208"/>
        <v>0</v>
      </c>
      <c r="AH133" s="47">
        <f t="shared" si="208"/>
        <v>0</v>
      </c>
      <c r="AI133" s="47">
        <f t="shared" si="208"/>
        <v>0</v>
      </c>
      <c r="AJ133" s="47">
        <f t="shared" si="208"/>
        <v>22727.975999999999</v>
      </c>
      <c r="AK133" s="47">
        <f t="shared" si="208"/>
        <v>22727.975999999999</v>
      </c>
      <c r="AL133" s="47">
        <f t="shared" si="208"/>
        <v>5.52</v>
      </c>
      <c r="AM133" s="47">
        <f t="shared" si="208"/>
        <v>0</v>
      </c>
      <c r="AN133" s="47">
        <f t="shared" si="208"/>
        <v>0</v>
      </c>
      <c r="AO133" s="403"/>
      <c r="AP133" s="264">
        <f>AX133</f>
        <v>0</v>
      </c>
      <c r="AQ133" s="264"/>
      <c r="AR133" s="264"/>
      <c r="AS133" s="264"/>
      <c r="AT133" s="264"/>
      <c r="AU133" s="264"/>
      <c r="AV133" s="264"/>
      <c r="AW133" s="86">
        <f>AX133</f>
        <v>0</v>
      </c>
      <c r="AX133" s="86"/>
      <c r="AY133" s="264"/>
      <c r="AZ133" s="264"/>
      <c r="BA133" s="264"/>
      <c r="BB133" s="264"/>
      <c r="BC133" s="264"/>
      <c r="BD133" s="264"/>
      <c r="BE133" s="264"/>
      <c r="BF133" s="264"/>
      <c r="BG133" s="264"/>
      <c r="BH133" s="265"/>
      <c r="BI133" s="125">
        <v>0</v>
      </c>
      <c r="BJ133" s="126">
        <v>0</v>
      </c>
      <c r="BK133" s="126">
        <v>0</v>
      </c>
      <c r="BL133" s="126">
        <v>0</v>
      </c>
      <c r="BM133" s="125">
        <v>0</v>
      </c>
      <c r="BN133" s="126">
        <v>0</v>
      </c>
      <c r="BO133" s="126">
        <v>0</v>
      </c>
      <c r="BP133" s="126">
        <v>0</v>
      </c>
    </row>
    <row r="134" spans="1:68" s="390" customFormat="1" ht="45.75" customHeight="1">
      <c r="A134" s="951"/>
      <c r="B134" s="952"/>
      <c r="C134" s="952"/>
      <c r="D134" s="952"/>
      <c r="E134" s="952"/>
      <c r="F134" s="952"/>
      <c r="G134" s="952"/>
      <c r="H134" s="953"/>
      <c r="I134" s="15" t="s">
        <v>20</v>
      </c>
      <c r="J134" s="73">
        <f t="shared" si="208"/>
        <v>13076.579999999998</v>
      </c>
      <c r="K134" s="73">
        <f t="shared" si="208"/>
        <v>0</v>
      </c>
      <c r="L134" s="16">
        <f>L138+L175+L200+L208</f>
        <v>353562.91999999993</v>
      </c>
      <c r="M134" s="22">
        <f t="shared" ref="M134:AD135" si="209">M138+M175+M200+M208</f>
        <v>36205.620000000003</v>
      </c>
      <c r="N134" s="22">
        <f t="shared" si="209"/>
        <v>88280.380000000019</v>
      </c>
      <c r="O134" s="16">
        <f t="shared" si="209"/>
        <v>53996.09</v>
      </c>
      <c r="P134" s="47">
        <f t="shared" si="209"/>
        <v>59910.756000000001</v>
      </c>
      <c r="Q134" s="47">
        <f t="shared" si="209"/>
        <v>10767.757</v>
      </c>
      <c r="R134" s="22">
        <f t="shared" si="209"/>
        <v>941.01400000000001</v>
      </c>
      <c r="S134" s="22">
        <f t="shared" si="209"/>
        <v>941.01400000000001</v>
      </c>
      <c r="T134" s="22">
        <f t="shared" si="209"/>
        <v>4304.7129999999997</v>
      </c>
      <c r="U134" s="22">
        <f t="shared" si="209"/>
        <v>4337.1130000000003</v>
      </c>
      <c r="V134" s="22">
        <f t="shared" si="209"/>
        <v>1315.81</v>
      </c>
      <c r="W134" s="22">
        <f t="shared" si="209"/>
        <v>5489.6299999999992</v>
      </c>
      <c r="X134" s="22">
        <f t="shared" si="209"/>
        <v>0</v>
      </c>
      <c r="Y134" s="22">
        <f t="shared" si="209"/>
        <v>0</v>
      </c>
      <c r="Z134" s="22">
        <f t="shared" si="209"/>
        <v>9671.5450000000001</v>
      </c>
      <c r="AA134" s="22">
        <f t="shared" si="209"/>
        <v>0</v>
      </c>
      <c r="AB134" s="22">
        <f t="shared" si="209"/>
        <v>3423.335</v>
      </c>
      <c r="AC134" s="22">
        <f t="shared" si="209"/>
        <v>6248.21</v>
      </c>
      <c r="AD134" s="22">
        <f t="shared" si="209"/>
        <v>0</v>
      </c>
      <c r="AE134" s="22">
        <f t="shared" si="208"/>
        <v>0</v>
      </c>
      <c r="AF134" s="22">
        <f t="shared" si="208"/>
        <v>0</v>
      </c>
      <c r="AG134" s="22">
        <f t="shared" si="208"/>
        <v>0</v>
      </c>
      <c r="AH134" s="22">
        <f t="shared" si="208"/>
        <v>0</v>
      </c>
      <c r="AI134" s="22">
        <f t="shared" si="208"/>
        <v>0</v>
      </c>
      <c r="AJ134" s="22">
        <f t="shared" si="208"/>
        <v>-25154.116999999998</v>
      </c>
      <c r="AK134" s="22">
        <f t="shared" si="208"/>
        <v>-25154.116999999998</v>
      </c>
      <c r="AL134" s="22">
        <f t="shared" si="208"/>
        <v>3285.7799999999997</v>
      </c>
      <c r="AM134" s="22">
        <f t="shared" si="208"/>
        <v>0</v>
      </c>
      <c r="AN134" s="22">
        <f t="shared" si="208"/>
        <v>0</v>
      </c>
      <c r="AO134" s="404"/>
      <c r="AP134" s="264"/>
      <c r="AQ134" s="264"/>
      <c r="AR134" s="264"/>
      <c r="AS134" s="264"/>
      <c r="AT134" s="264"/>
      <c r="AU134" s="264"/>
      <c r="AV134" s="264"/>
      <c r="AW134" s="86"/>
      <c r="AX134" s="86"/>
      <c r="AY134" s="264"/>
      <c r="AZ134" s="264"/>
      <c r="BA134" s="264"/>
      <c r="BB134" s="264"/>
      <c r="BC134" s="264"/>
      <c r="BD134" s="264"/>
      <c r="BE134" s="264"/>
      <c r="BF134" s="264"/>
      <c r="BG134" s="264"/>
      <c r="BH134" s="265"/>
      <c r="BI134" s="125">
        <v>0</v>
      </c>
      <c r="BJ134" s="126">
        <v>0</v>
      </c>
      <c r="BK134" s="126">
        <v>0</v>
      </c>
      <c r="BL134" s="126">
        <v>0</v>
      </c>
      <c r="BM134" s="125">
        <v>0</v>
      </c>
      <c r="BN134" s="126">
        <v>0</v>
      </c>
      <c r="BO134" s="126">
        <v>0</v>
      </c>
      <c r="BP134" s="126">
        <v>0</v>
      </c>
    </row>
    <row r="135" spans="1:68" s="390" customFormat="1" ht="28.5" customHeight="1">
      <c r="A135" s="951"/>
      <c r="B135" s="952"/>
      <c r="C135" s="952"/>
      <c r="D135" s="952"/>
      <c r="E135" s="952"/>
      <c r="F135" s="952"/>
      <c r="G135" s="952"/>
      <c r="H135" s="953"/>
      <c r="I135" s="15" t="s">
        <v>10</v>
      </c>
      <c r="J135" s="73">
        <f t="shared" si="208"/>
        <v>0</v>
      </c>
      <c r="K135" s="73">
        <f t="shared" si="208"/>
        <v>0</v>
      </c>
      <c r="L135" s="16">
        <f t="shared" ref="L135:M135" si="210">L139+L176+L201+L209</f>
        <v>495533.09</v>
      </c>
      <c r="M135" s="22">
        <f t="shared" si="210"/>
        <v>492377.74</v>
      </c>
      <c r="N135" s="22">
        <f>N139+N176+N201+N209</f>
        <v>493227.64</v>
      </c>
      <c r="O135" s="22">
        <f t="shared" si="209"/>
        <v>297742.64</v>
      </c>
      <c r="P135" s="22">
        <f>P139+P176+P201+P209</f>
        <v>0</v>
      </c>
      <c r="Q135" s="22">
        <f>Q139+Q176+Q201+Q209</f>
        <v>164239.89134999999</v>
      </c>
      <c r="R135" s="22">
        <f t="shared" si="209"/>
        <v>21023.332999999999</v>
      </c>
      <c r="S135" s="22">
        <f t="shared" si="209"/>
        <v>21023.332999999999</v>
      </c>
      <c r="T135" s="22">
        <f t="shared" si="209"/>
        <v>32329.882999999998</v>
      </c>
      <c r="U135" s="22">
        <f t="shared" si="209"/>
        <v>32329.882999999998</v>
      </c>
      <c r="V135" s="22">
        <f t="shared" si="209"/>
        <v>110886.67535</v>
      </c>
      <c r="W135" s="22">
        <f t="shared" si="209"/>
        <v>110886.67535</v>
      </c>
      <c r="X135" s="22">
        <f t="shared" si="209"/>
        <v>0</v>
      </c>
      <c r="Y135" s="22">
        <f t="shared" si="209"/>
        <v>0</v>
      </c>
      <c r="Z135" s="22">
        <f t="shared" si="209"/>
        <v>159820.54412000001</v>
      </c>
      <c r="AA135" s="22">
        <f t="shared" si="209"/>
        <v>21023.332999999999</v>
      </c>
      <c r="AB135" s="22">
        <f t="shared" si="209"/>
        <v>38505.235000000001</v>
      </c>
      <c r="AC135" s="22">
        <f t="shared" si="209"/>
        <v>100291.97612000001</v>
      </c>
      <c r="AD135" s="22">
        <f t="shared" si="209"/>
        <v>0</v>
      </c>
      <c r="AE135" s="22">
        <f t="shared" ref="AE135:AF135" si="211">AE139+AE176+AE201+AE209</f>
        <v>0</v>
      </c>
      <c r="AF135" s="22">
        <f t="shared" si="211"/>
        <v>0</v>
      </c>
      <c r="AG135" s="22">
        <f t="shared" si="208"/>
        <v>0</v>
      </c>
      <c r="AH135" s="22">
        <f t="shared" si="208"/>
        <v>0</v>
      </c>
      <c r="AI135" s="22">
        <f t="shared" si="208"/>
        <v>0</v>
      </c>
      <c r="AJ135" s="22">
        <f t="shared" si="208"/>
        <v>0</v>
      </c>
      <c r="AK135" s="22">
        <f t="shared" si="208"/>
        <v>0</v>
      </c>
      <c r="AL135" s="22">
        <f t="shared" si="208"/>
        <v>0</v>
      </c>
      <c r="AM135" s="22">
        <f t="shared" si="208"/>
        <v>0</v>
      </c>
      <c r="AN135" s="22">
        <f t="shared" si="208"/>
        <v>0</v>
      </c>
      <c r="AO135" s="404"/>
      <c r="AP135" s="264"/>
      <c r="AQ135" s="264"/>
      <c r="AR135" s="264"/>
      <c r="AS135" s="264"/>
      <c r="AT135" s="264"/>
      <c r="AU135" s="264"/>
      <c r="AV135" s="264"/>
      <c r="AW135" s="86"/>
      <c r="AX135" s="86"/>
      <c r="AY135" s="264"/>
      <c r="AZ135" s="264"/>
      <c r="BA135" s="264"/>
      <c r="BB135" s="264"/>
      <c r="BC135" s="264"/>
      <c r="BD135" s="264"/>
      <c r="BE135" s="264"/>
      <c r="BF135" s="264"/>
      <c r="BG135" s="264"/>
      <c r="BH135" s="265"/>
      <c r="BI135" s="125">
        <v>0</v>
      </c>
      <c r="BJ135" s="126">
        <v>0</v>
      </c>
      <c r="BK135" s="126">
        <v>0</v>
      </c>
      <c r="BL135" s="126">
        <v>0</v>
      </c>
      <c r="BM135" s="125">
        <v>0</v>
      </c>
      <c r="BN135" s="126">
        <v>0</v>
      </c>
      <c r="BO135" s="126">
        <v>0</v>
      </c>
      <c r="BP135" s="126">
        <v>0</v>
      </c>
    </row>
    <row r="136" spans="1:68" s="390" customFormat="1" ht="25.5" customHeight="1">
      <c r="A136" s="954"/>
      <c r="B136" s="955"/>
      <c r="C136" s="955"/>
      <c r="D136" s="955"/>
      <c r="E136" s="955"/>
      <c r="F136" s="955"/>
      <c r="G136" s="955"/>
      <c r="H136" s="956"/>
      <c r="I136" s="15" t="s">
        <v>9</v>
      </c>
      <c r="J136" s="73">
        <f t="shared" si="208"/>
        <v>0</v>
      </c>
      <c r="K136" s="73">
        <f t="shared" si="208"/>
        <v>0</v>
      </c>
      <c r="L136" s="16">
        <v>0</v>
      </c>
      <c r="M136" s="16">
        <f>M140+M177+M202</f>
        <v>0</v>
      </c>
      <c r="N136" s="22">
        <f>N140+N177+N202</f>
        <v>0</v>
      </c>
      <c r="O136" s="16">
        <f>O140+O177+O202</f>
        <v>1</v>
      </c>
      <c r="P136" s="47">
        <f>P140+P177+P202</f>
        <v>0</v>
      </c>
      <c r="Q136" s="22">
        <f t="shared" ref="Q136:AN136" si="212">Q140+Q177+Q202</f>
        <v>0</v>
      </c>
      <c r="R136" s="22">
        <f t="shared" si="212"/>
        <v>0</v>
      </c>
      <c r="S136" s="22">
        <f t="shared" si="212"/>
        <v>0</v>
      </c>
      <c r="T136" s="22">
        <f t="shared" si="212"/>
        <v>0</v>
      </c>
      <c r="U136" s="22">
        <f t="shared" si="212"/>
        <v>0</v>
      </c>
      <c r="V136" s="22">
        <f t="shared" si="212"/>
        <v>0</v>
      </c>
      <c r="W136" s="22">
        <f t="shared" si="212"/>
        <v>0</v>
      </c>
      <c r="X136" s="22">
        <f t="shared" si="212"/>
        <v>0</v>
      </c>
      <c r="Y136" s="22">
        <f t="shared" si="212"/>
        <v>0</v>
      </c>
      <c r="Z136" s="22">
        <f t="shared" si="212"/>
        <v>0</v>
      </c>
      <c r="AA136" s="22">
        <f t="shared" si="212"/>
        <v>0</v>
      </c>
      <c r="AB136" s="22">
        <f t="shared" si="212"/>
        <v>0</v>
      </c>
      <c r="AC136" s="22">
        <f t="shared" si="212"/>
        <v>0</v>
      </c>
      <c r="AD136" s="22">
        <f t="shared" si="212"/>
        <v>0</v>
      </c>
      <c r="AE136" s="22">
        <f t="shared" si="212"/>
        <v>0</v>
      </c>
      <c r="AF136" s="22">
        <f t="shared" si="212"/>
        <v>0</v>
      </c>
      <c r="AG136" s="22">
        <f t="shared" si="208"/>
        <v>0</v>
      </c>
      <c r="AH136" s="22">
        <f t="shared" si="208"/>
        <v>0</v>
      </c>
      <c r="AI136" s="22">
        <f t="shared" si="208"/>
        <v>0</v>
      </c>
      <c r="AJ136" s="22">
        <f t="shared" si="212"/>
        <v>0</v>
      </c>
      <c r="AK136" s="22">
        <f t="shared" si="212"/>
        <v>0</v>
      </c>
      <c r="AL136" s="22">
        <f t="shared" si="212"/>
        <v>0</v>
      </c>
      <c r="AM136" s="22">
        <f t="shared" si="212"/>
        <v>0</v>
      </c>
      <c r="AN136" s="22">
        <f t="shared" si="212"/>
        <v>0</v>
      </c>
      <c r="AO136" s="404"/>
      <c r="AP136" s="264"/>
      <c r="AQ136" s="264"/>
      <c r="AR136" s="264"/>
      <c r="AS136" s="264"/>
      <c r="AT136" s="264"/>
      <c r="AU136" s="264"/>
      <c r="AV136" s="264"/>
      <c r="AW136" s="86"/>
      <c r="AX136" s="86"/>
      <c r="AY136" s="264"/>
      <c r="AZ136" s="264"/>
      <c r="BA136" s="264"/>
      <c r="BB136" s="264"/>
      <c r="BC136" s="264"/>
      <c r="BD136" s="264"/>
      <c r="BE136" s="264"/>
      <c r="BF136" s="264"/>
      <c r="BG136" s="264"/>
      <c r="BH136" s="265"/>
      <c r="BI136" s="125">
        <v>0</v>
      </c>
      <c r="BJ136" s="126">
        <v>0</v>
      </c>
      <c r="BK136" s="126">
        <v>0</v>
      </c>
      <c r="BL136" s="126">
        <v>0</v>
      </c>
      <c r="BM136" s="125">
        <v>0</v>
      </c>
      <c r="BN136" s="126">
        <v>0</v>
      </c>
      <c r="BO136" s="126">
        <v>0</v>
      </c>
      <c r="BP136" s="126">
        <v>0</v>
      </c>
    </row>
    <row r="137" spans="1:68" ht="51.75" customHeight="1">
      <c r="A137" s="986" t="s">
        <v>27</v>
      </c>
      <c r="B137" s="921" t="s">
        <v>219</v>
      </c>
      <c r="C137" s="922"/>
      <c r="D137" s="922"/>
      <c r="E137" s="922"/>
      <c r="F137" s="922"/>
      <c r="G137" s="922"/>
      <c r="H137" s="923"/>
      <c r="I137" s="15" t="s">
        <v>19</v>
      </c>
      <c r="J137" s="16">
        <f>J141+J145+J149</f>
        <v>152888.53999999998</v>
      </c>
      <c r="K137" s="16">
        <f>K141+K145+K149</f>
        <v>25354.1</v>
      </c>
      <c r="L137" s="16">
        <f>L141+L145+L149+L158+L162+L166</f>
        <v>193023.18</v>
      </c>
      <c r="M137" s="16">
        <f t="shared" ref="M137" si="213">M141+M145+M149+M158+M162+M166</f>
        <v>42443.12</v>
      </c>
      <c r="N137" s="22">
        <f>N141+N145+N149+N158+N162+N166</f>
        <v>35331.160000000003</v>
      </c>
      <c r="O137" s="16">
        <f t="shared" ref="O137" si="214">O141+O145+O149+O158+O162+O165</f>
        <v>29530.94</v>
      </c>
      <c r="P137" s="22">
        <f>P141+P145+P149+P158+P162+P166</f>
        <v>66917.148000000001</v>
      </c>
      <c r="Q137" s="22">
        <f>Q141+Q145+Q149+Q158+Q162+Q165</f>
        <v>6434.8770000000004</v>
      </c>
      <c r="R137" s="22">
        <f t="shared" ref="R137:Z137" si="215">R141+R145+R149+R158+R162+R165</f>
        <v>3750.672</v>
      </c>
      <c r="S137" s="22">
        <f t="shared" si="215"/>
        <v>3750.672</v>
      </c>
      <c r="T137" s="22">
        <f t="shared" si="215"/>
        <v>2684.2050000000004</v>
      </c>
      <c r="U137" s="22">
        <f t="shared" si="215"/>
        <v>2684.2050000000004</v>
      </c>
      <c r="V137" s="22">
        <f t="shared" si="215"/>
        <v>0</v>
      </c>
      <c r="W137" s="22">
        <f t="shared" si="215"/>
        <v>0</v>
      </c>
      <c r="X137" s="22">
        <f t="shared" si="215"/>
        <v>0</v>
      </c>
      <c r="Y137" s="22">
        <f t="shared" si="215"/>
        <v>0</v>
      </c>
      <c r="Z137" s="22">
        <f t="shared" si="215"/>
        <v>3434.8770000000004</v>
      </c>
      <c r="AA137" s="22">
        <f>AA141+AA145+AA149+AA158+AA162+AA165</f>
        <v>3397.0770000000002</v>
      </c>
      <c r="AB137" s="22">
        <f>AB141+AB145+AB149+AB158+AB162+AB165</f>
        <v>0</v>
      </c>
      <c r="AC137" s="22">
        <f t="shared" ref="AC137:AD137" si="216">AC141+AC145+AC149+AC158+AC162+AC165</f>
        <v>37.799999999999997</v>
      </c>
      <c r="AD137" s="22">
        <f t="shared" si="216"/>
        <v>0</v>
      </c>
      <c r="AE137" s="22">
        <f t="shared" ref="AE137:AN137" si="217">AE141+AE145+AE149</f>
        <v>0</v>
      </c>
      <c r="AF137" s="22">
        <f t="shared" si="217"/>
        <v>0</v>
      </c>
      <c r="AG137" s="22">
        <f t="shared" si="217"/>
        <v>0</v>
      </c>
      <c r="AH137" s="22">
        <f t="shared" si="217"/>
        <v>0</v>
      </c>
      <c r="AI137" s="22">
        <f t="shared" si="217"/>
        <v>0</v>
      </c>
      <c r="AJ137" s="22">
        <f t="shared" si="217"/>
        <v>22727.975999999999</v>
      </c>
      <c r="AK137" s="22">
        <f t="shared" si="217"/>
        <v>22727.975999999999</v>
      </c>
      <c r="AL137" s="22">
        <f t="shared" si="217"/>
        <v>5.52</v>
      </c>
      <c r="AM137" s="22">
        <f t="shared" si="217"/>
        <v>0</v>
      </c>
      <c r="AN137" s="22">
        <f t="shared" si="217"/>
        <v>0</v>
      </c>
      <c r="AO137" s="404"/>
      <c r="AP137" s="264"/>
      <c r="AQ137" s="264"/>
      <c r="AR137" s="264"/>
      <c r="AS137" s="264"/>
      <c r="AT137" s="264"/>
      <c r="AU137" s="264"/>
      <c r="AV137" s="264"/>
      <c r="AW137" s="86"/>
      <c r="AX137" s="86"/>
      <c r="AY137" s="264"/>
      <c r="AZ137" s="264"/>
      <c r="BA137" s="264"/>
      <c r="BB137" s="264"/>
      <c r="BC137" s="264"/>
      <c r="BD137" s="264"/>
      <c r="BE137" s="264"/>
      <c r="BF137" s="264"/>
      <c r="BG137" s="264"/>
      <c r="BH137" s="265"/>
      <c r="BI137" s="125">
        <v>0</v>
      </c>
      <c r="BJ137" s="126">
        <v>0</v>
      </c>
      <c r="BK137" s="126">
        <v>0</v>
      </c>
      <c r="BL137" s="126">
        <v>0</v>
      </c>
      <c r="BM137" s="125">
        <v>0</v>
      </c>
      <c r="BN137" s="126">
        <v>0</v>
      </c>
      <c r="BO137" s="126">
        <v>0</v>
      </c>
      <c r="BP137" s="126">
        <v>0</v>
      </c>
    </row>
    <row r="138" spans="1:68" ht="47.25" customHeight="1">
      <c r="A138" s="987"/>
      <c r="B138" s="924"/>
      <c r="C138" s="925"/>
      <c r="D138" s="925"/>
      <c r="E138" s="925"/>
      <c r="F138" s="925"/>
      <c r="G138" s="925"/>
      <c r="H138" s="926"/>
      <c r="I138" s="15" t="s">
        <v>20</v>
      </c>
      <c r="J138" s="16">
        <v>0</v>
      </c>
      <c r="K138" s="16">
        <v>0</v>
      </c>
      <c r="L138" s="16">
        <f t="shared" si="192"/>
        <v>0</v>
      </c>
      <c r="M138" s="16">
        <v>0</v>
      </c>
      <c r="N138" s="22">
        <v>0</v>
      </c>
      <c r="O138" s="16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  <c r="V138" s="22">
        <v>0</v>
      </c>
      <c r="W138" s="22">
        <v>0</v>
      </c>
      <c r="X138" s="22">
        <v>0</v>
      </c>
      <c r="Y138" s="22">
        <v>0</v>
      </c>
      <c r="Z138" s="22">
        <v>0</v>
      </c>
      <c r="AA138" s="22">
        <v>0</v>
      </c>
      <c r="AB138" s="22">
        <v>0</v>
      </c>
      <c r="AC138" s="22">
        <v>0</v>
      </c>
      <c r="AD138" s="22">
        <v>0</v>
      </c>
      <c r="AE138" s="22">
        <v>0</v>
      </c>
      <c r="AF138" s="22">
        <v>0</v>
      </c>
      <c r="AG138" s="22">
        <v>0</v>
      </c>
      <c r="AH138" s="22">
        <v>0</v>
      </c>
      <c r="AI138" s="22">
        <v>0</v>
      </c>
      <c r="AJ138" s="22">
        <v>0</v>
      </c>
      <c r="AK138" s="22">
        <v>0</v>
      </c>
      <c r="AL138" s="22">
        <v>0</v>
      </c>
      <c r="AM138" s="22">
        <v>0</v>
      </c>
      <c r="AN138" s="22">
        <v>0</v>
      </c>
      <c r="AO138" s="404"/>
      <c r="AP138" s="264"/>
      <c r="AQ138" s="264"/>
      <c r="AR138" s="264"/>
      <c r="AS138" s="264"/>
      <c r="AT138" s="264"/>
      <c r="AU138" s="264"/>
      <c r="AV138" s="264"/>
      <c r="AW138" s="86"/>
      <c r="AX138" s="86"/>
      <c r="AY138" s="264"/>
      <c r="AZ138" s="264"/>
      <c r="BA138" s="264"/>
      <c r="BB138" s="264"/>
      <c r="BC138" s="264"/>
      <c r="BD138" s="264"/>
      <c r="BE138" s="264"/>
      <c r="BF138" s="264"/>
      <c r="BG138" s="264"/>
      <c r="BH138" s="265"/>
      <c r="BI138" s="125">
        <v>0</v>
      </c>
      <c r="BJ138" s="126">
        <v>0</v>
      </c>
      <c r="BK138" s="126">
        <v>0</v>
      </c>
      <c r="BL138" s="126">
        <v>0</v>
      </c>
      <c r="BM138" s="125">
        <v>0</v>
      </c>
      <c r="BN138" s="126">
        <v>0</v>
      </c>
      <c r="BO138" s="126">
        <v>0</v>
      </c>
      <c r="BP138" s="126">
        <v>0</v>
      </c>
    </row>
    <row r="139" spans="1:68" ht="28.5" customHeight="1">
      <c r="A139" s="987"/>
      <c r="B139" s="924"/>
      <c r="C139" s="925"/>
      <c r="D139" s="925"/>
      <c r="E139" s="925"/>
      <c r="F139" s="925"/>
      <c r="G139" s="925"/>
      <c r="H139" s="926"/>
      <c r="I139" s="15" t="s">
        <v>10</v>
      </c>
      <c r="J139" s="16">
        <v>0</v>
      </c>
      <c r="K139" s="16">
        <v>0</v>
      </c>
      <c r="L139" s="16">
        <f>L172</f>
        <v>195485</v>
      </c>
      <c r="M139" s="16">
        <f t="shared" ref="M139:N139" si="218">M172</f>
        <v>195485</v>
      </c>
      <c r="N139" s="22">
        <f t="shared" si="218"/>
        <v>195485</v>
      </c>
      <c r="O139" s="16">
        <v>0</v>
      </c>
      <c r="P139" s="22">
        <f>P172</f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  <c r="V139" s="22">
        <v>0</v>
      </c>
      <c r="W139" s="22">
        <v>0</v>
      </c>
      <c r="X139" s="22">
        <v>0</v>
      </c>
      <c r="Y139" s="22">
        <v>0</v>
      </c>
      <c r="Z139" s="22">
        <v>0</v>
      </c>
      <c r="AA139" s="22">
        <v>0</v>
      </c>
      <c r="AB139" s="22">
        <v>0</v>
      </c>
      <c r="AC139" s="22">
        <v>0</v>
      </c>
      <c r="AD139" s="22">
        <v>0</v>
      </c>
      <c r="AE139" s="22">
        <v>0</v>
      </c>
      <c r="AF139" s="22">
        <v>0</v>
      </c>
      <c r="AG139" s="22">
        <v>0</v>
      </c>
      <c r="AH139" s="22">
        <v>0</v>
      </c>
      <c r="AI139" s="22">
        <v>0</v>
      </c>
      <c r="AJ139" s="22">
        <v>0</v>
      </c>
      <c r="AK139" s="22">
        <v>0</v>
      </c>
      <c r="AL139" s="22">
        <v>0</v>
      </c>
      <c r="AM139" s="22">
        <v>0</v>
      </c>
      <c r="AN139" s="22">
        <v>0</v>
      </c>
      <c r="AO139" s="404"/>
      <c r="AP139" s="47">
        <v>0</v>
      </c>
      <c r="AQ139" s="47">
        <v>0</v>
      </c>
      <c r="AR139" s="47">
        <v>0</v>
      </c>
      <c r="AS139" s="47">
        <v>0</v>
      </c>
      <c r="AT139" s="47">
        <v>0</v>
      </c>
      <c r="AU139" s="47">
        <v>0</v>
      </c>
      <c r="AV139" s="47">
        <v>0</v>
      </c>
      <c r="AW139" s="47">
        <v>0</v>
      </c>
      <c r="AX139" s="47">
        <v>0</v>
      </c>
      <c r="AY139" s="47">
        <v>0</v>
      </c>
      <c r="AZ139" s="47">
        <v>0</v>
      </c>
      <c r="BA139" s="47">
        <v>0</v>
      </c>
      <c r="BB139" s="47">
        <v>0</v>
      </c>
      <c r="BC139" s="47">
        <v>0</v>
      </c>
      <c r="BD139" s="47">
        <v>0</v>
      </c>
      <c r="BE139" s="47">
        <v>0</v>
      </c>
      <c r="BF139" s="47">
        <v>0</v>
      </c>
      <c r="BG139" s="47">
        <v>0</v>
      </c>
      <c r="BH139" s="301"/>
      <c r="BI139" s="125">
        <v>0</v>
      </c>
      <c r="BJ139" s="126">
        <v>0</v>
      </c>
      <c r="BK139" s="126">
        <v>0</v>
      </c>
      <c r="BL139" s="126">
        <v>0</v>
      </c>
      <c r="BM139" s="125">
        <v>0</v>
      </c>
      <c r="BN139" s="126">
        <v>0</v>
      </c>
      <c r="BO139" s="126">
        <v>0</v>
      </c>
      <c r="BP139" s="126">
        <v>0</v>
      </c>
    </row>
    <row r="140" spans="1:68" ht="25.5" customHeight="1">
      <c r="A140" s="988"/>
      <c r="B140" s="927"/>
      <c r="C140" s="928"/>
      <c r="D140" s="928"/>
      <c r="E140" s="928"/>
      <c r="F140" s="928"/>
      <c r="G140" s="928"/>
      <c r="H140" s="929"/>
      <c r="I140" s="15" t="s">
        <v>9</v>
      </c>
      <c r="J140" s="16">
        <v>0</v>
      </c>
      <c r="K140" s="16">
        <v>0</v>
      </c>
      <c r="L140" s="16">
        <f t="shared" si="192"/>
        <v>0</v>
      </c>
      <c r="M140" s="16">
        <v>0</v>
      </c>
      <c r="N140" s="22">
        <v>0</v>
      </c>
      <c r="O140" s="16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  <c r="V140" s="22">
        <v>0</v>
      </c>
      <c r="W140" s="22">
        <v>0</v>
      </c>
      <c r="X140" s="22">
        <v>0</v>
      </c>
      <c r="Y140" s="22">
        <v>0</v>
      </c>
      <c r="Z140" s="22">
        <v>0</v>
      </c>
      <c r="AA140" s="22">
        <v>0</v>
      </c>
      <c r="AB140" s="22">
        <v>0</v>
      </c>
      <c r="AC140" s="22">
        <v>0</v>
      </c>
      <c r="AD140" s="22">
        <v>0</v>
      </c>
      <c r="AE140" s="22">
        <v>0</v>
      </c>
      <c r="AF140" s="22">
        <v>0</v>
      </c>
      <c r="AG140" s="22">
        <v>0</v>
      </c>
      <c r="AH140" s="22">
        <v>0</v>
      </c>
      <c r="AI140" s="22">
        <v>0</v>
      </c>
      <c r="AJ140" s="22">
        <v>0</v>
      </c>
      <c r="AK140" s="22">
        <v>0</v>
      </c>
      <c r="AL140" s="22">
        <v>0</v>
      </c>
      <c r="AM140" s="22">
        <v>0</v>
      </c>
      <c r="AN140" s="22">
        <v>0</v>
      </c>
      <c r="AO140" s="404"/>
      <c r="AP140" s="47">
        <f>AP143+AP147+AP153</f>
        <v>4269.0219999999999</v>
      </c>
      <c r="AQ140" s="47">
        <f t="shared" ref="AQ140:BC140" si="219">AQ143+AQ147+AQ153</f>
        <v>0</v>
      </c>
      <c r="AR140" s="47">
        <f t="shared" si="219"/>
        <v>0</v>
      </c>
      <c r="AS140" s="47">
        <f t="shared" si="219"/>
        <v>0</v>
      </c>
      <c r="AT140" s="47">
        <f t="shared" si="219"/>
        <v>0</v>
      </c>
      <c r="AU140" s="47">
        <f t="shared" si="219"/>
        <v>0</v>
      </c>
      <c r="AV140" s="47">
        <f t="shared" si="219"/>
        <v>0</v>
      </c>
      <c r="AW140" s="47">
        <f t="shared" si="219"/>
        <v>4269.0219999999999</v>
      </c>
      <c r="AX140" s="47">
        <f t="shared" si="219"/>
        <v>4269.0219999999999</v>
      </c>
      <c r="AY140" s="47">
        <f t="shared" si="219"/>
        <v>7606.4549999999999</v>
      </c>
      <c r="AZ140" s="47">
        <f t="shared" si="219"/>
        <v>7606.4549999999999</v>
      </c>
      <c r="BA140" s="47">
        <f t="shared" si="219"/>
        <v>0</v>
      </c>
      <c r="BB140" s="47">
        <f t="shared" si="219"/>
        <v>0</v>
      </c>
      <c r="BC140" s="47" t="e">
        <f t="shared" si="219"/>
        <v>#REF!</v>
      </c>
      <c r="BD140" s="47" t="e">
        <f t="shared" ref="BD140:BG140" si="220">BD143</f>
        <v>#REF!</v>
      </c>
      <c r="BE140" s="47">
        <f t="shared" si="220"/>
        <v>0</v>
      </c>
      <c r="BF140" s="47">
        <f t="shared" si="220"/>
        <v>0</v>
      </c>
      <c r="BG140" s="47">
        <f t="shared" si="220"/>
        <v>0</v>
      </c>
      <c r="BH140" s="301"/>
      <c r="BI140" s="47">
        <f t="shared" ref="BI140:BK140" si="221">BI143+BI147+BI153</f>
        <v>0</v>
      </c>
      <c r="BJ140" s="47">
        <f t="shared" si="221"/>
        <v>0</v>
      </c>
      <c r="BK140" s="47">
        <f t="shared" si="221"/>
        <v>0</v>
      </c>
      <c r="BL140" s="47">
        <f>BL143+BL147+BL153</f>
        <v>0</v>
      </c>
      <c r="BM140" s="125">
        <v>0</v>
      </c>
      <c r="BN140" s="126">
        <v>0</v>
      </c>
      <c r="BO140" s="126">
        <v>0</v>
      </c>
      <c r="BP140" s="126">
        <v>0</v>
      </c>
    </row>
    <row r="141" spans="1:68" ht="56.25" customHeight="1">
      <c r="A141" s="828" t="s">
        <v>34</v>
      </c>
      <c r="B141" s="80" t="s">
        <v>38</v>
      </c>
      <c r="C141" s="935"/>
      <c r="D141" s="935"/>
      <c r="E141" s="935"/>
      <c r="F141" s="898">
        <v>220000</v>
      </c>
      <c r="G141" s="932">
        <v>2018</v>
      </c>
      <c r="H141" s="932">
        <v>2021</v>
      </c>
      <c r="I141" s="884" t="s">
        <v>19</v>
      </c>
      <c r="J141" s="882">
        <v>66036</v>
      </c>
      <c r="K141" s="882">
        <v>16509</v>
      </c>
      <c r="L141" s="85">
        <f>L142</f>
        <v>67541.3</v>
      </c>
      <c r="M141" s="85">
        <f t="shared" ref="M141:P141" si="222">M142</f>
        <v>16509</v>
      </c>
      <c r="N141" s="85">
        <f t="shared" si="222"/>
        <v>800</v>
      </c>
      <c r="O141" s="85">
        <f t="shared" si="222"/>
        <v>6409</v>
      </c>
      <c r="P141" s="85">
        <f t="shared" si="222"/>
        <v>7690.7999999999993</v>
      </c>
      <c r="Q141" s="85">
        <f>Q142</f>
        <v>81</v>
      </c>
      <c r="R141" s="85">
        <f t="shared" ref="R141:AN141" si="223">R142</f>
        <v>43.2</v>
      </c>
      <c r="S141" s="85">
        <f t="shared" si="223"/>
        <v>43.2</v>
      </c>
      <c r="T141" s="85">
        <f t="shared" si="223"/>
        <v>37.799999999999997</v>
      </c>
      <c r="U141" s="85">
        <f t="shared" si="223"/>
        <v>37.799999999999997</v>
      </c>
      <c r="V141" s="85">
        <f t="shared" si="223"/>
        <v>0</v>
      </c>
      <c r="W141" s="85">
        <f t="shared" si="223"/>
        <v>0</v>
      </c>
      <c r="X141" s="85">
        <f t="shared" si="223"/>
        <v>0</v>
      </c>
      <c r="Y141" s="85">
        <f t="shared" si="223"/>
        <v>0</v>
      </c>
      <c r="Z141" s="85">
        <f t="shared" si="223"/>
        <v>81</v>
      </c>
      <c r="AA141" s="85">
        <f t="shared" si="223"/>
        <v>43.2</v>
      </c>
      <c r="AB141" s="85">
        <f t="shared" si="223"/>
        <v>0</v>
      </c>
      <c r="AC141" s="85">
        <f t="shared" si="223"/>
        <v>37.799999999999997</v>
      </c>
      <c r="AD141" s="85">
        <f t="shared" si="223"/>
        <v>0</v>
      </c>
      <c r="AE141" s="85">
        <f t="shared" si="223"/>
        <v>0</v>
      </c>
      <c r="AF141" s="85">
        <f t="shared" si="223"/>
        <v>0</v>
      </c>
      <c r="AG141" s="85">
        <f t="shared" si="223"/>
        <v>0</v>
      </c>
      <c r="AH141" s="85">
        <f t="shared" si="223"/>
        <v>0</v>
      </c>
      <c r="AI141" s="85">
        <f t="shared" si="223"/>
        <v>0</v>
      </c>
      <c r="AJ141" s="82">
        <f>P141-Q141</f>
        <v>7609.7999999999993</v>
      </c>
      <c r="AK141" s="82">
        <f>AJ141</f>
        <v>7609.7999999999993</v>
      </c>
      <c r="AL141" s="82">
        <f>ROUND((Q141*100%/P141*100),2)</f>
        <v>1.05</v>
      </c>
      <c r="AM141" s="85">
        <f t="shared" si="223"/>
        <v>0</v>
      </c>
      <c r="AN141" s="85">
        <f t="shared" si="223"/>
        <v>0</v>
      </c>
      <c r="AO141" s="434"/>
      <c r="AP141" s="22">
        <f t="shared" ref="AP141:BA141" si="224">AP159+AP161</f>
        <v>0</v>
      </c>
      <c r="AQ141" s="22">
        <f t="shared" si="224"/>
        <v>0</v>
      </c>
      <c r="AR141" s="22">
        <f t="shared" si="224"/>
        <v>0</v>
      </c>
      <c r="AS141" s="22">
        <f t="shared" si="224"/>
        <v>0</v>
      </c>
      <c r="AT141" s="22">
        <f t="shared" si="224"/>
        <v>0</v>
      </c>
      <c r="AU141" s="22">
        <f t="shared" si="224"/>
        <v>0</v>
      </c>
      <c r="AV141" s="22">
        <f t="shared" si="224"/>
        <v>0</v>
      </c>
      <c r="AW141" s="22">
        <f t="shared" si="224"/>
        <v>0</v>
      </c>
      <c r="AX141" s="22">
        <f t="shared" si="224"/>
        <v>0</v>
      </c>
      <c r="AY141" s="22">
        <f t="shared" si="224"/>
        <v>0</v>
      </c>
      <c r="AZ141" s="22">
        <f t="shared" si="224"/>
        <v>0</v>
      </c>
      <c r="BA141" s="22">
        <f t="shared" si="224"/>
        <v>0</v>
      </c>
      <c r="BB141" s="22">
        <v>0</v>
      </c>
      <c r="BC141" s="22">
        <v>0</v>
      </c>
      <c r="BD141" s="22">
        <v>0</v>
      </c>
      <c r="BE141" s="22">
        <v>0</v>
      </c>
      <c r="BF141" s="22">
        <v>0</v>
      </c>
      <c r="BG141" s="22">
        <v>0</v>
      </c>
      <c r="BH141" s="302"/>
      <c r="BI141" s="81">
        <f t="shared" ref="BI141:BP141" si="225">BI142+BI143</f>
        <v>0</v>
      </c>
      <c r="BJ141" s="81">
        <f t="shared" si="225"/>
        <v>0</v>
      </c>
      <c r="BK141" s="81">
        <f t="shared" si="225"/>
        <v>0</v>
      </c>
      <c r="BL141" s="81">
        <f t="shared" si="225"/>
        <v>0</v>
      </c>
      <c r="BM141" s="81">
        <f t="shared" si="225"/>
        <v>0</v>
      </c>
      <c r="BN141" s="81">
        <f t="shared" si="225"/>
        <v>0</v>
      </c>
      <c r="BO141" s="81">
        <f t="shared" si="225"/>
        <v>0</v>
      </c>
      <c r="BP141" s="81">
        <f t="shared" si="225"/>
        <v>0</v>
      </c>
    </row>
    <row r="142" spans="1:68" ht="26.25" customHeight="1">
      <c r="A142" s="887"/>
      <c r="B142" s="737" t="s">
        <v>39</v>
      </c>
      <c r="C142" s="936"/>
      <c r="D142" s="936"/>
      <c r="E142" s="936"/>
      <c r="F142" s="931"/>
      <c r="G142" s="933"/>
      <c r="H142" s="933"/>
      <c r="I142" s="885"/>
      <c r="J142" s="883"/>
      <c r="K142" s="883"/>
      <c r="L142" s="75">
        <v>67541.3</v>
      </c>
      <c r="M142" s="86">
        <v>16509</v>
      </c>
      <c r="N142" s="86">
        <v>800</v>
      </c>
      <c r="O142" s="86">
        <v>6409</v>
      </c>
      <c r="P142" s="86">
        <f>6409*1.2</f>
        <v>7690.7999999999993</v>
      </c>
      <c r="Q142" s="86">
        <f>Q144+Q143</f>
        <v>81</v>
      </c>
      <c r="R142" s="86">
        <f t="shared" ref="R142:AD142" si="226">R144+R143</f>
        <v>43.2</v>
      </c>
      <c r="S142" s="86">
        <f t="shared" si="226"/>
        <v>43.2</v>
      </c>
      <c r="T142" s="86">
        <f t="shared" si="226"/>
        <v>37.799999999999997</v>
      </c>
      <c r="U142" s="86">
        <f t="shared" si="226"/>
        <v>37.799999999999997</v>
      </c>
      <c r="V142" s="86">
        <f t="shared" si="226"/>
        <v>0</v>
      </c>
      <c r="W142" s="86">
        <f t="shared" si="226"/>
        <v>0</v>
      </c>
      <c r="X142" s="86">
        <f t="shared" si="226"/>
        <v>0</v>
      </c>
      <c r="Y142" s="86">
        <f t="shared" si="226"/>
        <v>0</v>
      </c>
      <c r="Z142" s="86">
        <f t="shared" si="226"/>
        <v>81</v>
      </c>
      <c r="AA142" s="86">
        <f t="shared" si="226"/>
        <v>43.2</v>
      </c>
      <c r="AB142" s="86">
        <f t="shared" si="226"/>
        <v>0</v>
      </c>
      <c r="AC142" s="86">
        <f t="shared" si="226"/>
        <v>37.799999999999997</v>
      </c>
      <c r="AD142" s="86">
        <f t="shared" si="226"/>
        <v>0</v>
      </c>
      <c r="AE142" s="86">
        <f t="shared" ref="AE142:AF142" si="227">AE144</f>
        <v>0</v>
      </c>
      <c r="AF142" s="86">
        <f t="shared" si="227"/>
        <v>0</v>
      </c>
      <c r="AG142" s="86">
        <v>0</v>
      </c>
      <c r="AH142" s="86">
        <v>0</v>
      </c>
      <c r="AI142" s="86">
        <v>0</v>
      </c>
      <c r="AJ142" s="86">
        <v>0</v>
      </c>
      <c r="AK142" s="86">
        <v>0</v>
      </c>
      <c r="AL142" s="86">
        <v>0</v>
      </c>
      <c r="AM142" s="86">
        <v>0</v>
      </c>
      <c r="AN142" s="86">
        <v>0</v>
      </c>
      <c r="AO142" s="416"/>
      <c r="AP142" s="22">
        <v>0</v>
      </c>
      <c r="AQ142" s="22">
        <v>0</v>
      </c>
      <c r="AR142" s="22">
        <v>0</v>
      </c>
      <c r="AS142" s="22">
        <v>0</v>
      </c>
      <c r="AT142" s="22">
        <v>0</v>
      </c>
      <c r="AU142" s="22">
        <v>0</v>
      </c>
      <c r="AV142" s="22">
        <v>0</v>
      </c>
      <c r="AW142" s="22">
        <v>0</v>
      </c>
      <c r="AX142" s="22">
        <v>0</v>
      </c>
      <c r="AY142" s="22">
        <v>0</v>
      </c>
      <c r="AZ142" s="22">
        <v>0</v>
      </c>
      <c r="BA142" s="22">
        <v>0</v>
      </c>
      <c r="BB142" s="22">
        <v>0</v>
      </c>
      <c r="BC142" s="22">
        <v>0</v>
      </c>
      <c r="BD142" s="22">
        <v>0</v>
      </c>
      <c r="BE142" s="22">
        <v>0</v>
      </c>
      <c r="BF142" s="22">
        <v>0</v>
      </c>
      <c r="BG142" s="22">
        <v>0</v>
      </c>
      <c r="BH142" s="302"/>
      <c r="BI142" s="125">
        <v>0</v>
      </c>
      <c r="BJ142" s="126">
        <v>0</v>
      </c>
      <c r="BK142" s="126">
        <v>0</v>
      </c>
      <c r="BL142" s="126">
        <v>0</v>
      </c>
      <c r="BM142" s="125">
        <v>0</v>
      </c>
      <c r="BN142" s="126">
        <v>0</v>
      </c>
      <c r="BO142" s="126">
        <v>0</v>
      </c>
      <c r="BP142" s="126">
        <v>0</v>
      </c>
    </row>
    <row r="143" spans="1:68" s="100" customFormat="1" ht="26.25" hidden="1" customHeight="1">
      <c r="A143" s="658"/>
      <c r="B143" s="659" t="s">
        <v>336</v>
      </c>
      <c r="C143" s="660"/>
      <c r="D143" s="660"/>
      <c r="E143" s="660"/>
      <c r="F143" s="661"/>
      <c r="G143" s="662"/>
      <c r="H143" s="662"/>
      <c r="I143" s="663"/>
      <c r="J143" s="664"/>
      <c r="K143" s="664"/>
      <c r="L143" s="263"/>
      <c r="M143" s="264"/>
      <c r="N143" s="264"/>
      <c r="O143" s="264"/>
      <c r="P143" s="264"/>
      <c r="Q143" s="264">
        <f>U143</f>
        <v>37.799999999999997</v>
      </c>
      <c r="R143" s="264"/>
      <c r="S143" s="264"/>
      <c r="T143" s="264">
        <f>U143</f>
        <v>37.799999999999997</v>
      </c>
      <c r="U143" s="264">
        <v>37.799999999999997</v>
      </c>
      <c r="V143" s="264"/>
      <c r="W143" s="264"/>
      <c r="X143" s="264"/>
      <c r="Y143" s="264"/>
      <c r="Z143" s="264">
        <f>AC143</f>
        <v>37.799999999999997</v>
      </c>
      <c r="AA143" s="264"/>
      <c r="AB143" s="264"/>
      <c r="AC143" s="264">
        <v>37.799999999999997</v>
      </c>
      <c r="AD143" s="264"/>
      <c r="AE143" s="264"/>
      <c r="AF143" s="264"/>
      <c r="AG143" s="264"/>
      <c r="AH143" s="264"/>
      <c r="AI143" s="264"/>
      <c r="AJ143" s="264"/>
      <c r="AK143" s="264"/>
      <c r="AL143" s="665"/>
      <c r="AM143" s="264"/>
      <c r="AN143" s="264"/>
      <c r="AO143" s="419"/>
      <c r="AP143" s="82">
        <f t="shared" ref="AP143:BB143" si="228">AP144+AP146</f>
        <v>0</v>
      </c>
      <c r="AQ143" s="82">
        <f t="shared" si="228"/>
        <v>0</v>
      </c>
      <c r="AR143" s="82">
        <f t="shared" si="228"/>
        <v>0</v>
      </c>
      <c r="AS143" s="82">
        <f t="shared" si="228"/>
        <v>0</v>
      </c>
      <c r="AT143" s="82">
        <f t="shared" si="228"/>
        <v>0</v>
      </c>
      <c r="AU143" s="82">
        <f t="shared" si="228"/>
        <v>0</v>
      </c>
      <c r="AV143" s="82">
        <f t="shared" si="228"/>
        <v>0</v>
      </c>
      <c r="AW143" s="82">
        <f t="shared" si="228"/>
        <v>0</v>
      </c>
      <c r="AX143" s="82">
        <f t="shared" si="228"/>
        <v>0</v>
      </c>
      <c r="AY143" s="82">
        <f t="shared" si="228"/>
        <v>0</v>
      </c>
      <c r="AZ143" s="82">
        <f t="shared" si="228"/>
        <v>0</v>
      </c>
      <c r="BA143" s="82">
        <f t="shared" si="228"/>
        <v>0</v>
      </c>
      <c r="BB143" s="82">
        <f t="shared" si="228"/>
        <v>0</v>
      </c>
      <c r="BC143" s="82" t="e">
        <f>#REF!-AP143</f>
        <v>#REF!</v>
      </c>
      <c r="BD143" s="82" t="e">
        <f>BC143</f>
        <v>#REF!</v>
      </c>
      <c r="BE143" s="82">
        <v>0</v>
      </c>
      <c r="BF143" s="82">
        <f>BF144+BF146</f>
        <v>0</v>
      </c>
      <c r="BG143" s="82">
        <f>BG144+BG146</f>
        <v>0</v>
      </c>
      <c r="BH143" s="308"/>
      <c r="BI143" s="128">
        <v>0</v>
      </c>
      <c r="BJ143" s="129">
        <v>0</v>
      </c>
      <c r="BK143" s="129">
        <v>0</v>
      </c>
      <c r="BL143" s="129">
        <v>0</v>
      </c>
      <c r="BM143" s="128">
        <v>0</v>
      </c>
      <c r="BN143" s="129">
        <v>0</v>
      </c>
      <c r="BO143" s="129">
        <v>0</v>
      </c>
      <c r="BP143" s="129">
        <v>0</v>
      </c>
    </row>
    <row r="144" spans="1:68" s="100" customFormat="1" ht="26.25" hidden="1" customHeight="1">
      <c r="A144" s="658"/>
      <c r="B144" s="659" t="s">
        <v>336</v>
      </c>
      <c r="C144" s="660"/>
      <c r="D144" s="660"/>
      <c r="E144" s="660"/>
      <c r="F144" s="661"/>
      <c r="G144" s="662"/>
      <c r="H144" s="662"/>
      <c r="I144" s="663"/>
      <c r="J144" s="664"/>
      <c r="K144" s="664"/>
      <c r="L144" s="263"/>
      <c r="M144" s="264"/>
      <c r="N144" s="264"/>
      <c r="O144" s="264"/>
      <c r="P144" s="264"/>
      <c r="Q144" s="178">
        <f>S144</f>
        <v>43.2</v>
      </c>
      <c r="R144" s="264">
        <f>S144</f>
        <v>43.2</v>
      </c>
      <c r="S144" s="264">
        <v>43.2</v>
      </c>
      <c r="T144" s="264"/>
      <c r="U144" s="264"/>
      <c r="V144" s="264"/>
      <c r="W144" s="264"/>
      <c r="X144" s="264"/>
      <c r="Y144" s="264"/>
      <c r="Z144" s="264">
        <f>AA144</f>
        <v>43.2</v>
      </c>
      <c r="AA144" s="264">
        <v>43.2</v>
      </c>
      <c r="AB144" s="264"/>
      <c r="AC144" s="264"/>
      <c r="AD144" s="264"/>
      <c r="AE144" s="264"/>
      <c r="AF144" s="264"/>
      <c r="AG144" s="264"/>
      <c r="AH144" s="264"/>
      <c r="AI144" s="264"/>
      <c r="AJ144" s="264"/>
      <c r="AK144" s="264"/>
      <c r="AL144" s="665"/>
      <c r="AM144" s="264"/>
      <c r="AN144" s="264"/>
      <c r="AO144" s="419"/>
      <c r="AP144" s="50">
        <f>SUM(AP145)</f>
        <v>0</v>
      </c>
      <c r="AQ144" s="50">
        <f t="shared" ref="AQ144:BG144" si="229">SUM(AQ145)</f>
        <v>0</v>
      </c>
      <c r="AR144" s="50">
        <f t="shared" si="229"/>
        <v>0</v>
      </c>
      <c r="AS144" s="50">
        <f t="shared" si="229"/>
        <v>0</v>
      </c>
      <c r="AT144" s="50">
        <f t="shared" si="229"/>
        <v>0</v>
      </c>
      <c r="AU144" s="50">
        <f t="shared" si="229"/>
        <v>0</v>
      </c>
      <c r="AV144" s="50">
        <f t="shared" si="229"/>
        <v>0</v>
      </c>
      <c r="AW144" s="50">
        <f t="shared" si="229"/>
        <v>0</v>
      </c>
      <c r="AX144" s="50">
        <f t="shared" si="229"/>
        <v>0</v>
      </c>
      <c r="AY144" s="50">
        <f t="shared" si="229"/>
        <v>0</v>
      </c>
      <c r="AZ144" s="50">
        <f t="shared" si="229"/>
        <v>0</v>
      </c>
      <c r="BA144" s="50">
        <f t="shared" si="229"/>
        <v>0</v>
      </c>
      <c r="BB144" s="50">
        <f t="shared" si="229"/>
        <v>0</v>
      </c>
      <c r="BC144" s="50">
        <f t="shared" si="229"/>
        <v>0</v>
      </c>
      <c r="BD144" s="50">
        <f t="shared" si="229"/>
        <v>0</v>
      </c>
      <c r="BE144" s="50">
        <f t="shared" si="229"/>
        <v>0</v>
      </c>
      <c r="BF144" s="50">
        <f t="shared" si="229"/>
        <v>0</v>
      </c>
      <c r="BG144" s="50">
        <f t="shared" si="229"/>
        <v>0</v>
      </c>
      <c r="BH144" s="50"/>
      <c r="BI144" s="125">
        <v>0</v>
      </c>
      <c r="BJ144" s="126">
        <v>0</v>
      </c>
      <c r="BK144" s="126">
        <v>0</v>
      </c>
      <c r="BL144" s="126">
        <v>0</v>
      </c>
      <c r="BM144" s="125">
        <v>0</v>
      </c>
      <c r="BN144" s="126">
        <v>0</v>
      </c>
      <c r="BO144" s="126">
        <v>0</v>
      </c>
      <c r="BP144" s="126">
        <v>0</v>
      </c>
    </row>
    <row r="145" spans="1:68" ht="39.75" customHeight="1">
      <c r="A145" s="828" t="s">
        <v>42</v>
      </c>
      <c r="B145" s="80" t="s">
        <v>210</v>
      </c>
      <c r="C145" s="48"/>
      <c r="D145" s="48"/>
      <c r="E145" s="48"/>
      <c r="F145" s="898">
        <v>2400</v>
      </c>
      <c r="G145" s="48"/>
      <c r="H145" s="48"/>
      <c r="I145" s="837" t="s">
        <v>19</v>
      </c>
      <c r="J145" s="24">
        <v>12351.86</v>
      </c>
      <c r="K145" s="24">
        <f>K146+K148</f>
        <v>8845.1</v>
      </c>
      <c r="L145" s="82">
        <f>L146+L148</f>
        <v>25182.28</v>
      </c>
      <c r="M145" s="82">
        <f t="shared" ref="M145:P145" si="230">M146+M148</f>
        <v>1753.38</v>
      </c>
      <c r="N145" s="82">
        <f t="shared" si="230"/>
        <v>1168.92</v>
      </c>
      <c r="O145" s="82">
        <f t="shared" si="230"/>
        <v>997.45</v>
      </c>
      <c r="P145" s="82">
        <f t="shared" si="230"/>
        <v>15825.647999999999</v>
      </c>
      <c r="Q145" s="82">
        <f>Q148+Q146</f>
        <v>707.47199999999998</v>
      </c>
      <c r="R145" s="82">
        <f t="shared" ref="R145:AN145" si="231">R148+R146</f>
        <v>707.47199999999998</v>
      </c>
      <c r="S145" s="82">
        <f t="shared" si="231"/>
        <v>707.47199999999998</v>
      </c>
      <c r="T145" s="82">
        <f t="shared" si="231"/>
        <v>0</v>
      </c>
      <c r="U145" s="82">
        <f t="shared" si="231"/>
        <v>0</v>
      </c>
      <c r="V145" s="82">
        <f t="shared" si="231"/>
        <v>0</v>
      </c>
      <c r="W145" s="82">
        <f t="shared" si="231"/>
        <v>0</v>
      </c>
      <c r="X145" s="82">
        <f t="shared" si="231"/>
        <v>0</v>
      </c>
      <c r="Y145" s="82">
        <f t="shared" si="231"/>
        <v>0</v>
      </c>
      <c r="Z145" s="82">
        <f t="shared" si="231"/>
        <v>707.47199999999998</v>
      </c>
      <c r="AA145" s="82">
        <f t="shared" si="231"/>
        <v>707.47199999999998</v>
      </c>
      <c r="AB145" s="82">
        <f t="shared" si="231"/>
        <v>0</v>
      </c>
      <c r="AC145" s="82">
        <f t="shared" si="231"/>
        <v>0</v>
      </c>
      <c r="AD145" s="82">
        <f t="shared" si="231"/>
        <v>0</v>
      </c>
      <c r="AE145" s="82">
        <f t="shared" si="231"/>
        <v>0</v>
      </c>
      <c r="AF145" s="82">
        <f t="shared" si="231"/>
        <v>0</v>
      </c>
      <c r="AG145" s="82">
        <f t="shared" si="231"/>
        <v>0</v>
      </c>
      <c r="AH145" s="82">
        <f t="shared" si="231"/>
        <v>0</v>
      </c>
      <c r="AI145" s="82">
        <f t="shared" si="231"/>
        <v>0</v>
      </c>
      <c r="AJ145" s="82">
        <f>P145-Q145</f>
        <v>15118.175999999999</v>
      </c>
      <c r="AK145" s="82">
        <f>AJ145</f>
        <v>15118.175999999999</v>
      </c>
      <c r="AL145" s="79">
        <f>ROUND((Q145*100%/P145*100),2)</f>
        <v>4.47</v>
      </c>
      <c r="AM145" s="82">
        <f t="shared" si="231"/>
        <v>0</v>
      </c>
      <c r="AN145" s="82">
        <f t="shared" si="231"/>
        <v>0</v>
      </c>
      <c r="AO145" s="417"/>
      <c r="AP145" s="268"/>
      <c r="AQ145" s="50"/>
      <c r="AR145" s="50"/>
      <c r="AS145" s="268"/>
      <c r="AT145" s="268"/>
      <c r="AU145" s="268"/>
      <c r="AV145" s="268"/>
      <c r="AW145" s="50"/>
      <c r="AX145" s="50"/>
      <c r="AY145" s="268"/>
      <c r="AZ145" s="268"/>
      <c r="BA145" s="268"/>
      <c r="BB145" s="268"/>
      <c r="BC145" s="268"/>
      <c r="BD145" s="268"/>
      <c r="BE145" s="268"/>
      <c r="BF145" s="268"/>
      <c r="BG145" s="268"/>
      <c r="BH145" s="268"/>
      <c r="BI145" s="81">
        <f t="shared" ref="BI145:BP145" si="232">BI146+BI147</f>
        <v>0</v>
      </c>
      <c r="BJ145" s="81">
        <f t="shared" si="232"/>
        <v>0</v>
      </c>
      <c r="BK145" s="81">
        <f t="shared" si="232"/>
        <v>0</v>
      </c>
      <c r="BL145" s="81">
        <f t="shared" si="232"/>
        <v>0</v>
      </c>
      <c r="BM145" s="81">
        <f t="shared" si="232"/>
        <v>0</v>
      </c>
      <c r="BN145" s="81">
        <f t="shared" si="232"/>
        <v>0</v>
      </c>
      <c r="BO145" s="81">
        <f t="shared" si="232"/>
        <v>0</v>
      </c>
      <c r="BP145" s="81">
        <f t="shared" si="232"/>
        <v>0</v>
      </c>
    </row>
    <row r="146" spans="1:68" ht="16.5" customHeight="1">
      <c r="A146" s="886"/>
      <c r="B146" s="1" t="s">
        <v>15</v>
      </c>
      <c r="C146" s="48"/>
      <c r="D146" s="48"/>
      <c r="E146" s="48"/>
      <c r="F146" s="899"/>
      <c r="G146" s="725">
        <v>2018</v>
      </c>
      <c r="H146" s="725">
        <v>2018</v>
      </c>
      <c r="I146" s="838"/>
      <c r="J146" s="27">
        <v>1815.76</v>
      </c>
      <c r="K146" s="27">
        <v>1815.76</v>
      </c>
      <c r="L146" s="22">
        <v>2458.14</v>
      </c>
      <c r="M146" s="22">
        <v>0</v>
      </c>
      <c r="N146" s="22">
        <v>412.99</v>
      </c>
      <c r="O146" s="22">
        <v>0</v>
      </c>
      <c r="P146" s="22">
        <f>1.2*229.39</f>
        <v>275.26799999999997</v>
      </c>
      <c r="Q146" s="22">
        <f>Q147</f>
        <v>707.47199999999998</v>
      </c>
      <c r="R146" s="22">
        <f t="shared" ref="R146:AI146" si="233">R147</f>
        <v>707.47199999999998</v>
      </c>
      <c r="S146" s="22">
        <f t="shared" si="233"/>
        <v>707.47199999999998</v>
      </c>
      <c r="T146" s="22">
        <f t="shared" si="233"/>
        <v>0</v>
      </c>
      <c r="U146" s="22">
        <f t="shared" si="233"/>
        <v>0</v>
      </c>
      <c r="V146" s="22">
        <f t="shared" si="233"/>
        <v>0</v>
      </c>
      <c r="W146" s="22">
        <f t="shared" si="233"/>
        <v>0</v>
      </c>
      <c r="X146" s="22">
        <f t="shared" si="233"/>
        <v>0</v>
      </c>
      <c r="Y146" s="22">
        <f t="shared" si="233"/>
        <v>0</v>
      </c>
      <c r="Z146" s="22">
        <f t="shared" si="233"/>
        <v>707.47199999999998</v>
      </c>
      <c r="AA146" s="22">
        <f t="shared" si="233"/>
        <v>707.47199999999998</v>
      </c>
      <c r="AB146" s="22">
        <f t="shared" si="233"/>
        <v>0</v>
      </c>
      <c r="AC146" s="22">
        <f t="shared" si="233"/>
        <v>0</v>
      </c>
      <c r="AD146" s="22">
        <f t="shared" si="233"/>
        <v>0</v>
      </c>
      <c r="AE146" s="22">
        <f t="shared" si="233"/>
        <v>0</v>
      </c>
      <c r="AF146" s="22">
        <f t="shared" si="233"/>
        <v>0</v>
      </c>
      <c r="AG146" s="22">
        <f t="shared" si="233"/>
        <v>0</v>
      </c>
      <c r="AH146" s="22">
        <f t="shared" si="233"/>
        <v>0</v>
      </c>
      <c r="AI146" s="22">
        <f t="shared" si="233"/>
        <v>0</v>
      </c>
      <c r="AJ146" s="22">
        <v>0</v>
      </c>
      <c r="AK146" s="22">
        <v>0</v>
      </c>
      <c r="AL146" s="22">
        <v>0</v>
      </c>
      <c r="AM146" s="22">
        <v>0</v>
      </c>
      <c r="AN146" s="22">
        <v>0</v>
      </c>
      <c r="AO146" s="418"/>
      <c r="AP146" s="50">
        <v>0</v>
      </c>
      <c r="AQ146" s="50">
        <v>0</v>
      </c>
      <c r="AR146" s="50">
        <v>0</v>
      </c>
      <c r="AS146" s="50">
        <v>0</v>
      </c>
      <c r="AT146" s="50">
        <v>0</v>
      </c>
      <c r="AU146" s="50">
        <v>0</v>
      </c>
      <c r="AV146" s="50">
        <v>0</v>
      </c>
      <c r="AW146" s="50">
        <v>0</v>
      </c>
      <c r="AX146" s="50">
        <v>0</v>
      </c>
      <c r="AY146" s="50">
        <v>0</v>
      </c>
      <c r="AZ146" s="50">
        <v>0</v>
      </c>
      <c r="BA146" s="50">
        <v>0</v>
      </c>
      <c r="BB146" s="50">
        <v>0</v>
      </c>
      <c r="BC146" s="50">
        <v>0</v>
      </c>
      <c r="BD146" s="50">
        <v>0</v>
      </c>
      <c r="BE146" s="50">
        <v>0</v>
      </c>
      <c r="BF146" s="50">
        <v>0</v>
      </c>
      <c r="BG146" s="50">
        <v>0</v>
      </c>
      <c r="BH146" s="50"/>
      <c r="BI146" s="125">
        <v>0</v>
      </c>
      <c r="BJ146" s="126">
        <v>0</v>
      </c>
      <c r="BK146" s="126">
        <v>0</v>
      </c>
      <c r="BL146" s="126">
        <v>0</v>
      </c>
      <c r="BM146" s="125">
        <v>0</v>
      </c>
      <c r="BN146" s="126">
        <v>0</v>
      </c>
      <c r="BO146" s="126">
        <v>0</v>
      </c>
      <c r="BP146" s="126">
        <v>0</v>
      </c>
    </row>
    <row r="147" spans="1:68" s="100" customFormat="1" ht="16.5" hidden="1" customHeight="1">
      <c r="A147" s="886"/>
      <c r="B147" s="105" t="s">
        <v>353</v>
      </c>
      <c r="C147" s="666"/>
      <c r="D147" s="666"/>
      <c r="E147" s="666"/>
      <c r="F147" s="899"/>
      <c r="G147" s="107"/>
      <c r="H147" s="107"/>
      <c r="I147" s="838"/>
      <c r="J147" s="96"/>
      <c r="K147" s="96"/>
      <c r="L147" s="178"/>
      <c r="M147" s="178"/>
      <c r="N147" s="178"/>
      <c r="O147" s="178"/>
      <c r="P147" s="178"/>
      <c r="Q147" s="178">
        <f>S147</f>
        <v>707.47199999999998</v>
      </c>
      <c r="R147" s="178">
        <f>S147</f>
        <v>707.47199999999998</v>
      </c>
      <c r="S147" s="178">
        <v>707.47199999999998</v>
      </c>
      <c r="T147" s="178"/>
      <c r="U147" s="178"/>
      <c r="V147" s="178"/>
      <c r="W147" s="178"/>
      <c r="X147" s="178"/>
      <c r="Y147" s="178"/>
      <c r="Z147" s="178">
        <f>AA147</f>
        <v>707.47199999999998</v>
      </c>
      <c r="AA147" s="178">
        <v>707.47199999999998</v>
      </c>
      <c r="AB147" s="178"/>
      <c r="AC147" s="178"/>
      <c r="AD147" s="178"/>
      <c r="AE147" s="178"/>
      <c r="AF147" s="178"/>
      <c r="AG147" s="178"/>
      <c r="AH147" s="178"/>
      <c r="AI147" s="178"/>
      <c r="AJ147" s="178"/>
      <c r="AK147" s="178"/>
      <c r="AL147" s="178"/>
      <c r="AM147" s="178"/>
      <c r="AN147" s="178"/>
      <c r="AO147" s="667"/>
      <c r="AP147" s="82">
        <f t="shared" ref="AP147:BG147" si="234">AP148</f>
        <v>1639</v>
      </c>
      <c r="AQ147" s="82">
        <f t="shared" si="234"/>
        <v>0</v>
      </c>
      <c r="AR147" s="82">
        <f t="shared" si="234"/>
        <v>0</v>
      </c>
      <c r="AS147" s="82">
        <f t="shared" si="234"/>
        <v>0</v>
      </c>
      <c r="AT147" s="82">
        <f t="shared" si="234"/>
        <v>0</v>
      </c>
      <c r="AU147" s="82">
        <f t="shared" si="234"/>
        <v>0</v>
      </c>
      <c r="AV147" s="82">
        <f t="shared" si="234"/>
        <v>0</v>
      </c>
      <c r="AW147" s="82">
        <f t="shared" si="234"/>
        <v>1639</v>
      </c>
      <c r="AX147" s="82">
        <f t="shared" si="234"/>
        <v>1639</v>
      </c>
      <c r="AY147" s="82">
        <f t="shared" si="234"/>
        <v>3856.433</v>
      </c>
      <c r="AZ147" s="82">
        <f t="shared" si="234"/>
        <v>3856.433</v>
      </c>
      <c r="BA147" s="82">
        <f t="shared" si="234"/>
        <v>0</v>
      </c>
      <c r="BB147" s="82">
        <f t="shared" si="234"/>
        <v>0</v>
      </c>
      <c r="BC147" s="82">
        <f t="shared" si="234"/>
        <v>0</v>
      </c>
      <c r="BD147" s="82">
        <f t="shared" si="234"/>
        <v>0</v>
      </c>
      <c r="BE147" s="82">
        <f t="shared" si="234"/>
        <v>0</v>
      </c>
      <c r="BF147" s="82">
        <f t="shared" si="234"/>
        <v>0</v>
      </c>
      <c r="BG147" s="82">
        <f t="shared" si="234"/>
        <v>0</v>
      </c>
      <c r="BH147" s="308"/>
      <c r="BI147" s="128">
        <v>0</v>
      </c>
      <c r="BJ147" s="129">
        <v>0</v>
      </c>
      <c r="BK147" s="129">
        <v>0</v>
      </c>
      <c r="BL147" s="129">
        <v>0</v>
      </c>
      <c r="BM147" s="128">
        <v>0</v>
      </c>
      <c r="BN147" s="129">
        <v>0</v>
      </c>
      <c r="BO147" s="129">
        <v>0</v>
      </c>
      <c r="BP147" s="129">
        <v>0</v>
      </c>
    </row>
    <row r="148" spans="1:68" ht="14.25" customHeight="1">
      <c r="A148" s="887"/>
      <c r="B148" s="1" t="s">
        <v>32</v>
      </c>
      <c r="C148" s="48"/>
      <c r="D148" s="48"/>
      <c r="E148" s="48"/>
      <c r="F148" s="900"/>
      <c r="G148" s="725">
        <v>2018</v>
      </c>
      <c r="H148" s="725">
        <v>2021</v>
      </c>
      <c r="I148" s="840"/>
      <c r="J148" s="27">
        <v>10536.1</v>
      </c>
      <c r="K148" s="27">
        <v>7029.34</v>
      </c>
      <c r="L148" s="22">
        <v>22724.14</v>
      </c>
      <c r="M148" s="22">
        <v>1753.38</v>
      </c>
      <c r="N148" s="22">
        <v>755.93</v>
      </c>
      <c r="O148" s="22">
        <v>997.45</v>
      </c>
      <c r="P148" s="22">
        <f>1.2*12958.65</f>
        <v>15550.38</v>
      </c>
      <c r="Q148" s="22">
        <v>0</v>
      </c>
      <c r="R148" s="22">
        <v>0</v>
      </c>
      <c r="S148" s="22">
        <v>0</v>
      </c>
      <c r="T148" s="22">
        <v>0</v>
      </c>
      <c r="U148" s="22">
        <v>0</v>
      </c>
      <c r="V148" s="22">
        <v>0</v>
      </c>
      <c r="W148" s="22">
        <v>0</v>
      </c>
      <c r="X148" s="22">
        <v>0</v>
      </c>
      <c r="Y148" s="22">
        <v>0</v>
      </c>
      <c r="Z148" s="22">
        <v>0</v>
      </c>
      <c r="AA148" s="22">
        <v>0</v>
      </c>
      <c r="AB148" s="22">
        <v>0</v>
      </c>
      <c r="AC148" s="22">
        <v>0</v>
      </c>
      <c r="AD148" s="22">
        <v>0</v>
      </c>
      <c r="AE148" s="22">
        <v>0</v>
      </c>
      <c r="AF148" s="22">
        <v>0</v>
      </c>
      <c r="AG148" s="22">
        <v>0</v>
      </c>
      <c r="AH148" s="22">
        <v>0</v>
      </c>
      <c r="AI148" s="22">
        <v>0</v>
      </c>
      <c r="AJ148" s="22">
        <v>0</v>
      </c>
      <c r="AK148" s="22">
        <v>0</v>
      </c>
      <c r="AL148" s="22">
        <v>0</v>
      </c>
      <c r="AM148" s="22">
        <v>0</v>
      </c>
      <c r="AN148" s="22">
        <v>0</v>
      </c>
      <c r="AO148" s="404"/>
      <c r="AP148" s="50">
        <f>SUM(AP149:AP152)</f>
        <v>1639</v>
      </c>
      <c r="AQ148" s="50">
        <f t="shared" ref="AQ148:BB148" si="235">SUM(AQ149:AQ152)</f>
        <v>0</v>
      </c>
      <c r="AR148" s="50">
        <f t="shared" si="235"/>
        <v>0</v>
      </c>
      <c r="AS148" s="50">
        <f t="shared" si="235"/>
        <v>0</v>
      </c>
      <c r="AT148" s="50">
        <f t="shared" si="235"/>
        <v>0</v>
      </c>
      <c r="AU148" s="50">
        <f t="shared" si="235"/>
        <v>0</v>
      </c>
      <c r="AV148" s="50">
        <f t="shared" si="235"/>
        <v>0</v>
      </c>
      <c r="AW148" s="50">
        <f t="shared" si="235"/>
        <v>1639</v>
      </c>
      <c r="AX148" s="50">
        <f t="shared" si="235"/>
        <v>1639</v>
      </c>
      <c r="AY148" s="50">
        <f t="shared" si="235"/>
        <v>3856.433</v>
      </c>
      <c r="AZ148" s="50">
        <f t="shared" si="235"/>
        <v>3856.433</v>
      </c>
      <c r="BA148" s="50">
        <f t="shared" si="235"/>
        <v>0</v>
      </c>
      <c r="BB148" s="50">
        <f t="shared" si="235"/>
        <v>0</v>
      </c>
      <c r="BC148" s="50">
        <f>SUM(BC149:BC152)</f>
        <v>0</v>
      </c>
      <c r="BD148" s="50">
        <f t="shared" ref="BD148:BG148" si="236">SUM(BD149:BD152)</f>
        <v>0</v>
      </c>
      <c r="BE148" s="50">
        <f t="shared" si="236"/>
        <v>0</v>
      </c>
      <c r="BF148" s="50">
        <f t="shared" si="236"/>
        <v>0</v>
      </c>
      <c r="BG148" s="50">
        <f t="shared" si="236"/>
        <v>0</v>
      </c>
      <c r="BH148" s="50"/>
      <c r="BI148" s="125">
        <v>0</v>
      </c>
      <c r="BJ148" s="126">
        <v>0</v>
      </c>
      <c r="BK148" s="126">
        <v>0</v>
      </c>
      <c r="BL148" s="126">
        <v>0</v>
      </c>
      <c r="BM148" s="125">
        <v>0</v>
      </c>
      <c r="BN148" s="126">
        <v>0</v>
      </c>
      <c r="BO148" s="126">
        <v>0</v>
      </c>
      <c r="BP148" s="126">
        <v>0</v>
      </c>
    </row>
    <row r="149" spans="1:68" ht="81.75" customHeight="1">
      <c r="A149" s="832" t="s">
        <v>63</v>
      </c>
      <c r="B149" s="80" t="s">
        <v>364</v>
      </c>
      <c r="C149" s="901"/>
      <c r="D149" s="901"/>
      <c r="E149" s="901"/>
      <c r="F149" s="1010"/>
      <c r="G149" s="930">
        <v>2019</v>
      </c>
      <c r="H149" s="915">
        <v>2021</v>
      </c>
      <c r="I149" s="910" t="s">
        <v>19</v>
      </c>
      <c r="J149" s="911">
        <f>K149+L149</f>
        <v>74500.679999999993</v>
      </c>
      <c r="K149" s="957">
        <v>0</v>
      </c>
      <c r="L149" s="81">
        <f>L150</f>
        <v>74500.679999999993</v>
      </c>
      <c r="M149" s="81">
        <f t="shared" ref="M149:P149" si="237">M150</f>
        <v>24180.74</v>
      </c>
      <c r="N149" s="81">
        <f t="shared" si="237"/>
        <v>24180.74</v>
      </c>
      <c r="O149" s="81">
        <f t="shared" si="237"/>
        <v>13819.52</v>
      </c>
      <c r="P149" s="81">
        <f t="shared" si="237"/>
        <v>31367.040000000001</v>
      </c>
      <c r="Q149" s="85">
        <f>Q150</f>
        <v>0</v>
      </c>
      <c r="R149" s="85">
        <f t="shared" ref="R149:W149" si="238">R150</f>
        <v>0</v>
      </c>
      <c r="S149" s="85">
        <f t="shared" si="238"/>
        <v>0</v>
      </c>
      <c r="T149" s="85">
        <f t="shared" si="238"/>
        <v>0</v>
      </c>
      <c r="U149" s="85">
        <f t="shared" si="238"/>
        <v>0</v>
      </c>
      <c r="V149" s="85">
        <f t="shared" si="238"/>
        <v>0</v>
      </c>
      <c r="W149" s="85">
        <f t="shared" si="238"/>
        <v>0</v>
      </c>
      <c r="X149" s="85">
        <f>X150</f>
        <v>0</v>
      </c>
      <c r="Y149" s="85">
        <f>Y150</f>
        <v>0</v>
      </c>
      <c r="Z149" s="85">
        <f>Z150</f>
        <v>0</v>
      </c>
      <c r="AA149" s="85">
        <f>AA150</f>
        <v>0</v>
      </c>
      <c r="AB149" s="85">
        <f>AB150</f>
        <v>0</v>
      </c>
      <c r="AC149" s="85">
        <f t="shared" ref="AC149:AN149" si="239">AC150</f>
        <v>0</v>
      </c>
      <c r="AD149" s="85">
        <f t="shared" si="239"/>
        <v>0</v>
      </c>
      <c r="AE149" s="85">
        <f t="shared" si="239"/>
        <v>0</v>
      </c>
      <c r="AF149" s="85">
        <f t="shared" si="239"/>
        <v>0</v>
      </c>
      <c r="AG149" s="85">
        <f t="shared" si="239"/>
        <v>0</v>
      </c>
      <c r="AH149" s="85">
        <f t="shared" si="239"/>
        <v>0</v>
      </c>
      <c r="AI149" s="85">
        <f t="shared" si="239"/>
        <v>0</v>
      </c>
      <c r="AJ149" s="82">
        <v>0</v>
      </c>
      <c r="AK149" s="82">
        <f>AJ149</f>
        <v>0</v>
      </c>
      <c r="AL149" s="82">
        <f>ROUND((Q149*100%/P149*100),2)</f>
        <v>0</v>
      </c>
      <c r="AM149" s="85">
        <f t="shared" si="239"/>
        <v>0</v>
      </c>
      <c r="AN149" s="85">
        <f t="shared" si="239"/>
        <v>0</v>
      </c>
      <c r="AO149" s="434" t="s">
        <v>306</v>
      </c>
      <c r="AP149" s="268">
        <f>AX149</f>
        <v>6</v>
      </c>
      <c r="AQ149" s="268"/>
      <c r="AR149" s="268"/>
      <c r="AS149" s="268"/>
      <c r="AT149" s="268"/>
      <c r="AU149" s="268"/>
      <c r="AV149" s="268"/>
      <c r="AW149" s="268">
        <f>AX149</f>
        <v>6</v>
      </c>
      <c r="AX149" s="268">
        <f>6</f>
        <v>6</v>
      </c>
      <c r="AY149" s="268">
        <f>AZ149</f>
        <v>943.43299999999999</v>
      </c>
      <c r="AZ149" s="268">
        <f>917.433+20+6</f>
        <v>943.43299999999999</v>
      </c>
      <c r="BA149" s="268"/>
      <c r="BB149" s="268"/>
      <c r="BC149" s="268"/>
      <c r="BD149" s="268"/>
      <c r="BE149" s="268"/>
      <c r="BF149" s="268"/>
      <c r="BG149" s="268"/>
      <c r="BH149" s="268"/>
      <c r="BI149" s="81">
        <f t="shared" ref="BI149:BP149" si="240">BI150+BI151</f>
        <v>0</v>
      </c>
      <c r="BJ149" s="81">
        <f t="shared" si="240"/>
        <v>0</v>
      </c>
      <c r="BK149" s="81">
        <f t="shared" si="240"/>
        <v>0</v>
      </c>
      <c r="BL149" s="81">
        <f t="shared" si="240"/>
        <v>0</v>
      </c>
      <c r="BM149" s="81">
        <f t="shared" si="240"/>
        <v>0</v>
      </c>
      <c r="BN149" s="81">
        <f t="shared" si="240"/>
        <v>0</v>
      </c>
      <c r="BO149" s="81">
        <f t="shared" si="240"/>
        <v>0</v>
      </c>
      <c r="BP149" s="81">
        <f t="shared" si="240"/>
        <v>0</v>
      </c>
    </row>
    <row r="150" spans="1:68" ht="18" customHeight="1">
      <c r="A150" s="827"/>
      <c r="B150" s="1" t="s">
        <v>16</v>
      </c>
      <c r="C150" s="901"/>
      <c r="D150" s="901"/>
      <c r="E150" s="901"/>
      <c r="F150" s="1010"/>
      <c r="G150" s="930"/>
      <c r="H150" s="916"/>
      <c r="I150" s="910"/>
      <c r="J150" s="911"/>
      <c r="K150" s="958"/>
      <c r="L150" s="75">
        <v>74500.679999999993</v>
      </c>
      <c r="M150" s="86">
        <v>24180.74</v>
      </c>
      <c r="N150" s="86">
        <v>24180.74</v>
      </c>
      <c r="O150" s="86">
        <v>13819.52</v>
      </c>
      <c r="P150" s="86">
        <f>26139.2*1.2</f>
        <v>31367.040000000001</v>
      </c>
      <c r="Q150" s="86">
        <v>0</v>
      </c>
      <c r="R150" s="86">
        <f t="shared" ref="R150:W150" si="241">SUM(R151:R157)</f>
        <v>0</v>
      </c>
      <c r="S150" s="86">
        <f t="shared" si="241"/>
        <v>0</v>
      </c>
      <c r="T150" s="86">
        <f t="shared" si="241"/>
        <v>0</v>
      </c>
      <c r="U150" s="86">
        <f t="shared" si="241"/>
        <v>0</v>
      </c>
      <c r="V150" s="86">
        <f t="shared" si="241"/>
        <v>0</v>
      </c>
      <c r="W150" s="86">
        <f t="shared" si="241"/>
        <v>0</v>
      </c>
      <c r="X150" s="86">
        <v>0</v>
      </c>
      <c r="Y150" s="86">
        <f>SUM(Y151:Y157)</f>
        <v>0</v>
      </c>
      <c r="Z150" s="86">
        <f>SUM(Z151:Z157)</f>
        <v>0</v>
      </c>
      <c r="AA150" s="86">
        <f>SUM(AA151:AA157)</f>
        <v>0</v>
      </c>
      <c r="AB150" s="86">
        <f>SUM(AB151:AB157)</f>
        <v>0</v>
      </c>
      <c r="AC150" s="86">
        <f t="shared" ref="AC150:AD150" si="242">SUM(AC151:AC157)</f>
        <v>0</v>
      </c>
      <c r="AD150" s="86">
        <f t="shared" si="242"/>
        <v>0</v>
      </c>
      <c r="AE150" s="86">
        <f>SUM(AF150:AH150)</f>
        <v>0</v>
      </c>
      <c r="AF150" s="86">
        <f t="shared" ref="AF150:AG150" si="243">SUM(AF151:AF157)</f>
        <v>0</v>
      </c>
      <c r="AG150" s="86">
        <f t="shared" si="243"/>
        <v>0</v>
      </c>
      <c r="AH150" s="86">
        <v>0</v>
      </c>
      <c r="AI150" s="86">
        <v>0</v>
      </c>
      <c r="AJ150" s="86">
        <f t="shared" ref="AJ150:AN150" si="244">SUM(AJ151:AJ157)</f>
        <v>0</v>
      </c>
      <c r="AK150" s="86">
        <f t="shared" si="244"/>
        <v>0</v>
      </c>
      <c r="AL150" s="86">
        <f t="shared" si="244"/>
        <v>0</v>
      </c>
      <c r="AM150" s="86">
        <f t="shared" si="244"/>
        <v>0</v>
      </c>
      <c r="AN150" s="86">
        <f t="shared" si="244"/>
        <v>0</v>
      </c>
      <c r="AO150" s="416"/>
      <c r="AP150" s="268">
        <f t="shared" ref="AP150:AP152" si="245">AX150</f>
        <v>270</v>
      </c>
      <c r="AQ150" s="268"/>
      <c r="AR150" s="268"/>
      <c r="AS150" s="268"/>
      <c r="AT150" s="268"/>
      <c r="AU150" s="268"/>
      <c r="AV150" s="268"/>
      <c r="AW150" s="268">
        <f t="shared" ref="AW150:AW152" si="246">AX150</f>
        <v>270</v>
      </c>
      <c r="AX150" s="268">
        <v>270</v>
      </c>
      <c r="AY150" s="268">
        <f t="shared" ref="AY150:AY152" si="247">AZ150</f>
        <v>990</v>
      </c>
      <c r="AZ150" s="268">
        <v>990</v>
      </c>
      <c r="BA150" s="268"/>
      <c r="BB150" s="268"/>
      <c r="BC150" s="268"/>
      <c r="BD150" s="268"/>
      <c r="BE150" s="268"/>
      <c r="BF150" s="268"/>
      <c r="BG150" s="268"/>
      <c r="BH150" s="268"/>
      <c r="BI150" s="125">
        <v>0</v>
      </c>
      <c r="BJ150" s="126">
        <v>0</v>
      </c>
      <c r="BK150" s="126">
        <v>0</v>
      </c>
      <c r="BL150" s="126">
        <v>0</v>
      </c>
      <c r="BM150" s="125">
        <v>0</v>
      </c>
      <c r="BN150" s="126">
        <v>0</v>
      </c>
      <c r="BO150" s="126">
        <v>0</v>
      </c>
      <c r="BP150" s="126">
        <v>0</v>
      </c>
    </row>
    <row r="151" spans="1:68" s="100" customFormat="1" ht="18" hidden="1" customHeight="1">
      <c r="A151" s="332"/>
      <c r="B151" s="257" t="s">
        <v>154</v>
      </c>
      <c r="C151" s="258"/>
      <c r="D151" s="258"/>
      <c r="E151" s="258"/>
      <c r="F151" s="259"/>
      <c r="G151" s="260"/>
      <c r="H151" s="261"/>
      <c r="I151" s="107"/>
      <c r="J151" s="101"/>
      <c r="K151" s="262"/>
      <c r="L151" s="263"/>
      <c r="M151" s="264"/>
      <c r="N151" s="264"/>
      <c r="O151" s="264"/>
      <c r="P151" s="86"/>
      <c r="Q151" s="264">
        <f>S151+U151</f>
        <v>0</v>
      </c>
      <c r="R151" s="264">
        <f>S151</f>
        <v>0</v>
      </c>
      <c r="S151" s="264">
        <v>0</v>
      </c>
      <c r="T151" s="264">
        <v>0</v>
      </c>
      <c r="U151" s="264">
        <v>0</v>
      </c>
      <c r="V151" s="264"/>
      <c r="W151" s="264"/>
      <c r="X151" s="264"/>
      <c r="Y151" s="264"/>
      <c r="Z151" s="264">
        <v>0</v>
      </c>
      <c r="AA151" s="264"/>
      <c r="AB151" s="264"/>
      <c r="AC151" s="264"/>
      <c r="AD151" s="264"/>
      <c r="AE151" s="264">
        <f>SUM(AF151:AF151)</f>
        <v>0</v>
      </c>
      <c r="AF151" s="264"/>
      <c r="AG151" s="264"/>
      <c r="AH151" s="264"/>
      <c r="AI151" s="264"/>
      <c r="AJ151" s="264"/>
      <c r="AK151" s="264"/>
      <c r="AL151" s="264"/>
      <c r="AM151" s="264"/>
      <c r="AN151" s="264"/>
      <c r="AO151" s="419"/>
      <c r="AP151" s="268">
        <f t="shared" si="245"/>
        <v>388</v>
      </c>
      <c r="AQ151" s="268"/>
      <c r="AR151" s="268"/>
      <c r="AS151" s="268"/>
      <c r="AT151" s="268"/>
      <c r="AU151" s="268"/>
      <c r="AV151" s="268"/>
      <c r="AW151" s="268">
        <f t="shared" si="246"/>
        <v>388</v>
      </c>
      <c r="AX151" s="268">
        <v>388</v>
      </c>
      <c r="AY151" s="268">
        <f t="shared" si="247"/>
        <v>948</v>
      </c>
      <c r="AZ151" s="268">
        <v>948</v>
      </c>
      <c r="BA151" s="268"/>
      <c r="BB151" s="268"/>
      <c r="BC151" s="268"/>
      <c r="BD151" s="268"/>
      <c r="BE151" s="268"/>
      <c r="BF151" s="268"/>
      <c r="BG151" s="268"/>
      <c r="BH151" s="268"/>
      <c r="BI151" s="146"/>
      <c r="BJ151" s="144"/>
      <c r="BK151" s="144"/>
      <c r="BL151" s="144"/>
      <c r="BM151" s="145"/>
      <c r="BN151" s="145"/>
      <c r="BO151" s="145"/>
      <c r="BP151" s="145"/>
    </row>
    <row r="152" spans="1:68" s="100" customFormat="1" ht="18" hidden="1" customHeight="1">
      <c r="A152" s="332"/>
      <c r="B152" s="257" t="s">
        <v>161</v>
      </c>
      <c r="C152" s="258"/>
      <c r="D152" s="258"/>
      <c r="E152" s="258"/>
      <c r="F152" s="259"/>
      <c r="G152" s="260"/>
      <c r="H152" s="261"/>
      <c r="I152" s="107"/>
      <c r="J152" s="101"/>
      <c r="K152" s="262"/>
      <c r="L152" s="263"/>
      <c r="M152" s="264"/>
      <c r="N152" s="264"/>
      <c r="O152" s="264"/>
      <c r="P152" s="86"/>
      <c r="Q152" s="264">
        <f>S152+U152+W152</f>
        <v>0</v>
      </c>
      <c r="R152" s="264"/>
      <c r="S152" s="264"/>
      <c r="T152" s="264"/>
      <c r="U152" s="264"/>
      <c r="V152" s="264">
        <v>0</v>
      </c>
      <c r="W152" s="264">
        <v>0</v>
      </c>
      <c r="X152" s="264"/>
      <c r="Y152" s="264"/>
      <c r="Z152" s="264">
        <v>0</v>
      </c>
      <c r="AA152" s="264">
        <v>0</v>
      </c>
      <c r="AB152" s="264"/>
      <c r="AC152" s="264"/>
      <c r="AD152" s="264"/>
      <c r="AE152" s="264">
        <f>SUM(AF152:AF152)</f>
        <v>0</v>
      </c>
      <c r="AF152" s="264"/>
      <c r="AG152" s="264"/>
      <c r="AH152" s="264"/>
      <c r="AI152" s="264"/>
      <c r="AJ152" s="264"/>
      <c r="AK152" s="264"/>
      <c r="AL152" s="264"/>
      <c r="AM152" s="264"/>
      <c r="AN152" s="264"/>
      <c r="AO152" s="419"/>
      <c r="AP152" s="268">
        <f t="shared" si="245"/>
        <v>975</v>
      </c>
      <c r="AQ152" s="268"/>
      <c r="AR152" s="268"/>
      <c r="AS152" s="268"/>
      <c r="AT152" s="268"/>
      <c r="AU152" s="268"/>
      <c r="AV152" s="268"/>
      <c r="AW152" s="268">
        <f t="shared" si="246"/>
        <v>975</v>
      </c>
      <c r="AX152" s="268">
        <f>292.5+682.5</f>
        <v>975</v>
      </c>
      <c r="AY152" s="268">
        <f t="shared" si="247"/>
        <v>975</v>
      </c>
      <c r="AZ152" s="268">
        <v>975</v>
      </c>
      <c r="BA152" s="268"/>
      <c r="BB152" s="268"/>
      <c r="BC152" s="268"/>
      <c r="BD152" s="268"/>
      <c r="BE152" s="268"/>
      <c r="BF152" s="268"/>
      <c r="BG152" s="268"/>
      <c r="BH152" s="268"/>
      <c r="BI152" s="142"/>
      <c r="BJ152" s="141"/>
      <c r="BK152" s="141"/>
      <c r="BL152" s="141"/>
      <c r="BM152" s="141"/>
      <c r="BN152" s="141"/>
      <c r="BO152" s="141"/>
      <c r="BP152" s="141"/>
    </row>
    <row r="153" spans="1:68" s="100" customFormat="1" ht="26.25" hidden="1" customHeight="1">
      <c r="A153" s="332"/>
      <c r="B153" s="257" t="s">
        <v>234</v>
      </c>
      <c r="C153" s="258"/>
      <c r="D153" s="258"/>
      <c r="E153" s="258"/>
      <c r="F153" s="259"/>
      <c r="G153" s="260"/>
      <c r="H153" s="261"/>
      <c r="I153" s="107"/>
      <c r="J153" s="101"/>
      <c r="K153" s="262"/>
      <c r="L153" s="263"/>
      <c r="M153" s="264"/>
      <c r="N153" s="264"/>
      <c r="O153" s="264"/>
      <c r="P153" s="86"/>
      <c r="Q153" s="264">
        <f>S153+U153+W153+Y153</f>
        <v>0</v>
      </c>
      <c r="R153" s="264"/>
      <c r="S153" s="264"/>
      <c r="T153" s="264"/>
      <c r="U153" s="264"/>
      <c r="V153" s="264"/>
      <c r="W153" s="264"/>
      <c r="X153" s="264">
        <v>0</v>
      </c>
      <c r="Y153" s="264">
        <v>0</v>
      </c>
      <c r="Z153" s="264">
        <v>0</v>
      </c>
      <c r="AA153" s="264">
        <v>0</v>
      </c>
      <c r="AB153" s="264"/>
      <c r="AC153" s="264"/>
      <c r="AD153" s="264"/>
      <c r="AE153" s="264">
        <f>SUM(AF153:AF153)</f>
        <v>0</v>
      </c>
      <c r="AF153" s="264"/>
      <c r="AG153" s="264"/>
      <c r="AH153" s="264"/>
      <c r="AI153" s="264"/>
      <c r="AJ153" s="264"/>
      <c r="AK153" s="264"/>
      <c r="AL153" s="264"/>
      <c r="AM153" s="264"/>
      <c r="AN153" s="264"/>
      <c r="AO153" s="419"/>
      <c r="AP153" s="82">
        <f t="shared" ref="AP153:BG153" si="248">AP154</f>
        <v>2630.0219999999999</v>
      </c>
      <c r="AQ153" s="82">
        <f t="shared" si="248"/>
        <v>0</v>
      </c>
      <c r="AR153" s="82">
        <f t="shared" si="248"/>
        <v>0</v>
      </c>
      <c r="AS153" s="82">
        <f t="shared" si="248"/>
        <v>0</v>
      </c>
      <c r="AT153" s="82">
        <f t="shared" si="248"/>
        <v>0</v>
      </c>
      <c r="AU153" s="82">
        <f t="shared" si="248"/>
        <v>0</v>
      </c>
      <c r="AV153" s="82">
        <f t="shared" si="248"/>
        <v>0</v>
      </c>
      <c r="AW153" s="82">
        <f t="shared" si="248"/>
        <v>2630.0219999999999</v>
      </c>
      <c r="AX153" s="82">
        <f t="shared" si="248"/>
        <v>2630.0219999999999</v>
      </c>
      <c r="AY153" s="82">
        <f t="shared" si="248"/>
        <v>3750.0219999999999</v>
      </c>
      <c r="AZ153" s="82">
        <f t="shared" si="248"/>
        <v>3750.0219999999999</v>
      </c>
      <c r="BA153" s="82">
        <f t="shared" si="248"/>
        <v>0</v>
      </c>
      <c r="BB153" s="82">
        <f t="shared" si="248"/>
        <v>0</v>
      </c>
      <c r="BC153" s="82">
        <f t="shared" si="248"/>
        <v>0</v>
      </c>
      <c r="BD153" s="82">
        <f t="shared" si="248"/>
        <v>0</v>
      </c>
      <c r="BE153" s="82">
        <f t="shared" si="248"/>
        <v>0</v>
      </c>
      <c r="BF153" s="82">
        <f t="shared" si="248"/>
        <v>0</v>
      </c>
      <c r="BG153" s="82">
        <f t="shared" si="248"/>
        <v>0</v>
      </c>
      <c r="BH153" s="308"/>
      <c r="BI153" s="128">
        <v>0</v>
      </c>
      <c r="BJ153" s="129">
        <v>0</v>
      </c>
      <c r="BK153" s="129">
        <v>0</v>
      </c>
      <c r="BL153" s="129">
        <v>0</v>
      </c>
      <c r="BM153" s="128">
        <v>0</v>
      </c>
      <c r="BN153" s="129">
        <v>0</v>
      </c>
      <c r="BO153" s="129">
        <v>0</v>
      </c>
      <c r="BP153" s="129">
        <v>0</v>
      </c>
    </row>
    <row r="154" spans="1:68" s="100" customFormat="1" ht="18" hidden="1" customHeight="1">
      <c r="A154" s="332"/>
      <c r="B154" s="257" t="s">
        <v>235</v>
      </c>
      <c r="C154" s="258"/>
      <c r="D154" s="258"/>
      <c r="E154" s="258"/>
      <c r="F154" s="259"/>
      <c r="G154" s="260"/>
      <c r="H154" s="261"/>
      <c r="I154" s="107"/>
      <c r="J154" s="101"/>
      <c r="K154" s="262"/>
      <c r="L154" s="263"/>
      <c r="M154" s="264"/>
      <c r="N154" s="264"/>
      <c r="O154" s="264"/>
      <c r="P154" s="86"/>
      <c r="Q154" s="264">
        <f>S154+U154+W154+Y154</f>
        <v>0</v>
      </c>
      <c r="R154" s="264">
        <f>S154</f>
        <v>0</v>
      </c>
      <c r="S154" s="264">
        <v>0</v>
      </c>
      <c r="T154" s="264">
        <v>0</v>
      </c>
      <c r="U154" s="264">
        <v>0</v>
      </c>
      <c r="V154" s="264"/>
      <c r="W154" s="264">
        <v>0</v>
      </c>
      <c r="X154" s="264">
        <v>0</v>
      </c>
      <c r="Y154" s="264">
        <v>0</v>
      </c>
      <c r="Z154" s="264">
        <f>AA154+AB154</f>
        <v>0</v>
      </c>
      <c r="AA154" s="264">
        <v>0</v>
      </c>
      <c r="AB154" s="264">
        <v>0</v>
      </c>
      <c r="AC154" s="264">
        <v>0</v>
      </c>
      <c r="AD154" s="264"/>
      <c r="AE154" s="264">
        <f>SUM(AF154:AF154)</f>
        <v>0</v>
      </c>
      <c r="AF154" s="264"/>
      <c r="AG154" s="264"/>
      <c r="AH154" s="264"/>
      <c r="AI154" s="264"/>
      <c r="AJ154" s="264"/>
      <c r="AK154" s="264"/>
      <c r="AL154" s="264"/>
      <c r="AM154" s="264"/>
      <c r="AN154" s="264"/>
      <c r="AO154" s="419"/>
      <c r="AP154" s="50">
        <f>SUM(AP155:AP158)</f>
        <v>2630.0219999999999</v>
      </c>
      <c r="AQ154" s="50">
        <f t="shared" ref="AQ154:BB154" si="249">SUM(AQ155:AQ158)</f>
        <v>0</v>
      </c>
      <c r="AR154" s="50">
        <f t="shared" si="249"/>
        <v>0</v>
      </c>
      <c r="AS154" s="50">
        <f t="shared" si="249"/>
        <v>0</v>
      </c>
      <c r="AT154" s="50">
        <f t="shared" si="249"/>
        <v>0</v>
      </c>
      <c r="AU154" s="50">
        <f t="shared" si="249"/>
        <v>0</v>
      </c>
      <c r="AV154" s="50">
        <f t="shared" si="249"/>
        <v>0</v>
      </c>
      <c r="AW154" s="50">
        <f t="shared" si="249"/>
        <v>2630.0219999999999</v>
      </c>
      <c r="AX154" s="50">
        <f t="shared" si="249"/>
        <v>2630.0219999999999</v>
      </c>
      <c r="AY154" s="50">
        <f t="shared" si="249"/>
        <v>3750.0219999999999</v>
      </c>
      <c r="AZ154" s="50">
        <f t="shared" si="249"/>
        <v>3750.0219999999999</v>
      </c>
      <c r="BA154" s="50">
        <f t="shared" si="249"/>
        <v>0</v>
      </c>
      <c r="BB154" s="50">
        <f t="shared" si="249"/>
        <v>0</v>
      </c>
      <c r="BC154" s="50">
        <v>0</v>
      </c>
      <c r="BD154" s="50">
        <v>0</v>
      </c>
      <c r="BE154" s="50">
        <v>0</v>
      </c>
      <c r="BF154" s="50">
        <v>0</v>
      </c>
      <c r="BG154" s="50">
        <v>0</v>
      </c>
      <c r="BH154" s="50"/>
      <c r="BI154" s="125">
        <v>0</v>
      </c>
      <c r="BJ154" s="126">
        <v>0</v>
      </c>
      <c r="BK154" s="126">
        <v>0</v>
      </c>
      <c r="BL154" s="126">
        <v>0</v>
      </c>
      <c r="BM154" s="125">
        <v>0</v>
      </c>
      <c r="BN154" s="126">
        <v>0</v>
      </c>
      <c r="BO154" s="126">
        <v>0</v>
      </c>
      <c r="BP154" s="126">
        <v>0</v>
      </c>
    </row>
    <row r="155" spans="1:68" s="100" customFormat="1" ht="18" hidden="1" customHeight="1">
      <c r="A155" s="332"/>
      <c r="B155" s="257" t="s">
        <v>236</v>
      </c>
      <c r="C155" s="258"/>
      <c r="D155" s="258"/>
      <c r="E155" s="258"/>
      <c r="F155" s="259"/>
      <c r="G155" s="260"/>
      <c r="H155" s="261"/>
      <c r="I155" s="107"/>
      <c r="J155" s="101"/>
      <c r="K155" s="262"/>
      <c r="L155" s="263"/>
      <c r="M155" s="264"/>
      <c r="N155" s="264"/>
      <c r="O155" s="264"/>
      <c r="P155" s="86"/>
      <c r="Q155" s="264">
        <f t="shared" ref="Q155:Q157" si="250">S155+U155+W155+Y155</f>
        <v>0</v>
      </c>
      <c r="R155" s="264"/>
      <c r="S155" s="264"/>
      <c r="T155" s="264">
        <v>0</v>
      </c>
      <c r="U155" s="264">
        <v>0</v>
      </c>
      <c r="V155" s="264"/>
      <c r="W155" s="264"/>
      <c r="X155" s="264">
        <v>0</v>
      </c>
      <c r="Y155" s="264">
        <v>0</v>
      </c>
      <c r="Z155" s="264">
        <f t="shared" ref="Z155:Z156" si="251">AA155+AB155</f>
        <v>0</v>
      </c>
      <c r="AA155" s="264">
        <v>0</v>
      </c>
      <c r="AB155" s="264"/>
      <c r="AC155" s="264"/>
      <c r="AD155" s="264"/>
      <c r="AE155" s="264">
        <f>SUM(AF155:AF155)</f>
        <v>0</v>
      </c>
      <c r="AF155" s="264"/>
      <c r="AG155" s="264"/>
      <c r="AH155" s="264"/>
      <c r="AI155" s="264"/>
      <c r="AJ155" s="264"/>
      <c r="AK155" s="264"/>
      <c r="AL155" s="264"/>
      <c r="AM155" s="264"/>
      <c r="AN155" s="264"/>
      <c r="AO155" s="419"/>
      <c r="AP155" s="268">
        <f>AX155</f>
        <v>510</v>
      </c>
      <c r="AQ155" s="268"/>
      <c r="AR155" s="268"/>
      <c r="AS155" s="268"/>
      <c r="AT155" s="268"/>
      <c r="AU155" s="268"/>
      <c r="AV155" s="268"/>
      <c r="AW155" s="268">
        <f>AX155</f>
        <v>510</v>
      </c>
      <c r="AX155" s="268">
        <f>270+240</f>
        <v>510</v>
      </c>
      <c r="AY155" s="268">
        <f>AZ155</f>
        <v>990</v>
      </c>
      <c r="AZ155" s="268">
        <v>990</v>
      </c>
      <c r="BA155" s="268"/>
      <c r="BB155" s="268"/>
      <c r="BC155" s="268"/>
      <c r="BD155" s="268"/>
      <c r="BE155" s="268"/>
      <c r="BF155" s="268"/>
      <c r="BG155" s="268"/>
      <c r="BH155" s="268"/>
      <c r="BI155" s="142"/>
      <c r="BJ155" s="141"/>
      <c r="BK155" s="141"/>
      <c r="BL155" s="141"/>
      <c r="BM155" s="141"/>
      <c r="BN155" s="141"/>
      <c r="BO155" s="141"/>
      <c r="BP155" s="141"/>
    </row>
    <row r="156" spans="1:68" s="100" customFormat="1" ht="18" hidden="1" customHeight="1">
      <c r="A156" s="332"/>
      <c r="B156" s="257" t="s">
        <v>267</v>
      </c>
      <c r="C156" s="258"/>
      <c r="D156" s="258"/>
      <c r="E156" s="258"/>
      <c r="F156" s="259"/>
      <c r="G156" s="260"/>
      <c r="H156" s="261"/>
      <c r="I156" s="107"/>
      <c r="J156" s="101"/>
      <c r="K156" s="262"/>
      <c r="L156" s="263"/>
      <c r="M156" s="264"/>
      <c r="N156" s="264"/>
      <c r="O156" s="264"/>
      <c r="P156" s="86"/>
      <c r="Q156" s="264">
        <v>0</v>
      </c>
      <c r="R156" s="264"/>
      <c r="S156" s="264"/>
      <c r="T156" s="264">
        <v>0</v>
      </c>
      <c r="U156" s="264">
        <v>0</v>
      </c>
      <c r="V156" s="264"/>
      <c r="W156" s="264"/>
      <c r="X156" s="264"/>
      <c r="Y156" s="264"/>
      <c r="Z156" s="264">
        <f t="shared" si="251"/>
        <v>0</v>
      </c>
      <c r="AA156" s="264"/>
      <c r="AB156" s="264">
        <v>0</v>
      </c>
      <c r="AC156" s="264"/>
      <c r="AD156" s="264"/>
      <c r="AE156" s="264"/>
      <c r="AF156" s="264"/>
      <c r="AG156" s="264"/>
      <c r="AH156" s="264"/>
      <c r="AI156" s="264"/>
      <c r="AJ156" s="264"/>
      <c r="AK156" s="264"/>
      <c r="AL156" s="264"/>
      <c r="AM156" s="264"/>
      <c r="AN156" s="264"/>
      <c r="AO156" s="419"/>
      <c r="AP156" s="268">
        <f t="shared" ref="AP156:AP158" si="252">AX156</f>
        <v>320</v>
      </c>
      <c r="AQ156" s="268"/>
      <c r="AR156" s="268"/>
      <c r="AS156" s="268"/>
      <c r="AT156" s="268"/>
      <c r="AU156" s="268"/>
      <c r="AV156" s="268"/>
      <c r="AW156" s="268">
        <f t="shared" ref="AW156:AW158" si="253">AX156</f>
        <v>320</v>
      </c>
      <c r="AX156" s="268">
        <v>320</v>
      </c>
      <c r="AY156" s="268">
        <f t="shared" ref="AY156:AY158" si="254">AZ156</f>
        <v>960</v>
      </c>
      <c r="AZ156" s="268">
        <v>960</v>
      </c>
      <c r="BA156" s="268"/>
      <c r="BB156" s="268"/>
      <c r="BC156" s="268"/>
      <c r="BD156" s="268"/>
      <c r="BE156" s="268"/>
      <c r="BF156" s="268"/>
      <c r="BG156" s="268"/>
      <c r="BH156" s="268"/>
      <c r="BI156" s="144"/>
      <c r="BJ156" s="144"/>
      <c r="BK156" s="144"/>
      <c r="BL156" s="144"/>
      <c r="BM156" s="145"/>
      <c r="BN156" s="145"/>
      <c r="BO156" s="145"/>
      <c r="BP156" s="145"/>
    </row>
    <row r="157" spans="1:68" s="100" customFormat="1" ht="18" hidden="1" customHeight="1">
      <c r="A157" s="332"/>
      <c r="B157" s="257" t="s">
        <v>155</v>
      </c>
      <c r="C157" s="258"/>
      <c r="D157" s="258"/>
      <c r="E157" s="258"/>
      <c r="F157" s="259"/>
      <c r="G157" s="260"/>
      <c r="H157" s="261"/>
      <c r="I157" s="107"/>
      <c r="J157" s="101"/>
      <c r="K157" s="262"/>
      <c r="L157" s="263"/>
      <c r="M157" s="264"/>
      <c r="N157" s="264"/>
      <c r="O157" s="264"/>
      <c r="P157" s="86"/>
      <c r="Q157" s="264">
        <f t="shared" si="250"/>
        <v>0</v>
      </c>
      <c r="R157" s="264">
        <f>S157</f>
        <v>0</v>
      </c>
      <c r="S157" s="264">
        <v>0</v>
      </c>
      <c r="T157" s="264">
        <v>0</v>
      </c>
      <c r="U157" s="264">
        <v>0</v>
      </c>
      <c r="V157" s="264"/>
      <c r="W157" s="264"/>
      <c r="X157" s="264">
        <v>0</v>
      </c>
      <c r="Y157" s="264">
        <v>0</v>
      </c>
      <c r="Z157" s="264">
        <v>0</v>
      </c>
      <c r="AA157" s="264">
        <v>0</v>
      </c>
      <c r="AB157" s="264"/>
      <c r="AC157" s="264"/>
      <c r="AD157" s="264"/>
      <c r="AE157" s="264">
        <f>SUM(AF157:AF157)</f>
        <v>0</v>
      </c>
      <c r="AF157" s="264"/>
      <c r="AG157" s="264"/>
      <c r="AH157" s="264"/>
      <c r="AI157" s="264"/>
      <c r="AJ157" s="264"/>
      <c r="AK157" s="264"/>
      <c r="AL157" s="264"/>
      <c r="AM157" s="264"/>
      <c r="AN157" s="264"/>
      <c r="AO157" s="419"/>
      <c r="AP157" s="268">
        <f t="shared" si="252"/>
        <v>825.02200000000005</v>
      </c>
      <c r="AQ157" s="268"/>
      <c r="AR157" s="268"/>
      <c r="AS157" s="268"/>
      <c r="AT157" s="268"/>
      <c r="AU157" s="268"/>
      <c r="AV157" s="268"/>
      <c r="AW157" s="268">
        <f t="shared" si="253"/>
        <v>825.02200000000005</v>
      </c>
      <c r="AX157" s="268">
        <f>805.022+20</f>
        <v>825.02200000000005</v>
      </c>
      <c r="AY157" s="268">
        <f t="shared" si="254"/>
        <v>825.02200000000005</v>
      </c>
      <c r="AZ157" s="268">
        <f>805.022+20</f>
        <v>825.02200000000005</v>
      </c>
      <c r="BA157" s="268"/>
      <c r="BB157" s="268"/>
      <c r="BC157" s="268"/>
      <c r="BD157" s="268"/>
      <c r="BE157" s="268"/>
      <c r="BF157" s="268"/>
      <c r="BG157" s="268"/>
      <c r="BH157" s="268"/>
      <c r="BI157" s="144"/>
      <c r="BJ157" s="144"/>
      <c r="BK157" s="144"/>
      <c r="BL157" s="144"/>
      <c r="BM157" s="145"/>
      <c r="BN157" s="145"/>
      <c r="BO157" s="145"/>
      <c r="BP157" s="145"/>
    </row>
    <row r="158" spans="1:68" s="326" customFormat="1" ht="93.75" hidden="1" customHeight="1">
      <c r="A158" s="832" t="s">
        <v>172</v>
      </c>
      <c r="B158" s="83" t="s">
        <v>173</v>
      </c>
      <c r="C158" s="338"/>
      <c r="D158" s="338"/>
      <c r="E158" s="338"/>
      <c r="F158" s="322"/>
      <c r="G158" s="339"/>
      <c r="H158" s="340"/>
      <c r="I158" s="820" t="s">
        <v>19</v>
      </c>
      <c r="J158" s="336"/>
      <c r="K158" s="337"/>
      <c r="L158" s="291">
        <f>L159</f>
        <v>7644.31</v>
      </c>
      <c r="M158" s="291">
        <f>M159</f>
        <v>0</v>
      </c>
      <c r="N158" s="291">
        <f t="shared" ref="N158:AN158" si="255">N159</f>
        <v>377.26</v>
      </c>
      <c r="O158" s="291">
        <f t="shared" si="255"/>
        <v>0</v>
      </c>
      <c r="P158" s="291">
        <f t="shared" si="255"/>
        <v>813.21599999999989</v>
      </c>
      <c r="Q158" s="291">
        <f t="shared" si="255"/>
        <v>0</v>
      </c>
      <c r="R158" s="291">
        <f t="shared" si="255"/>
        <v>0</v>
      </c>
      <c r="S158" s="291">
        <f t="shared" si="255"/>
        <v>0</v>
      </c>
      <c r="T158" s="291">
        <f t="shared" si="255"/>
        <v>0</v>
      </c>
      <c r="U158" s="291">
        <f t="shared" si="255"/>
        <v>0</v>
      </c>
      <c r="V158" s="291">
        <f t="shared" si="255"/>
        <v>0</v>
      </c>
      <c r="W158" s="291">
        <f t="shared" si="255"/>
        <v>0</v>
      </c>
      <c r="X158" s="291">
        <f t="shared" si="255"/>
        <v>0</v>
      </c>
      <c r="Y158" s="291">
        <f t="shared" si="255"/>
        <v>0</v>
      </c>
      <c r="Z158" s="291">
        <f t="shared" si="255"/>
        <v>0</v>
      </c>
      <c r="AA158" s="291">
        <f t="shared" si="255"/>
        <v>0</v>
      </c>
      <c r="AB158" s="291">
        <f t="shared" si="255"/>
        <v>0</v>
      </c>
      <c r="AC158" s="291">
        <f t="shared" si="255"/>
        <v>0</v>
      </c>
      <c r="AD158" s="291">
        <f t="shared" si="255"/>
        <v>0</v>
      </c>
      <c r="AE158" s="291">
        <f t="shared" si="255"/>
        <v>0</v>
      </c>
      <c r="AF158" s="291">
        <f t="shared" si="255"/>
        <v>0</v>
      </c>
      <c r="AG158" s="291">
        <f t="shared" si="255"/>
        <v>0</v>
      </c>
      <c r="AH158" s="291">
        <f t="shared" si="255"/>
        <v>0</v>
      </c>
      <c r="AI158" s="291">
        <f t="shared" si="255"/>
        <v>0</v>
      </c>
      <c r="AJ158" s="291">
        <f t="shared" si="255"/>
        <v>0</v>
      </c>
      <c r="AK158" s="291">
        <f t="shared" si="255"/>
        <v>0</v>
      </c>
      <c r="AL158" s="291">
        <f t="shared" si="255"/>
        <v>0</v>
      </c>
      <c r="AM158" s="291">
        <f t="shared" si="255"/>
        <v>0</v>
      </c>
      <c r="AN158" s="291">
        <f t="shared" si="255"/>
        <v>0</v>
      </c>
      <c r="AO158" s="434"/>
      <c r="AP158" s="268">
        <f t="shared" si="252"/>
        <v>975</v>
      </c>
      <c r="AQ158" s="268"/>
      <c r="AR158" s="268"/>
      <c r="AS158" s="268"/>
      <c r="AT158" s="268"/>
      <c r="AU158" s="268"/>
      <c r="AV158" s="268"/>
      <c r="AW158" s="268">
        <f t="shared" si="253"/>
        <v>975</v>
      </c>
      <c r="AX158" s="268">
        <f>292.5+682.5</f>
        <v>975</v>
      </c>
      <c r="AY158" s="268">
        <f t="shared" si="254"/>
        <v>975</v>
      </c>
      <c r="AZ158" s="268">
        <v>975</v>
      </c>
      <c r="BA158" s="268"/>
      <c r="BB158" s="268"/>
      <c r="BC158" s="268"/>
      <c r="BD158" s="268"/>
      <c r="BE158" s="268"/>
      <c r="BF158" s="268"/>
      <c r="BG158" s="268"/>
      <c r="BH158" s="268"/>
      <c r="BI158" s="144"/>
      <c r="BJ158" s="144"/>
      <c r="BK158" s="144"/>
      <c r="BL158" s="144"/>
      <c r="BM158" s="145"/>
      <c r="BN158" s="145"/>
      <c r="BO158" s="145"/>
      <c r="BP158" s="145"/>
    </row>
    <row r="159" spans="1:68" ht="18" hidden="1" customHeight="1">
      <c r="A159" s="827"/>
      <c r="B159" s="42" t="s">
        <v>15</v>
      </c>
      <c r="C159" s="342"/>
      <c r="D159" s="342"/>
      <c r="E159" s="342"/>
      <c r="F159" s="319"/>
      <c r="G159" s="343"/>
      <c r="H159" s="344"/>
      <c r="I159" s="821"/>
      <c r="J159" s="703"/>
      <c r="K159" s="345"/>
      <c r="L159" s="75">
        <v>7644.31</v>
      </c>
      <c r="M159" s="86">
        <v>0</v>
      </c>
      <c r="N159" s="86">
        <v>377.26</v>
      </c>
      <c r="O159" s="86">
        <v>0</v>
      </c>
      <c r="P159" s="86">
        <f>677.68*1.2</f>
        <v>813.21599999999989</v>
      </c>
      <c r="Q159" s="86">
        <v>0</v>
      </c>
      <c r="R159" s="86">
        <v>0</v>
      </c>
      <c r="S159" s="86">
        <v>0</v>
      </c>
      <c r="T159" s="86">
        <f>SUM(T160:T161)</f>
        <v>0</v>
      </c>
      <c r="U159" s="86">
        <f>SUM(U160:U161)</f>
        <v>0</v>
      </c>
      <c r="V159" s="86">
        <f t="shared" ref="V159:AD159" si="256">SUM(V160:V161)</f>
        <v>0</v>
      </c>
      <c r="W159" s="86">
        <f t="shared" si="256"/>
        <v>0</v>
      </c>
      <c r="X159" s="86">
        <f t="shared" si="256"/>
        <v>0</v>
      </c>
      <c r="Y159" s="86">
        <f t="shared" si="256"/>
        <v>0</v>
      </c>
      <c r="Z159" s="86">
        <f t="shared" si="256"/>
        <v>0</v>
      </c>
      <c r="AA159" s="86">
        <f t="shared" si="256"/>
        <v>0</v>
      </c>
      <c r="AB159" s="86">
        <f t="shared" si="256"/>
        <v>0</v>
      </c>
      <c r="AC159" s="86">
        <f t="shared" si="256"/>
        <v>0</v>
      </c>
      <c r="AD159" s="86">
        <f t="shared" si="256"/>
        <v>0</v>
      </c>
      <c r="AE159" s="86">
        <v>0</v>
      </c>
      <c r="AF159" s="86">
        <v>0</v>
      </c>
      <c r="AG159" s="86">
        <v>0</v>
      </c>
      <c r="AH159" s="86">
        <v>0</v>
      </c>
      <c r="AI159" s="86">
        <v>0</v>
      </c>
      <c r="AJ159" s="86">
        <v>0</v>
      </c>
      <c r="AK159" s="86">
        <v>0</v>
      </c>
      <c r="AL159" s="86">
        <v>0</v>
      </c>
      <c r="AM159" s="86">
        <v>0</v>
      </c>
      <c r="AN159" s="86">
        <v>0</v>
      </c>
      <c r="AO159" s="416"/>
      <c r="AP159" s="357">
        <f t="shared" ref="AP159:BG159" si="257">AP160</f>
        <v>0</v>
      </c>
      <c r="AQ159" s="357">
        <f t="shared" si="257"/>
        <v>0</v>
      </c>
      <c r="AR159" s="357">
        <f t="shared" si="257"/>
        <v>0</v>
      </c>
      <c r="AS159" s="357">
        <f t="shared" si="257"/>
        <v>0</v>
      </c>
      <c r="AT159" s="357">
        <f t="shared" si="257"/>
        <v>0</v>
      </c>
      <c r="AU159" s="357">
        <f t="shared" si="257"/>
        <v>0</v>
      </c>
      <c r="AV159" s="357">
        <f t="shared" si="257"/>
        <v>0</v>
      </c>
      <c r="AW159" s="357">
        <f t="shared" si="257"/>
        <v>0</v>
      </c>
      <c r="AX159" s="357">
        <f t="shared" si="257"/>
        <v>0</v>
      </c>
      <c r="AY159" s="357">
        <f t="shared" si="257"/>
        <v>0</v>
      </c>
      <c r="AZ159" s="357">
        <f t="shared" si="257"/>
        <v>0</v>
      </c>
      <c r="BA159" s="357">
        <f t="shared" si="257"/>
        <v>0</v>
      </c>
      <c r="BB159" s="357">
        <f t="shared" si="257"/>
        <v>0</v>
      </c>
      <c r="BC159" s="357">
        <f t="shared" si="257"/>
        <v>0</v>
      </c>
      <c r="BD159" s="357">
        <f t="shared" si="257"/>
        <v>0</v>
      </c>
      <c r="BE159" s="357">
        <f t="shared" si="257"/>
        <v>0</v>
      </c>
      <c r="BF159" s="357">
        <f t="shared" si="257"/>
        <v>0</v>
      </c>
      <c r="BG159" s="357">
        <f t="shared" si="257"/>
        <v>0</v>
      </c>
      <c r="BH159" s="358" t="s">
        <v>212</v>
      </c>
      <c r="BI159" s="128">
        <v>0</v>
      </c>
      <c r="BJ159" s="129">
        <v>0</v>
      </c>
      <c r="BK159" s="129">
        <v>0</v>
      </c>
      <c r="BL159" s="129">
        <v>0</v>
      </c>
      <c r="BM159" s="128">
        <v>0</v>
      </c>
      <c r="BN159" s="129">
        <v>0</v>
      </c>
      <c r="BO159" s="129">
        <v>0</v>
      </c>
      <c r="BP159" s="129">
        <v>0</v>
      </c>
    </row>
    <row r="160" spans="1:68" s="100" customFormat="1" ht="18" hidden="1" customHeight="1">
      <c r="A160" s="374"/>
      <c r="B160" s="257" t="s">
        <v>237</v>
      </c>
      <c r="C160" s="258"/>
      <c r="D160" s="258"/>
      <c r="E160" s="258"/>
      <c r="F160" s="259"/>
      <c r="G160" s="260"/>
      <c r="H160" s="261"/>
      <c r="I160" s="375"/>
      <c r="J160" s="101"/>
      <c r="K160" s="262"/>
      <c r="L160" s="263"/>
      <c r="M160" s="264"/>
      <c r="N160" s="264"/>
      <c r="O160" s="264"/>
      <c r="P160" s="86"/>
      <c r="Q160" s="264"/>
      <c r="R160" s="264"/>
      <c r="S160" s="264"/>
      <c r="T160" s="264"/>
      <c r="U160" s="264"/>
      <c r="V160" s="264"/>
      <c r="W160" s="264"/>
      <c r="X160" s="86"/>
      <c r="Y160" s="86"/>
      <c r="Z160" s="264"/>
      <c r="AA160" s="264"/>
      <c r="AB160" s="264"/>
      <c r="AC160" s="264"/>
      <c r="AD160" s="264"/>
      <c r="AE160" s="264"/>
      <c r="AF160" s="264"/>
      <c r="AG160" s="264"/>
      <c r="AH160" s="264"/>
      <c r="AI160" s="264"/>
      <c r="AJ160" s="264"/>
      <c r="AK160" s="264"/>
      <c r="AL160" s="264"/>
      <c r="AM160" s="264"/>
      <c r="AN160" s="264"/>
      <c r="AO160" s="419"/>
      <c r="AP160" s="50">
        <v>0</v>
      </c>
      <c r="AQ160" s="50">
        <v>0</v>
      </c>
      <c r="AR160" s="50">
        <v>0</v>
      </c>
      <c r="AS160" s="50">
        <v>0</v>
      </c>
      <c r="AT160" s="50">
        <v>0</v>
      </c>
      <c r="AU160" s="50">
        <v>0</v>
      </c>
      <c r="AV160" s="50">
        <v>0</v>
      </c>
      <c r="AW160" s="50">
        <v>0</v>
      </c>
      <c r="AX160" s="50">
        <v>0</v>
      </c>
      <c r="AY160" s="50">
        <v>0</v>
      </c>
      <c r="AZ160" s="50">
        <v>0</v>
      </c>
      <c r="BA160" s="50">
        <v>0</v>
      </c>
      <c r="BB160" s="50">
        <v>0</v>
      </c>
      <c r="BC160" s="50">
        <v>0</v>
      </c>
      <c r="BD160" s="50">
        <v>0</v>
      </c>
      <c r="BE160" s="50">
        <v>0</v>
      </c>
      <c r="BF160" s="50">
        <v>0</v>
      </c>
      <c r="BG160" s="50">
        <v>0</v>
      </c>
      <c r="BH160" s="50"/>
      <c r="BI160" s="125">
        <v>0</v>
      </c>
      <c r="BJ160" s="126">
        <v>0</v>
      </c>
      <c r="BK160" s="126">
        <v>0</v>
      </c>
      <c r="BL160" s="126">
        <v>0</v>
      </c>
      <c r="BM160" s="125">
        <v>0</v>
      </c>
      <c r="BN160" s="126">
        <v>0</v>
      </c>
      <c r="BO160" s="126">
        <v>0</v>
      </c>
      <c r="BP160" s="126">
        <v>0</v>
      </c>
    </row>
    <row r="161" spans="1:68" s="100" customFormat="1" ht="18" hidden="1" customHeight="1">
      <c r="A161" s="374"/>
      <c r="B161" s="257" t="s">
        <v>271</v>
      </c>
      <c r="C161" s="258"/>
      <c r="D161" s="258"/>
      <c r="E161" s="258"/>
      <c r="F161" s="259"/>
      <c r="G161" s="260"/>
      <c r="H161" s="261"/>
      <c r="I161" s="375"/>
      <c r="J161" s="101"/>
      <c r="K161" s="262"/>
      <c r="L161" s="263"/>
      <c r="M161" s="264"/>
      <c r="N161" s="264"/>
      <c r="O161" s="264"/>
      <c r="P161" s="86">
        <f>Q161</f>
        <v>0</v>
      </c>
      <c r="Q161" s="264">
        <f>S161+U161</f>
        <v>0</v>
      </c>
      <c r="R161" s="264"/>
      <c r="S161" s="264"/>
      <c r="T161" s="264">
        <v>0</v>
      </c>
      <c r="U161" s="264">
        <v>0</v>
      </c>
      <c r="V161" s="264"/>
      <c r="W161" s="264"/>
      <c r="X161" s="86"/>
      <c r="Y161" s="86"/>
      <c r="Z161" s="264">
        <f>SUM(AA161:AB161)</f>
        <v>0</v>
      </c>
      <c r="AA161" s="264"/>
      <c r="AB161" s="264">
        <v>0</v>
      </c>
      <c r="AC161" s="264"/>
      <c r="AD161" s="264"/>
      <c r="AE161" s="264"/>
      <c r="AF161" s="264"/>
      <c r="AG161" s="264"/>
      <c r="AH161" s="264"/>
      <c r="AI161" s="264"/>
      <c r="AJ161" s="264"/>
      <c r="AK161" s="264"/>
      <c r="AL161" s="264"/>
      <c r="AM161" s="264"/>
      <c r="AN161" s="264"/>
      <c r="AO161" s="419"/>
      <c r="AP161" s="357">
        <f t="shared" ref="AP161:BG161" si="258">AP162</f>
        <v>0</v>
      </c>
      <c r="AQ161" s="357">
        <f t="shared" si="258"/>
        <v>0</v>
      </c>
      <c r="AR161" s="357">
        <f t="shared" si="258"/>
        <v>0</v>
      </c>
      <c r="AS161" s="357">
        <f t="shared" si="258"/>
        <v>0</v>
      </c>
      <c r="AT161" s="357">
        <f t="shared" si="258"/>
        <v>0</v>
      </c>
      <c r="AU161" s="357">
        <f t="shared" si="258"/>
        <v>0</v>
      </c>
      <c r="AV161" s="357">
        <f t="shared" si="258"/>
        <v>0</v>
      </c>
      <c r="AW161" s="357">
        <f t="shared" si="258"/>
        <v>0</v>
      </c>
      <c r="AX161" s="357">
        <f t="shared" si="258"/>
        <v>0</v>
      </c>
      <c r="AY161" s="357">
        <f t="shared" si="258"/>
        <v>0</v>
      </c>
      <c r="AZ161" s="357">
        <f t="shared" si="258"/>
        <v>0</v>
      </c>
      <c r="BA161" s="357">
        <f t="shared" si="258"/>
        <v>0</v>
      </c>
      <c r="BB161" s="357">
        <f t="shared" si="258"/>
        <v>0</v>
      </c>
      <c r="BC161" s="357">
        <f t="shared" si="258"/>
        <v>0</v>
      </c>
      <c r="BD161" s="357">
        <f t="shared" si="258"/>
        <v>0</v>
      </c>
      <c r="BE161" s="357">
        <f t="shared" si="258"/>
        <v>0</v>
      </c>
      <c r="BF161" s="357">
        <f t="shared" si="258"/>
        <v>0</v>
      </c>
      <c r="BG161" s="357">
        <f t="shared" si="258"/>
        <v>0</v>
      </c>
      <c r="BH161" s="358" t="s">
        <v>212</v>
      </c>
      <c r="BI161" s="128">
        <v>0</v>
      </c>
      <c r="BJ161" s="129">
        <v>0</v>
      </c>
      <c r="BK161" s="129">
        <v>0</v>
      </c>
      <c r="BL161" s="129">
        <v>0</v>
      </c>
      <c r="BM161" s="128">
        <v>0</v>
      </c>
      <c r="BN161" s="129">
        <v>0</v>
      </c>
      <c r="BO161" s="129">
        <v>0</v>
      </c>
      <c r="BP161" s="129">
        <v>0</v>
      </c>
    </row>
    <row r="162" spans="1:68" s="326" customFormat="1" ht="39.75" customHeight="1">
      <c r="A162" s="832" t="s">
        <v>174</v>
      </c>
      <c r="B162" s="83" t="s">
        <v>175</v>
      </c>
      <c r="C162" s="338"/>
      <c r="D162" s="338"/>
      <c r="E162" s="338"/>
      <c r="F162" s="322"/>
      <c r="G162" s="339"/>
      <c r="H162" s="340"/>
      <c r="I162" s="820" t="s">
        <v>19</v>
      </c>
      <c r="J162" s="336"/>
      <c r="K162" s="337"/>
      <c r="L162" s="291">
        <f>L163</f>
        <v>8790.08</v>
      </c>
      <c r="M162" s="291">
        <f>M163</f>
        <v>0</v>
      </c>
      <c r="N162" s="291">
        <f t="shared" ref="N162:AN163" si="259">N163</f>
        <v>612.4</v>
      </c>
      <c r="O162" s="291">
        <f t="shared" si="259"/>
        <v>7188.28</v>
      </c>
      <c r="P162" s="291">
        <f t="shared" si="259"/>
        <v>9813.2160000000003</v>
      </c>
      <c r="Q162" s="291">
        <f t="shared" si="259"/>
        <v>2646.4050000000002</v>
      </c>
      <c r="R162" s="291">
        <f t="shared" si="259"/>
        <v>0</v>
      </c>
      <c r="S162" s="291">
        <f t="shared" si="259"/>
        <v>0</v>
      </c>
      <c r="T162" s="291">
        <f t="shared" si="259"/>
        <v>2646.4050000000002</v>
      </c>
      <c r="U162" s="291">
        <f t="shared" si="259"/>
        <v>2646.4050000000002</v>
      </c>
      <c r="V162" s="291">
        <f t="shared" si="259"/>
        <v>0</v>
      </c>
      <c r="W162" s="291">
        <f t="shared" si="259"/>
        <v>0</v>
      </c>
      <c r="X162" s="291">
        <f t="shared" si="259"/>
        <v>0</v>
      </c>
      <c r="Y162" s="291">
        <f t="shared" si="259"/>
        <v>0</v>
      </c>
      <c r="Z162" s="291">
        <f t="shared" si="259"/>
        <v>2646.4050000000002</v>
      </c>
      <c r="AA162" s="291">
        <f>AA163</f>
        <v>2646.4050000000002</v>
      </c>
      <c r="AB162" s="291">
        <f>AB163</f>
        <v>0</v>
      </c>
      <c r="AC162" s="291">
        <f t="shared" ref="AC162:AD163" si="260">AC163</f>
        <v>0</v>
      </c>
      <c r="AD162" s="291">
        <f t="shared" si="260"/>
        <v>0</v>
      </c>
      <c r="AE162" s="291">
        <f t="shared" si="259"/>
        <v>0</v>
      </c>
      <c r="AF162" s="291">
        <f t="shared" si="259"/>
        <v>0</v>
      </c>
      <c r="AG162" s="291">
        <f t="shared" si="259"/>
        <v>0</v>
      </c>
      <c r="AH162" s="291">
        <f t="shared" si="259"/>
        <v>0</v>
      </c>
      <c r="AI162" s="291">
        <f t="shared" si="259"/>
        <v>0</v>
      </c>
      <c r="AJ162" s="291">
        <f t="shared" si="259"/>
        <v>0</v>
      </c>
      <c r="AK162" s="291">
        <f t="shared" si="259"/>
        <v>0</v>
      </c>
      <c r="AL162" s="291">
        <f t="shared" si="259"/>
        <v>0</v>
      </c>
      <c r="AM162" s="291">
        <f t="shared" si="259"/>
        <v>0</v>
      </c>
      <c r="AN162" s="291">
        <f t="shared" si="259"/>
        <v>0</v>
      </c>
      <c r="AO162" s="434"/>
      <c r="AP162" s="50">
        <v>0</v>
      </c>
      <c r="AQ162" s="50">
        <v>0</v>
      </c>
      <c r="AR162" s="50">
        <v>0</v>
      </c>
      <c r="AS162" s="50">
        <v>0</v>
      </c>
      <c r="AT162" s="50">
        <v>0</v>
      </c>
      <c r="AU162" s="50">
        <v>0</v>
      </c>
      <c r="AV162" s="50">
        <v>0</v>
      </c>
      <c r="AW162" s="50">
        <v>0</v>
      </c>
      <c r="AX162" s="50">
        <v>0</v>
      </c>
      <c r="AY162" s="50">
        <v>0</v>
      </c>
      <c r="AZ162" s="50">
        <v>0</v>
      </c>
      <c r="BA162" s="50">
        <v>0</v>
      </c>
      <c r="BB162" s="50">
        <v>0</v>
      </c>
      <c r="BC162" s="50">
        <v>0</v>
      </c>
      <c r="BD162" s="50">
        <v>0</v>
      </c>
      <c r="BE162" s="50">
        <v>0</v>
      </c>
      <c r="BF162" s="50">
        <v>0</v>
      </c>
      <c r="BG162" s="50">
        <v>0</v>
      </c>
      <c r="BH162" s="50"/>
      <c r="BI162" s="81">
        <f t="shared" ref="BI162:BP162" si="261">BI163+BI164</f>
        <v>0</v>
      </c>
      <c r="BJ162" s="81">
        <f t="shared" si="261"/>
        <v>0</v>
      </c>
      <c r="BK162" s="81">
        <f t="shared" si="261"/>
        <v>0</v>
      </c>
      <c r="BL162" s="81">
        <f t="shared" si="261"/>
        <v>0</v>
      </c>
      <c r="BM162" s="81">
        <f t="shared" si="261"/>
        <v>0</v>
      </c>
      <c r="BN162" s="81">
        <f t="shared" si="261"/>
        <v>0</v>
      </c>
      <c r="BO162" s="81">
        <f t="shared" si="261"/>
        <v>0</v>
      </c>
      <c r="BP162" s="81">
        <f t="shared" si="261"/>
        <v>0</v>
      </c>
    </row>
    <row r="163" spans="1:68" ht="18" customHeight="1">
      <c r="A163" s="827"/>
      <c r="B163" s="42" t="s">
        <v>15</v>
      </c>
      <c r="C163" s="342"/>
      <c r="D163" s="342"/>
      <c r="E163" s="342"/>
      <c r="F163" s="319"/>
      <c r="G163" s="343"/>
      <c r="H163" s="344"/>
      <c r="I163" s="821"/>
      <c r="J163" s="703"/>
      <c r="K163" s="345"/>
      <c r="L163" s="75">
        <v>8790.08</v>
      </c>
      <c r="M163" s="86">
        <v>0</v>
      </c>
      <c r="N163" s="86">
        <v>612.4</v>
      </c>
      <c r="O163" s="86">
        <v>7188.28</v>
      </c>
      <c r="P163" s="86">
        <f>8177.68*1.2</f>
        <v>9813.2160000000003</v>
      </c>
      <c r="Q163" s="86">
        <f>Q164</f>
        <v>2646.4050000000002</v>
      </c>
      <c r="R163" s="86">
        <f t="shared" si="259"/>
        <v>0</v>
      </c>
      <c r="S163" s="86">
        <f t="shared" si="259"/>
        <v>0</v>
      </c>
      <c r="T163" s="86">
        <f t="shared" si="259"/>
        <v>2646.4050000000002</v>
      </c>
      <c r="U163" s="86">
        <f t="shared" si="259"/>
        <v>2646.4050000000002</v>
      </c>
      <c r="V163" s="86">
        <f t="shared" si="259"/>
        <v>0</v>
      </c>
      <c r="W163" s="86">
        <f t="shared" si="259"/>
        <v>0</v>
      </c>
      <c r="X163" s="86">
        <f t="shared" si="259"/>
        <v>0</v>
      </c>
      <c r="Y163" s="86">
        <f t="shared" si="259"/>
        <v>0</v>
      </c>
      <c r="Z163" s="86">
        <f t="shared" si="259"/>
        <v>2646.4050000000002</v>
      </c>
      <c r="AA163" s="86">
        <f t="shared" si="259"/>
        <v>2646.4050000000002</v>
      </c>
      <c r="AB163" s="86">
        <f t="shared" si="259"/>
        <v>0</v>
      </c>
      <c r="AC163" s="86">
        <f t="shared" si="260"/>
        <v>0</v>
      </c>
      <c r="AD163" s="86">
        <f t="shared" si="260"/>
        <v>0</v>
      </c>
      <c r="AE163" s="86">
        <f t="shared" si="259"/>
        <v>0</v>
      </c>
      <c r="AF163" s="86">
        <f t="shared" si="259"/>
        <v>0</v>
      </c>
      <c r="AG163" s="86">
        <v>0</v>
      </c>
      <c r="AH163" s="86">
        <v>0</v>
      </c>
      <c r="AI163" s="86">
        <v>0</v>
      </c>
      <c r="AJ163" s="86">
        <v>0</v>
      </c>
      <c r="AK163" s="86">
        <v>0</v>
      </c>
      <c r="AL163" s="86">
        <v>0</v>
      </c>
      <c r="AM163" s="86">
        <v>0</v>
      </c>
      <c r="AN163" s="86">
        <v>0</v>
      </c>
      <c r="AO163" s="416"/>
      <c r="AP163" s="22">
        <v>0</v>
      </c>
      <c r="AQ163" s="22">
        <v>0</v>
      </c>
      <c r="AR163" s="22">
        <v>0</v>
      </c>
      <c r="AS163" s="22">
        <v>0</v>
      </c>
      <c r="AT163" s="22">
        <v>0</v>
      </c>
      <c r="AU163" s="22">
        <v>0</v>
      </c>
      <c r="AV163" s="22">
        <v>0</v>
      </c>
      <c r="AW163" s="22">
        <v>0</v>
      </c>
      <c r="AX163" s="22">
        <v>0</v>
      </c>
      <c r="AY163" s="22">
        <v>0</v>
      </c>
      <c r="AZ163" s="22">
        <v>0</v>
      </c>
      <c r="BA163" s="22">
        <v>0</v>
      </c>
      <c r="BB163" s="22">
        <v>0</v>
      </c>
      <c r="BC163" s="22">
        <v>0</v>
      </c>
      <c r="BD163" s="22">
        <v>0</v>
      </c>
      <c r="BE163" s="22">
        <v>0</v>
      </c>
      <c r="BF163" s="22">
        <v>0</v>
      </c>
      <c r="BG163" s="22">
        <v>0</v>
      </c>
      <c r="BH163" s="302"/>
      <c r="BI163" s="125">
        <v>0</v>
      </c>
      <c r="BJ163" s="126">
        <v>0</v>
      </c>
      <c r="BK163" s="126">
        <v>0</v>
      </c>
      <c r="BL163" s="126">
        <v>0</v>
      </c>
      <c r="BM163" s="125">
        <v>0</v>
      </c>
      <c r="BN163" s="126">
        <v>0</v>
      </c>
      <c r="BO163" s="126">
        <v>0</v>
      </c>
      <c r="BP163" s="126">
        <v>0</v>
      </c>
    </row>
    <row r="164" spans="1:68" s="100" customFormat="1" ht="28.5" hidden="1" customHeight="1">
      <c r="A164" s="374"/>
      <c r="B164" s="257" t="s">
        <v>343</v>
      </c>
      <c r="C164" s="258"/>
      <c r="D164" s="258"/>
      <c r="E164" s="258"/>
      <c r="F164" s="259"/>
      <c r="G164" s="260"/>
      <c r="H164" s="261"/>
      <c r="I164" s="375"/>
      <c r="J164" s="101"/>
      <c r="K164" s="262"/>
      <c r="L164" s="263"/>
      <c r="M164" s="264"/>
      <c r="N164" s="264"/>
      <c r="O164" s="264"/>
      <c r="P164" s="264"/>
      <c r="Q164" s="264">
        <f>U164</f>
        <v>2646.4050000000002</v>
      </c>
      <c r="R164" s="264"/>
      <c r="S164" s="264"/>
      <c r="T164" s="264">
        <f>U164</f>
        <v>2646.4050000000002</v>
      </c>
      <c r="U164" s="264">
        <v>2646.4050000000002</v>
      </c>
      <c r="V164" s="264"/>
      <c r="W164" s="264"/>
      <c r="X164" s="264"/>
      <c r="Y164" s="264"/>
      <c r="Z164" s="264">
        <f>AA164</f>
        <v>2646.4050000000002</v>
      </c>
      <c r="AA164" s="264">
        <v>2646.4050000000002</v>
      </c>
      <c r="AB164" s="264"/>
      <c r="AC164" s="264"/>
      <c r="AD164" s="264"/>
      <c r="AE164" s="264"/>
      <c r="AF164" s="264"/>
      <c r="AG164" s="264"/>
      <c r="AH164" s="264"/>
      <c r="AI164" s="264"/>
      <c r="AJ164" s="264"/>
      <c r="AK164" s="264"/>
      <c r="AL164" s="264"/>
      <c r="AM164" s="264"/>
      <c r="AN164" s="264"/>
      <c r="AO164" s="419"/>
      <c r="AP164" s="22">
        <f t="shared" ref="AP164:AZ164" si="262">AP167</f>
        <v>7.4539999999999997</v>
      </c>
      <c r="AQ164" s="22">
        <f t="shared" si="262"/>
        <v>0</v>
      </c>
      <c r="AR164" s="22">
        <f t="shared" si="262"/>
        <v>0</v>
      </c>
      <c r="AS164" s="22">
        <f t="shared" si="262"/>
        <v>0</v>
      </c>
      <c r="AT164" s="22">
        <f t="shared" si="262"/>
        <v>0</v>
      </c>
      <c r="AU164" s="22">
        <f t="shared" si="262"/>
        <v>7.4539999999999997</v>
      </c>
      <c r="AV164" s="22">
        <f t="shared" si="262"/>
        <v>7.4539999999999997</v>
      </c>
      <c r="AW164" s="22">
        <f t="shared" si="262"/>
        <v>0</v>
      </c>
      <c r="AX164" s="22">
        <f t="shared" si="262"/>
        <v>0</v>
      </c>
      <c r="AY164" s="22">
        <f t="shared" si="262"/>
        <v>7.45</v>
      </c>
      <c r="AZ164" s="22">
        <f t="shared" si="262"/>
        <v>0</v>
      </c>
      <c r="BA164" s="22">
        <f t="shared" ref="BA164:BG164" si="263">BA167+BA187+BA190+BA191+BA193</f>
        <v>0</v>
      </c>
      <c r="BB164" s="22">
        <f t="shared" si="263"/>
        <v>0</v>
      </c>
      <c r="BC164" s="22" t="e">
        <f t="shared" si="263"/>
        <v>#REF!</v>
      </c>
      <c r="BD164" s="22" t="e">
        <f>BD167+BD187+BD190+BD191+BD193</f>
        <v>#REF!</v>
      </c>
      <c r="BE164" s="22" t="e">
        <f t="shared" si="263"/>
        <v>#REF!</v>
      </c>
      <c r="BF164" s="22">
        <f t="shared" si="263"/>
        <v>0</v>
      </c>
      <c r="BG164" s="22">
        <f t="shared" si="263"/>
        <v>0</v>
      </c>
      <c r="BH164" s="302"/>
      <c r="BI164" s="22">
        <f t="shared" ref="BI164:BK164" si="264">BI167</f>
        <v>0</v>
      </c>
      <c r="BJ164" s="22">
        <f t="shared" si="264"/>
        <v>0</v>
      </c>
      <c r="BK164" s="22">
        <f t="shared" si="264"/>
        <v>0</v>
      </c>
      <c r="BL164" s="22">
        <f>BL167</f>
        <v>0</v>
      </c>
      <c r="BM164" s="125">
        <v>0</v>
      </c>
      <c r="BN164" s="126">
        <v>0</v>
      </c>
      <c r="BO164" s="126">
        <v>0</v>
      </c>
      <c r="BP164" s="126">
        <v>0</v>
      </c>
    </row>
    <row r="165" spans="1:68" s="326" customFormat="1" ht="79.5" customHeight="1">
      <c r="A165" s="832" t="s">
        <v>176</v>
      </c>
      <c r="B165" s="83" t="s">
        <v>177</v>
      </c>
      <c r="C165" s="338"/>
      <c r="D165" s="338"/>
      <c r="E165" s="338"/>
      <c r="F165" s="322"/>
      <c r="G165" s="339"/>
      <c r="H165" s="340"/>
      <c r="I165" s="820" t="s">
        <v>19</v>
      </c>
      <c r="J165" s="336"/>
      <c r="K165" s="337"/>
      <c r="L165" s="291">
        <f>L166+L172</f>
        <v>204849.53</v>
      </c>
      <c r="M165" s="291">
        <f t="shared" ref="M165:N165" si="265">M166+M172</f>
        <v>195485</v>
      </c>
      <c r="N165" s="291">
        <f t="shared" si="265"/>
        <v>203676.84</v>
      </c>
      <c r="O165" s="291">
        <f t="shared" ref="O165:AN165" si="266">O166</f>
        <v>1116.69</v>
      </c>
      <c r="P165" s="291">
        <f>P166+P172</f>
        <v>1407.2280000000001</v>
      </c>
      <c r="Q165" s="291">
        <f>Q166+Q172</f>
        <v>3000</v>
      </c>
      <c r="R165" s="291">
        <f t="shared" ref="R165:AH165" si="267">R166+R172</f>
        <v>3000</v>
      </c>
      <c r="S165" s="291">
        <f t="shared" si="267"/>
        <v>3000</v>
      </c>
      <c r="T165" s="291">
        <f t="shared" si="267"/>
        <v>0</v>
      </c>
      <c r="U165" s="291">
        <f t="shared" si="267"/>
        <v>0</v>
      </c>
      <c r="V165" s="291">
        <f t="shared" si="267"/>
        <v>0</v>
      </c>
      <c r="W165" s="291">
        <f t="shared" si="267"/>
        <v>0</v>
      </c>
      <c r="X165" s="291">
        <f t="shared" si="267"/>
        <v>0</v>
      </c>
      <c r="Y165" s="291">
        <f t="shared" si="267"/>
        <v>0</v>
      </c>
      <c r="Z165" s="291">
        <f t="shared" si="267"/>
        <v>0</v>
      </c>
      <c r="AA165" s="291">
        <f t="shared" si="267"/>
        <v>0</v>
      </c>
      <c r="AB165" s="291">
        <f t="shared" si="267"/>
        <v>0</v>
      </c>
      <c r="AC165" s="291">
        <f t="shared" si="267"/>
        <v>0</v>
      </c>
      <c r="AD165" s="291">
        <f t="shared" si="267"/>
        <v>0</v>
      </c>
      <c r="AE165" s="291">
        <f t="shared" si="267"/>
        <v>0</v>
      </c>
      <c r="AF165" s="291">
        <f t="shared" si="267"/>
        <v>0</v>
      </c>
      <c r="AG165" s="291">
        <f t="shared" si="267"/>
        <v>0</v>
      </c>
      <c r="AH165" s="291">
        <f t="shared" si="267"/>
        <v>0</v>
      </c>
      <c r="AI165" s="291">
        <f t="shared" si="266"/>
        <v>0</v>
      </c>
      <c r="AJ165" s="291">
        <f t="shared" si="266"/>
        <v>0</v>
      </c>
      <c r="AK165" s="291">
        <f t="shared" si="266"/>
        <v>0</v>
      </c>
      <c r="AL165" s="291">
        <f t="shared" si="266"/>
        <v>0</v>
      </c>
      <c r="AM165" s="291">
        <f t="shared" si="266"/>
        <v>0</v>
      </c>
      <c r="AN165" s="291">
        <f t="shared" si="266"/>
        <v>0</v>
      </c>
      <c r="AO165" s="435" t="s">
        <v>282</v>
      </c>
      <c r="AP165" s="22">
        <v>0</v>
      </c>
      <c r="AQ165" s="22">
        <v>0</v>
      </c>
      <c r="AR165" s="22">
        <v>0</v>
      </c>
      <c r="AS165" s="22">
        <v>0</v>
      </c>
      <c r="AT165" s="22">
        <v>0</v>
      </c>
      <c r="AU165" s="22">
        <v>0</v>
      </c>
      <c r="AV165" s="22">
        <v>0</v>
      </c>
      <c r="AW165" s="22">
        <v>0</v>
      </c>
      <c r="AX165" s="22">
        <v>0</v>
      </c>
      <c r="AY165" s="22">
        <v>0</v>
      </c>
      <c r="AZ165" s="22">
        <v>0</v>
      </c>
      <c r="BA165" s="22">
        <v>0</v>
      </c>
      <c r="BB165" s="22">
        <v>0</v>
      </c>
      <c r="BC165" s="22">
        <v>0</v>
      </c>
      <c r="BD165" s="22">
        <v>0</v>
      </c>
      <c r="BE165" s="22">
        <v>0</v>
      </c>
      <c r="BF165" s="22">
        <v>0</v>
      </c>
      <c r="BG165" s="22">
        <v>0</v>
      </c>
      <c r="BH165" s="302"/>
      <c r="BI165" s="81">
        <f t="shared" ref="BI165:BP165" si="268">BI166+BI167</f>
        <v>0</v>
      </c>
      <c r="BJ165" s="81">
        <f t="shared" si="268"/>
        <v>0</v>
      </c>
      <c r="BK165" s="81">
        <f t="shared" si="268"/>
        <v>0</v>
      </c>
      <c r="BL165" s="81">
        <f t="shared" si="268"/>
        <v>0</v>
      </c>
      <c r="BM165" s="81">
        <f t="shared" si="268"/>
        <v>0</v>
      </c>
      <c r="BN165" s="81">
        <f t="shared" si="268"/>
        <v>0</v>
      </c>
      <c r="BO165" s="81">
        <f t="shared" si="268"/>
        <v>0</v>
      </c>
      <c r="BP165" s="81">
        <f t="shared" si="268"/>
        <v>0</v>
      </c>
    </row>
    <row r="166" spans="1:68" ht="18" customHeight="1">
      <c r="A166" s="827"/>
      <c r="B166" s="42" t="s">
        <v>15</v>
      </c>
      <c r="C166" s="342"/>
      <c r="D166" s="342"/>
      <c r="E166" s="342"/>
      <c r="F166" s="319"/>
      <c r="G166" s="343"/>
      <c r="H166" s="344"/>
      <c r="I166" s="821"/>
      <c r="J166" s="703"/>
      <c r="K166" s="345"/>
      <c r="L166" s="75">
        <v>9364.5300000000007</v>
      </c>
      <c r="M166" s="86">
        <v>0</v>
      </c>
      <c r="N166" s="86">
        <v>8191.84</v>
      </c>
      <c r="O166" s="86">
        <v>1116.69</v>
      </c>
      <c r="P166" s="86">
        <f>1172.69*1.2</f>
        <v>1407.2280000000001</v>
      </c>
      <c r="Q166" s="86">
        <f t="shared" ref="Q166:R166" si="269">SUM(Q167:Q171)</f>
        <v>3000</v>
      </c>
      <c r="R166" s="86">
        <f t="shared" si="269"/>
        <v>3000</v>
      </c>
      <c r="S166" s="86">
        <f>SUM(S167:S171)</f>
        <v>3000</v>
      </c>
      <c r="T166" s="86">
        <f t="shared" ref="T166:AF166" si="270">SUM(T167:T171)</f>
        <v>0</v>
      </c>
      <c r="U166" s="86">
        <f t="shared" si="270"/>
        <v>0</v>
      </c>
      <c r="V166" s="86">
        <f t="shared" si="270"/>
        <v>0</v>
      </c>
      <c r="W166" s="86">
        <f t="shared" si="270"/>
        <v>0</v>
      </c>
      <c r="X166" s="86">
        <f t="shared" si="270"/>
        <v>0</v>
      </c>
      <c r="Y166" s="86">
        <f t="shared" si="270"/>
        <v>0</v>
      </c>
      <c r="Z166" s="86">
        <f t="shared" si="270"/>
        <v>0</v>
      </c>
      <c r="AA166" s="86">
        <f t="shared" si="270"/>
        <v>0</v>
      </c>
      <c r="AB166" s="86">
        <f t="shared" si="270"/>
        <v>0</v>
      </c>
      <c r="AC166" s="86">
        <f t="shared" si="270"/>
        <v>0</v>
      </c>
      <c r="AD166" s="86">
        <f t="shared" si="270"/>
        <v>0</v>
      </c>
      <c r="AE166" s="86">
        <f t="shared" si="270"/>
        <v>0</v>
      </c>
      <c r="AF166" s="86">
        <f t="shared" si="270"/>
        <v>0</v>
      </c>
      <c r="AG166" s="86">
        <f t="shared" ref="AG166:AI166" si="271">SUM(AG167:AG169)</f>
        <v>0</v>
      </c>
      <c r="AH166" s="86">
        <f t="shared" si="271"/>
        <v>0</v>
      </c>
      <c r="AI166" s="86">
        <f t="shared" si="271"/>
        <v>0</v>
      </c>
      <c r="AJ166" s="86">
        <v>0</v>
      </c>
      <c r="AK166" s="86">
        <v>0</v>
      </c>
      <c r="AL166" s="86">
        <v>0</v>
      </c>
      <c r="AM166" s="86">
        <v>0</v>
      </c>
      <c r="AN166" s="86">
        <v>0</v>
      </c>
      <c r="AO166" s="416"/>
      <c r="AP166" s="22">
        <v>0</v>
      </c>
      <c r="AQ166" s="22">
        <v>0</v>
      </c>
      <c r="AR166" s="22">
        <v>0</v>
      </c>
      <c r="AS166" s="22">
        <v>0</v>
      </c>
      <c r="AT166" s="22">
        <v>0</v>
      </c>
      <c r="AU166" s="22">
        <v>0</v>
      </c>
      <c r="AV166" s="22">
        <v>0</v>
      </c>
      <c r="AW166" s="22">
        <v>0</v>
      </c>
      <c r="AX166" s="22">
        <v>0</v>
      </c>
      <c r="AY166" s="22">
        <v>0</v>
      </c>
      <c r="AZ166" s="22">
        <v>0</v>
      </c>
      <c r="BA166" s="22">
        <v>0</v>
      </c>
      <c r="BB166" s="22">
        <v>0</v>
      </c>
      <c r="BC166" s="22">
        <v>0</v>
      </c>
      <c r="BD166" s="22">
        <v>0</v>
      </c>
      <c r="BE166" s="22">
        <v>0</v>
      </c>
      <c r="BF166" s="22">
        <v>0</v>
      </c>
      <c r="BG166" s="22">
        <v>0</v>
      </c>
      <c r="BH166" s="302"/>
      <c r="BI166" s="125">
        <v>0</v>
      </c>
      <c r="BJ166" s="126">
        <v>0</v>
      </c>
      <c r="BK166" s="126">
        <v>0</v>
      </c>
      <c r="BL166" s="126">
        <v>0</v>
      </c>
      <c r="BM166" s="125">
        <v>0</v>
      </c>
      <c r="BN166" s="126">
        <v>0</v>
      </c>
      <c r="BO166" s="126">
        <v>0</v>
      </c>
      <c r="BP166" s="126">
        <v>0</v>
      </c>
    </row>
    <row r="167" spans="1:68" s="100" customFormat="1" ht="18" hidden="1" customHeight="1">
      <c r="A167" s="332"/>
      <c r="B167" s="257" t="s">
        <v>238</v>
      </c>
      <c r="C167" s="258"/>
      <c r="D167" s="258"/>
      <c r="E167" s="258"/>
      <c r="F167" s="259"/>
      <c r="G167" s="260"/>
      <c r="H167" s="261"/>
      <c r="I167" s="376"/>
      <c r="J167" s="101"/>
      <c r="K167" s="262"/>
      <c r="L167" s="263"/>
      <c r="M167" s="264"/>
      <c r="N167" s="264"/>
      <c r="O167" s="264"/>
      <c r="P167" s="86"/>
      <c r="Q167" s="264">
        <f>Y167</f>
        <v>0</v>
      </c>
      <c r="R167" s="264"/>
      <c r="S167" s="264"/>
      <c r="T167" s="264"/>
      <c r="U167" s="264"/>
      <c r="V167" s="264"/>
      <c r="W167" s="264"/>
      <c r="X167" s="264">
        <f>Y167</f>
        <v>0</v>
      </c>
      <c r="Y167" s="86"/>
      <c r="Z167" s="264"/>
      <c r="AA167" s="264"/>
      <c r="AB167" s="264"/>
      <c r="AC167" s="264"/>
      <c r="AD167" s="264"/>
      <c r="AE167" s="264"/>
      <c r="AF167" s="264"/>
      <c r="AG167" s="264"/>
      <c r="AH167" s="264"/>
      <c r="AI167" s="264"/>
      <c r="AJ167" s="264"/>
      <c r="AK167" s="264"/>
      <c r="AL167" s="264"/>
      <c r="AM167" s="264"/>
      <c r="AN167" s="264"/>
      <c r="AO167" s="419"/>
      <c r="AP167" s="82">
        <f>AP170+AP168</f>
        <v>7.4539999999999997</v>
      </c>
      <c r="AQ167" s="82">
        <f t="shared" ref="AQ167:BB167" si="272">AQ170+AQ168</f>
        <v>0</v>
      </c>
      <c r="AR167" s="82">
        <f t="shared" si="272"/>
        <v>0</v>
      </c>
      <c r="AS167" s="82">
        <f t="shared" si="272"/>
        <v>0</v>
      </c>
      <c r="AT167" s="82">
        <f t="shared" si="272"/>
        <v>0</v>
      </c>
      <c r="AU167" s="82">
        <f t="shared" si="272"/>
        <v>7.4539999999999997</v>
      </c>
      <c r="AV167" s="82">
        <f t="shared" si="272"/>
        <v>7.4539999999999997</v>
      </c>
      <c r="AW167" s="82">
        <f t="shared" si="272"/>
        <v>0</v>
      </c>
      <c r="AX167" s="82">
        <f t="shared" si="272"/>
        <v>0</v>
      </c>
      <c r="AY167" s="82">
        <f t="shared" si="272"/>
        <v>7.45</v>
      </c>
      <c r="AZ167" s="82">
        <f t="shared" si="272"/>
        <v>0</v>
      </c>
      <c r="BA167" s="82">
        <f t="shared" si="272"/>
        <v>0</v>
      </c>
      <c r="BB167" s="82">
        <f t="shared" si="272"/>
        <v>0</v>
      </c>
      <c r="BC167" s="82" t="e">
        <f>#REF!-AP167</f>
        <v>#REF!</v>
      </c>
      <c r="BD167" s="82" t="e">
        <f>BC167</f>
        <v>#REF!</v>
      </c>
      <c r="BE167" s="82">
        <v>0</v>
      </c>
      <c r="BF167" s="82">
        <f t="shared" ref="BF167:BG167" si="273">BF170</f>
        <v>0</v>
      </c>
      <c r="BG167" s="82">
        <f t="shared" si="273"/>
        <v>0</v>
      </c>
      <c r="BH167" s="308"/>
      <c r="BI167" s="128">
        <v>0</v>
      </c>
      <c r="BJ167" s="129">
        <v>0</v>
      </c>
      <c r="BK167" s="129">
        <v>0</v>
      </c>
      <c r="BL167" s="129">
        <v>0</v>
      </c>
      <c r="BM167" s="128">
        <v>0</v>
      </c>
      <c r="BN167" s="129">
        <v>0</v>
      </c>
      <c r="BO167" s="129">
        <v>0</v>
      </c>
      <c r="BP167" s="129">
        <v>0</v>
      </c>
    </row>
    <row r="168" spans="1:68" s="100" customFormat="1" ht="18" hidden="1" customHeight="1">
      <c r="A168" s="332"/>
      <c r="B168" s="257" t="s">
        <v>270</v>
      </c>
      <c r="C168" s="258"/>
      <c r="D168" s="258"/>
      <c r="E168" s="258"/>
      <c r="F168" s="259"/>
      <c r="G168" s="260"/>
      <c r="H168" s="261"/>
      <c r="I168" s="376"/>
      <c r="J168" s="101"/>
      <c r="K168" s="262"/>
      <c r="L168" s="263"/>
      <c r="M168" s="264"/>
      <c r="N168" s="264"/>
      <c r="O168" s="264"/>
      <c r="P168" s="264"/>
      <c r="Q168" s="264">
        <f>S168+U168+W168</f>
        <v>3000</v>
      </c>
      <c r="R168" s="264">
        <f>S168</f>
        <v>3000</v>
      </c>
      <c r="S168" s="264">
        <v>3000</v>
      </c>
      <c r="T168" s="264">
        <f>U168</f>
        <v>0</v>
      </c>
      <c r="U168" s="264">
        <v>0</v>
      </c>
      <c r="V168" s="264"/>
      <c r="W168" s="264">
        <v>0</v>
      </c>
      <c r="X168" s="264"/>
      <c r="Y168" s="264"/>
      <c r="Z168" s="264">
        <f>SUM(AA168:AB168)</f>
        <v>0</v>
      </c>
      <c r="AA168" s="264"/>
      <c r="AB168" s="264">
        <v>0</v>
      </c>
      <c r="AC168" s="264"/>
      <c r="AD168" s="264"/>
      <c r="AE168" s="264"/>
      <c r="AF168" s="264"/>
      <c r="AG168" s="264"/>
      <c r="AH168" s="264"/>
      <c r="AI168" s="264"/>
      <c r="AJ168" s="264"/>
      <c r="AK168" s="264"/>
      <c r="AL168" s="264"/>
      <c r="AM168" s="264"/>
      <c r="AN168" s="264"/>
      <c r="AO168" s="419"/>
      <c r="AP168" s="4">
        <f t="shared" ref="AP168:BG168" si="274">AP169</f>
        <v>7.4539999999999997</v>
      </c>
      <c r="AQ168" s="4">
        <f t="shared" si="274"/>
        <v>0</v>
      </c>
      <c r="AR168" s="4">
        <f t="shared" si="274"/>
        <v>0</v>
      </c>
      <c r="AS168" s="4">
        <f t="shared" si="274"/>
        <v>0</v>
      </c>
      <c r="AT168" s="4">
        <f t="shared" si="274"/>
        <v>0</v>
      </c>
      <c r="AU168" s="4">
        <f t="shared" si="274"/>
        <v>7.4539999999999997</v>
      </c>
      <c r="AV168" s="4">
        <f t="shared" si="274"/>
        <v>7.4539999999999997</v>
      </c>
      <c r="AW168" s="4">
        <f t="shared" si="274"/>
        <v>0</v>
      </c>
      <c r="AX168" s="4">
        <f t="shared" si="274"/>
        <v>0</v>
      </c>
      <c r="AY168" s="4">
        <f t="shared" si="274"/>
        <v>7.45</v>
      </c>
      <c r="AZ168" s="4">
        <f t="shared" si="274"/>
        <v>0</v>
      </c>
      <c r="BA168" s="4">
        <f t="shared" si="274"/>
        <v>0</v>
      </c>
      <c r="BB168" s="4">
        <f t="shared" si="274"/>
        <v>0</v>
      </c>
      <c r="BC168" s="4">
        <f t="shared" si="274"/>
        <v>0</v>
      </c>
      <c r="BD168" s="4">
        <f t="shared" si="274"/>
        <v>0</v>
      </c>
      <c r="BE168" s="4">
        <f t="shared" si="274"/>
        <v>0</v>
      </c>
      <c r="BF168" s="4">
        <f t="shared" si="274"/>
        <v>0</v>
      </c>
      <c r="BG168" s="4">
        <f t="shared" si="274"/>
        <v>0</v>
      </c>
      <c r="BH168" s="738"/>
      <c r="BI168" s="125">
        <v>0</v>
      </c>
      <c r="BJ168" s="126">
        <v>0</v>
      </c>
      <c r="BK168" s="126">
        <v>0</v>
      </c>
      <c r="BL168" s="126">
        <v>0</v>
      </c>
      <c r="BM168" s="125">
        <v>0</v>
      </c>
      <c r="BN168" s="126">
        <v>0</v>
      </c>
      <c r="BO168" s="126">
        <v>0</v>
      </c>
      <c r="BP168" s="126">
        <v>0</v>
      </c>
    </row>
    <row r="169" spans="1:68" s="100" customFormat="1" ht="18" hidden="1" customHeight="1">
      <c r="A169" s="332"/>
      <c r="B169" s="257" t="s">
        <v>271</v>
      </c>
      <c r="C169" s="258"/>
      <c r="D169" s="258"/>
      <c r="E169" s="258"/>
      <c r="F169" s="259"/>
      <c r="G169" s="260"/>
      <c r="H169" s="261"/>
      <c r="I169" s="376"/>
      <c r="J169" s="101"/>
      <c r="K169" s="262"/>
      <c r="L169" s="263"/>
      <c r="M169" s="264"/>
      <c r="N169" s="264"/>
      <c r="O169" s="264"/>
      <c r="P169" s="264"/>
      <c r="Q169" s="264">
        <v>0</v>
      </c>
      <c r="R169" s="264">
        <v>0</v>
      </c>
      <c r="S169" s="264">
        <v>0</v>
      </c>
      <c r="T169" s="264">
        <v>0</v>
      </c>
      <c r="U169" s="264">
        <v>0</v>
      </c>
      <c r="V169" s="264"/>
      <c r="W169" s="264"/>
      <c r="X169" s="264"/>
      <c r="Y169" s="264"/>
      <c r="Z169" s="264">
        <f>SUM(AA169:AB169)</f>
        <v>0</v>
      </c>
      <c r="AA169" s="264"/>
      <c r="AB169" s="264">
        <v>0</v>
      </c>
      <c r="AC169" s="264"/>
      <c r="AD169" s="264"/>
      <c r="AE169" s="264"/>
      <c r="AF169" s="264"/>
      <c r="AG169" s="264"/>
      <c r="AH169" s="264"/>
      <c r="AI169" s="264"/>
      <c r="AJ169" s="264"/>
      <c r="AK169" s="264"/>
      <c r="AL169" s="264"/>
      <c r="AM169" s="264"/>
      <c r="AN169" s="264"/>
      <c r="AO169" s="419"/>
      <c r="AP169" s="268">
        <f>AV169</f>
        <v>7.4539999999999997</v>
      </c>
      <c r="AQ169" s="50"/>
      <c r="AR169" s="50"/>
      <c r="AS169" s="268"/>
      <c r="AT169" s="268"/>
      <c r="AU169" s="268">
        <f>AV169</f>
        <v>7.4539999999999997</v>
      </c>
      <c r="AV169" s="268">
        <v>7.4539999999999997</v>
      </c>
      <c r="AW169" s="268"/>
      <c r="AX169" s="268"/>
      <c r="AY169" s="268">
        <v>7.45</v>
      </c>
      <c r="AZ169" s="268">
        <v>0</v>
      </c>
      <c r="BA169" s="268"/>
      <c r="BB169" s="268"/>
      <c r="BC169" s="268"/>
      <c r="BD169" s="268"/>
      <c r="BE169" s="268"/>
      <c r="BF169" s="268"/>
      <c r="BG169" s="268"/>
      <c r="BH169" s="268"/>
      <c r="BI169" s="125">
        <v>0</v>
      </c>
      <c r="BJ169" s="126">
        <v>0</v>
      </c>
      <c r="BK169" s="126">
        <v>0</v>
      </c>
      <c r="BL169" s="126">
        <v>0</v>
      </c>
      <c r="BM169" s="125">
        <v>0</v>
      </c>
      <c r="BN169" s="126">
        <v>0</v>
      </c>
      <c r="BO169" s="126">
        <v>0</v>
      </c>
      <c r="BP169" s="126">
        <v>0</v>
      </c>
    </row>
    <row r="170" spans="1:68" s="100" customFormat="1" ht="18" hidden="1" customHeight="1">
      <c r="A170" s="332"/>
      <c r="B170" s="257" t="s">
        <v>302</v>
      </c>
      <c r="C170" s="258"/>
      <c r="D170" s="258"/>
      <c r="E170" s="258"/>
      <c r="F170" s="259"/>
      <c r="G170" s="260"/>
      <c r="H170" s="261"/>
      <c r="I170" s="376"/>
      <c r="J170" s="101"/>
      <c r="K170" s="262"/>
      <c r="L170" s="263"/>
      <c r="M170" s="264"/>
      <c r="N170" s="264"/>
      <c r="O170" s="264"/>
      <c r="P170" s="264"/>
      <c r="Q170" s="264">
        <f>Y170</f>
        <v>0</v>
      </c>
      <c r="R170" s="264"/>
      <c r="S170" s="264"/>
      <c r="T170" s="264"/>
      <c r="U170" s="264"/>
      <c r="V170" s="264"/>
      <c r="W170" s="264"/>
      <c r="X170" s="264">
        <f>Y170</f>
        <v>0</v>
      </c>
      <c r="Y170" s="264">
        <v>0</v>
      </c>
      <c r="Z170" s="264">
        <f>SUM(AA170:AD170)</f>
        <v>0</v>
      </c>
      <c r="AA170" s="264"/>
      <c r="AB170" s="264"/>
      <c r="AC170" s="264"/>
      <c r="AD170" s="264">
        <v>0</v>
      </c>
      <c r="AE170" s="264"/>
      <c r="AF170" s="264"/>
      <c r="AG170" s="264"/>
      <c r="AH170" s="264"/>
      <c r="AI170" s="264"/>
      <c r="AJ170" s="264"/>
      <c r="AK170" s="264"/>
      <c r="AL170" s="264"/>
      <c r="AM170" s="264"/>
      <c r="AN170" s="264"/>
      <c r="AO170" s="419"/>
      <c r="AP170" s="4">
        <v>0</v>
      </c>
      <c r="AQ170" s="4">
        <v>0</v>
      </c>
      <c r="AR170" s="4">
        <v>0</v>
      </c>
      <c r="AS170" s="4">
        <v>0</v>
      </c>
      <c r="AT170" s="4">
        <v>0</v>
      </c>
      <c r="AU170" s="4">
        <v>0</v>
      </c>
      <c r="AV170" s="4">
        <v>0</v>
      </c>
      <c r="AW170" s="4">
        <v>0</v>
      </c>
      <c r="AX170" s="4">
        <v>0</v>
      </c>
      <c r="AY170" s="4">
        <v>0</v>
      </c>
      <c r="AZ170" s="4">
        <v>0</v>
      </c>
      <c r="BA170" s="4">
        <v>0</v>
      </c>
      <c r="BB170" s="4">
        <v>0</v>
      </c>
      <c r="BC170" s="4">
        <v>0</v>
      </c>
      <c r="BD170" s="4">
        <v>0</v>
      </c>
      <c r="BE170" s="4">
        <v>0</v>
      </c>
      <c r="BF170" s="4">
        <v>0</v>
      </c>
      <c r="BG170" s="4">
        <v>0</v>
      </c>
      <c r="BH170" s="738"/>
      <c r="BI170" s="125">
        <v>0</v>
      </c>
      <c r="BJ170" s="126">
        <v>0</v>
      </c>
      <c r="BK170" s="126">
        <v>0</v>
      </c>
      <c r="BL170" s="126">
        <v>0</v>
      </c>
      <c r="BM170" s="125">
        <v>0</v>
      </c>
      <c r="BN170" s="126">
        <v>0</v>
      </c>
      <c r="BO170" s="126">
        <v>0</v>
      </c>
      <c r="BP170" s="126">
        <v>0</v>
      </c>
    </row>
    <row r="171" spans="1:68" s="100" customFormat="1" ht="18" hidden="1" customHeight="1">
      <c r="A171" s="332"/>
      <c r="B171" s="257" t="s">
        <v>303</v>
      </c>
      <c r="C171" s="258"/>
      <c r="D171" s="258"/>
      <c r="E171" s="258"/>
      <c r="F171" s="259"/>
      <c r="G171" s="260"/>
      <c r="H171" s="261"/>
      <c r="I171" s="376"/>
      <c r="J171" s="101"/>
      <c r="K171" s="262"/>
      <c r="L171" s="263"/>
      <c r="M171" s="264"/>
      <c r="N171" s="264"/>
      <c r="O171" s="264"/>
      <c r="P171" s="264"/>
      <c r="Q171" s="264">
        <f>Y171</f>
        <v>0</v>
      </c>
      <c r="R171" s="264"/>
      <c r="S171" s="264"/>
      <c r="T171" s="264"/>
      <c r="U171" s="264"/>
      <c r="V171" s="264"/>
      <c r="W171" s="264"/>
      <c r="X171" s="264">
        <f>Y171</f>
        <v>0</v>
      </c>
      <c r="Y171" s="264">
        <v>0</v>
      </c>
      <c r="Z171" s="264">
        <f>SUM(AA171:AD171)</f>
        <v>0</v>
      </c>
      <c r="AA171" s="264"/>
      <c r="AB171" s="264"/>
      <c r="AC171" s="264"/>
      <c r="AD171" s="264">
        <v>0</v>
      </c>
      <c r="AE171" s="264"/>
      <c r="AF171" s="264"/>
      <c r="AG171" s="264"/>
      <c r="AH171" s="264"/>
      <c r="AI171" s="264"/>
      <c r="AJ171" s="264"/>
      <c r="AK171" s="264"/>
      <c r="AL171" s="264"/>
      <c r="AM171" s="264"/>
      <c r="AN171" s="264"/>
      <c r="AO171" s="419"/>
      <c r="AP171" s="77"/>
      <c r="AQ171" s="77"/>
      <c r="AR171" s="77"/>
      <c r="AS171" s="77"/>
      <c r="AT171" s="77"/>
      <c r="AU171" s="77"/>
      <c r="AV171" s="77"/>
      <c r="AW171" s="77"/>
      <c r="AX171" s="77"/>
      <c r="AY171" s="77"/>
      <c r="AZ171" s="77"/>
      <c r="BA171" s="77"/>
      <c r="BB171" s="77"/>
      <c r="BC171" s="77"/>
      <c r="BD171" s="77"/>
      <c r="BE171" s="77"/>
      <c r="BF171" s="77"/>
      <c r="BG171" s="77"/>
      <c r="BH171" s="312"/>
      <c r="BI171" s="125">
        <v>0</v>
      </c>
      <c r="BJ171" s="126">
        <v>0</v>
      </c>
      <c r="BK171" s="126">
        <v>0</v>
      </c>
      <c r="BL171" s="126">
        <v>0</v>
      </c>
      <c r="BM171" s="125">
        <v>0</v>
      </c>
      <c r="BN171" s="126">
        <v>0</v>
      </c>
      <c r="BO171" s="126">
        <v>0</v>
      </c>
      <c r="BP171" s="126">
        <v>0</v>
      </c>
    </row>
    <row r="172" spans="1:68" ht="27" customHeight="1">
      <c r="A172" s="711"/>
      <c r="B172" s="42" t="s">
        <v>16</v>
      </c>
      <c r="C172" s="342"/>
      <c r="D172" s="342"/>
      <c r="E172" s="342"/>
      <c r="F172" s="319"/>
      <c r="G172" s="343"/>
      <c r="H172" s="344"/>
      <c r="I172" s="724" t="s">
        <v>10</v>
      </c>
      <c r="J172" s="703"/>
      <c r="K172" s="345"/>
      <c r="L172" s="75">
        <v>195485</v>
      </c>
      <c r="M172" s="75">
        <v>195485</v>
      </c>
      <c r="N172" s="75">
        <v>195485</v>
      </c>
      <c r="O172" s="75">
        <v>195485</v>
      </c>
      <c r="P172" s="75">
        <v>0</v>
      </c>
      <c r="Q172" s="86">
        <f>Q173</f>
        <v>0</v>
      </c>
      <c r="R172" s="86">
        <f t="shared" ref="R172:AH172" si="275">R173</f>
        <v>0</v>
      </c>
      <c r="S172" s="86">
        <f t="shared" si="275"/>
        <v>0</v>
      </c>
      <c r="T172" s="86">
        <f t="shared" si="275"/>
        <v>0</v>
      </c>
      <c r="U172" s="86">
        <f t="shared" si="275"/>
        <v>0</v>
      </c>
      <c r="V172" s="86">
        <f t="shared" si="275"/>
        <v>0</v>
      </c>
      <c r="W172" s="86">
        <f t="shared" si="275"/>
        <v>0</v>
      </c>
      <c r="X172" s="86">
        <f t="shared" si="275"/>
        <v>0</v>
      </c>
      <c r="Y172" s="86">
        <f t="shared" si="275"/>
        <v>0</v>
      </c>
      <c r="Z172" s="86">
        <f t="shared" si="275"/>
        <v>0</v>
      </c>
      <c r="AA172" s="86">
        <f t="shared" si="275"/>
        <v>0</v>
      </c>
      <c r="AB172" s="86">
        <f t="shared" si="275"/>
        <v>0</v>
      </c>
      <c r="AC172" s="86">
        <f t="shared" si="275"/>
        <v>0</v>
      </c>
      <c r="AD172" s="86">
        <f t="shared" si="275"/>
        <v>0</v>
      </c>
      <c r="AE172" s="86">
        <f t="shared" si="275"/>
        <v>0</v>
      </c>
      <c r="AF172" s="86">
        <f t="shared" si="275"/>
        <v>0</v>
      </c>
      <c r="AG172" s="86">
        <f t="shared" si="275"/>
        <v>0</v>
      </c>
      <c r="AH172" s="86">
        <f t="shared" si="275"/>
        <v>0</v>
      </c>
      <c r="AI172" s="86"/>
      <c r="AJ172" s="86"/>
      <c r="AK172" s="86"/>
      <c r="AL172" s="86"/>
      <c r="AM172" s="86"/>
      <c r="AN172" s="86"/>
      <c r="AO172" s="416"/>
      <c r="AP172" s="77"/>
      <c r="AQ172" s="77"/>
      <c r="AR172" s="77"/>
      <c r="AS172" s="77"/>
      <c r="AT172" s="77"/>
      <c r="AU172" s="77"/>
      <c r="AV172" s="77"/>
      <c r="AW172" s="77"/>
      <c r="AX172" s="77"/>
      <c r="AY172" s="77"/>
      <c r="AZ172" s="77"/>
      <c r="BA172" s="77"/>
      <c r="BB172" s="77"/>
      <c r="BC172" s="77"/>
      <c r="BD172" s="77"/>
      <c r="BE172" s="77"/>
      <c r="BF172" s="77"/>
      <c r="BG172" s="77"/>
      <c r="BI172" s="125">
        <v>0</v>
      </c>
      <c r="BJ172" s="126">
        <v>0</v>
      </c>
      <c r="BK172" s="126">
        <v>0</v>
      </c>
      <c r="BL172" s="126">
        <v>0</v>
      </c>
      <c r="BM172" s="125">
        <v>0</v>
      </c>
      <c r="BN172" s="126">
        <v>0</v>
      </c>
      <c r="BO172" s="126">
        <v>0</v>
      </c>
      <c r="BP172" s="126">
        <v>0</v>
      </c>
    </row>
    <row r="173" spans="1:68" s="100" customFormat="1" ht="28.5" hidden="1" customHeight="1">
      <c r="A173" s="332"/>
      <c r="B173" s="257"/>
      <c r="C173" s="258"/>
      <c r="D173" s="258"/>
      <c r="E173" s="258"/>
      <c r="F173" s="259"/>
      <c r="G173" s="260"/>
      <c r="H173" s="261"/>
      <c r="I173" s="376"/>
      <c r="J173" s="101"/>
      <c r="K173" s="262"/>
      <c r="L173" s="263"/>
      <c r="M173" s="264"/>
      <c r="N173" s="264"/>
      <c r="O173" s="264"/>
      <c r="P173" s="264"/>
      <c r="Q173" s="264"/>
      <c r="R173" s="264"/>
      <c r="S173" s="264"/>
      <c r="T173" s="264"/>
      <c r="U173" s="264"/>
      <c r="V173" s="264"/>
      <c r="W173" s="264"/>
      <c r="X173" s="264"/>
      <c r="Y173" s="264"/>
      <c r="Z173" s="264"/>
      <c r="AA173" s="264"/>
      <c r="AB173" s="264"/>
      <c r="AC173" s="264"/>
      <c r="AD173" s="264"/>
      <c r="AE173" s="264"/>
      <c r="AF173" s="264"/>
      <c r="AG173" s="264"/>
      <c r="AH173" s="264"/>
      <c r="AI173" s="264"/>
      <c r="AJ173" s="264"/>
      <c r="AK173" s="264"/>
      <c r="AL173" s="264"/>
      <c r="AM173" s="264"/>
      <c r="AN173" s="264"/>
      <c r="AO173" s="419"/>
      <c r="AP173" s="77"/>
      <c r="AQ173" s="77"/>
      <c r="AR173" s="77"/>
      <c r="AS173" s="77"/>
      <c r="AT173" s="77"/>
      <c r="AU173" s="77"/>
      <c r="AV173" s="77"/>
      <c r="AW173" s="77"/>
      <c r="AX173" s="77"/>
      <c r="AY173" s="77"/>
      <c r="AZ173" s="77"/>
      <c r="BA173" s="77"/>
      <c r="BB173" s="77"/>
      <c r="BC173" s="77"/>
      <c r="BD173" s="77"/>
      <c r="BE173" s="77"/>
      <c r="BF173" s="77"/>
      <c r="BG173" s="77"/>
      <c r="BH173" s="312"/>
      <c r="BI173" s="125">
        <v>0</v>
      </c>
      <c r="BJ173" s="126">
        <v>0</v>
      </c>
      <c r="BK173" s="126">
        <v>0</v>
      </c>
      <c r="BL173" s="126">
        <v>0</v>
      </c>
      <c r="BM173" s="125">
        <v>0</v>
      </c>
      <c r="BN173" s="126">
        <v>0</v>
      </c>
      <c r="BO173" s="126">
        <v>0</v>
      </c>
      <c r="BP173" s="126">
        <v>0</v>
      </c>
    </row>
    <row r="174" spans="1:68" ht="43.5" customHeight="1">
      <c r="A174" s="881" t="s">
        <v>24</v>
      </c>
      <c r="B174" s="889" t="s">
        <v>211</v>
      </c>
      <c r="C174" s="890"/>
      <c r="D174" s="890"/>
      <c r="E174" s="890"/>
      <c r="F174" s="890"/>
      <c r="G174" s="890"/>
      <c r="H174" s="891"/>
      <c r="I174" s="23" t="s">
        <v>19</v>
      </c>
      <c r="J174" s="703">
        <v>0</v>
      </c>
      <c r="K174" s="703">
        <v>0</v>
      </c>
      <c r="L174" s="22">
        <v>0</v>
      </c>
      <c r="M174" s="47">
        <v>0</v>
      </c>
      <c r="N174" s="47">
        <v>0</v>
      </c>
      <c r="O174" s="47">
        <v>1</v>
      </c>
      <c r="P174" s="47">
        <v>0</v>
      </c>
      <c r="Q174" s="47">
        <v>0</v>
      </c>
      <c r="R174" s="47">
        <v>0</v>
      </c>
      <c r="S174" s="47">
        <v>0</v>
      </c>
      <c r="T174" s="47">
        <v>0</v>
      </c>
      <c r="U174" s="47">
        <v>0</v>
      </c>
      <c r="V174" s="47">
        <v>0</v>
      </c>
      <c r="W174" s="47">
        <v>0</v>
      </c>
      <c r="X174" s="47">
        <v>0</v>
      </c>
      <c r="Y174" s="47">
        <v>0</v>
      </c>
      <c r="Z174" s="47">
        <v>0</v>
      </c>
      <c r="AA174" s="47">
        <v>0</v>
      </c>
      <c r="AB174" s="47">
        <v>0</v>
      </c>
      <c r="AC174" s="47">
        <v>0</v>
      </c>
      <c r="AD174" s="47">
        <v>0</v>
      </c>
      <c r="AE174" s="47">
        <v>0</v>
      </c>
      <c r="AF174" s="47">
        <v>0</v>
      </c>
      <c r="AG174" s="47">
        <v>0</v>
      </c>
      <c r="AH174" s="47">
        <v>0</v>
      </c>
      <c r="AI174" s="47">
        <v>0</v>
      </c>
      <c r="AJ174" s="47">
        <v>0</v>
      </c>
      <c r="AK174" s="47">
        <v>0</v>
      </c>
      <c r="AL174" s="47">
        <v>0</v>
      </c>
      <c r="AM174" s="47">
        <v>0</v>
      </c>
      <c r="AN174" s="47">
        <v>0</v>
      </c>
      <c r="AO174" s="403"/>
      <c r="AP174" s="272"/>
      <c r="AQ174" s="77"/>
      <c r="AR174" s="77"/>
      <c r="AS174" s="272"/>
      <c r="AT174" s="272"/>
      <c r="AU174" s="272"/>
      <c r="AV174" s="272"/>
      <c r="AW174" s="77"/>
      <c r="AX174" s="77"/>
      <c r="AY174" s="272"/>
      <c r="AZ174" s="272"/>
      <c r="BA174" s="272"/>
      <c r="BB174" s="272"/>
      <c r="BC174" s="272"/>
      <c r="BD174" s="272"/>
      <c r="BE174" s="272"/>
      <c r="BF174" s="272"/>
      <c r="BG174" s="272"/>
      <c r="BH174" s="313"/>
      <c r="BI174" s="125">
        <v>0</v>
      </c>
      <c r="BJ174" s="126">
        <v>0</v>
      </c>
      <c r="BK174" s="126">
        <v>0</v>
      </c>
      <c r="BL174" s="126">
        <v>0</v>
      </c>
      <c r="BM174" s="125">
        <v>0</v>
      </c>
      <c r="BN174" s="126">
        <v>0</v>
      </c>
      <c r="BO174" s="126">
        <v>0</v>
      </c>
      <c r="BP174" s="126">
        <v>0</v>
      </c>
    </row>
    <row r="175" spans="1:68" ht="41.25" customHeight="1">
      <c r="A175" s="881"/>
      <c r="B175" s="892"/>
      <c r="C175" s="893"/>
      <c r="D175" s="893"/>
      <c r="E175" s="893"/>
      <c r="F175" s="893"/>
      <c r="G175" s="893"/>
      <c r="H175" s="894"/>
      <c r="I175" s="23" t="s">
        <v>20</v>
      </c>
      <c r="J175" s="703">
        <f>J178</f>
        <v>6379.79</v>
      </c>
      <c r="K175" s="703">
        <f>K178</f>
        <v>0</v>
      </c>
      <c r="L175" s="47">
        <f t="shared" ref="L175:P175" si="276">L178+L183+L189</f>
        <v>13097.62</v>
      </c>
      <c r="M175" s="47">
        <f t="shared" si="276"/>
        <v>4269.0300000000007</v>
      </c>
      <c r="N175" s="47">
        <f t="shared" si="276"/>
        <v>5370.84</v>
      </c>
      <c r="O175" s="47">
        <f t="shared" si="276"/>
        <v>3372.5</v>
      </c>
      <c r="P175" s="47">
        <f t="shared" si="276"/>
        <v>232.24799999999999</v>
      </c>
      <c r="Q175" s="47">
        <f>Q178+Q183+Q189</f>
        <v>5077.973</v>
      </c>
      <c r="R175" s="47">
        <f t="shared" ref="R175:AJ175" si="277">R178+R183+R189</f>
        <v>0</v>
      </c>
      <c r="S175" s="47">
        <f t="shared" si="277"/>
        <v>0</v>
      </c>
      <c r="T175" s="47">
        <f t="shared" si="277"/>
        <v>904.15300000000002</v>
      </c>
      <c r="U175" s="47">
        <f t="shared" si="277"/>
        <v>904.15300000000002</v>
      </c>
      <c r="V175" s="47">
        <f t="shared" si="277"/>
        <v>0</v>
      </c>
      <c r="W175" s="47">
        <f t="shared" si="277"/>
        <v>4173.82</v>
      </c>
      <c r="X175" s="47">
        <f t="shared" si="277"/>
        <v>0</v>
      </c>
      <c r="Y175" s="47">
        <f t="shared" si="277"/>
        <v>0</v>
      </c>
      <c r="Z175" s="47">
        <f t="shared" si="277"/>
        <v>5804.1530000000002</v>
      </c>
      <c r="AA175" s="47">
        <f t="shared" si="277"/>
        <v>0</v>
      </c>
      <c r="AB175" s="47">
        <f t="shared" si="277"/>
        <v>904.15300000000002</v>
      </c>
      <c r="AC175" s="47">
        <f t="shared" si="277"/>
        <v>4900</v>
      </c>
      <c r="AD175" s="47">
        <f t="shared" si="277"/>
        <v>0</v>
      </c>
      <c r="AE175" s="47">
        <f t="shared" si="277"/>
        <v>0</v>
      </c>
      <c r="AF175" s="47">
        <f t="shared" si="277"/>
        <v>0</v>
      </c>
      <c r="AG175" s="47">
        <f t="shared" si="277"/>
        <v>0</v>
      </c>
      <c r="AH175" s="47">
        <f t="shared" si="277"/>
        <v>0</v>
      </c>
      <c r="AI175" s="47">
        <f t="shared" si="277"/>
        <v>0</v>
      </c>
      <c r="AJ175" s="47">
        <f t="shared" si="277"/>
        <v>-4845.7250000000004</v>
      </c>
      <c r="AK175" s="47">
        <f t="shared" ref="AK175:AN175" si="278">AK178</f>
        <v>-4845.7250000000004</v>
      </c>
      <c r="AL175" s="47">
        <f t="shared" si="278"/>
        <v>2186.44</v>
      </c>
      <c r="AM175" s="47">
        <f t="shared" si="278"/>
        <v>0</v>
      </c>
      <c r="AN175" s="47">
        <f t="shared" si="278"/>
        <v>0</v>
      </c>
      <c r="AO175" s="403"/>
      <c r="AP175" s="272"/>
      <c r="AQ175" s="77"/>
      <c r="AR175" s="77"/>
      <c r="AS175" s="272"/>
      <c r="AT175" s="272"/>
      <c r="AU175" s="272"/>
      <c r="AV175" s="272"/>
      <c r="AW175" s="77"/>
      <c r="AX175" s="77"/>
      <c r="AY175" s="272"/>
      <c r="AZ175" s="272"/>
      <c r="BA175" s="272"/>
      <c r="BB175" s="272"/>
      <c r="BC175" s="272"/>
      <c r="BD175" s="272"/>
      <c r="BE175" s="272"/>
      <c r="BF175" s="272"/>
      <c r="BG175" s="272"/>
      <c r="BH175" s="313"/>
      <c r="BI175" s="125">
        <v>0</v>
      </c>
      <c r="BJ175" s="126">
        <v>0</v>
      </c>
      <c r="BK175" s="126">
        <v>0</v>
      </c>
      <c r="BL175" s="126">
        <v>0</v>
      </c>
      <c r="BM175" s="125">
        <v>0</v>
      </c>
      <c r="BN175" s="126">
        <v>0</v>
      </c>
      <c r="BO175" s="126">
        <v>0</v>
      </c>
      <c r="BP175" s="126">
        <v>0</v>
      </c>
    </row>
    <row r="176" spans="1:68" ht="38.25" customHeight="1">
      <c r="A176" s="881"/>
      <c r="B176" s="892"/>
      <c r="C176" s="893"/>
      <c r="D176" s="893"/>
      <c r="E176" s="893"/>
      <c r="F176" s="893"/>
      <c r="G176" s="893"/>
      <c r="H176" s="894"/>
      <c r="I176" s="15" t="s">
        <v>10</v>
      </c>
      <c r="J176" s="703">
        <v>0</v>
      </c>
      <c r="K176" s="703">
        <v>0</v>
      </c>
      <c r="L176" s="22">
        <f>L195+L197</f>
        <v>2305.4499999999998</v>
      </c>
      <c r="M176" s="22">
        <f>M195+M197</f>
        <v>1650.1</v>
      </c>
      <c r="N176" s="22">
        <f t="shared" ref="N176:AI176" si="279">N195+N197</f>
        <v>0</v>
      </c>
      <c r="O176" s="22">
        <f t="shared" si="279"/>
        <v>0</v>
      </c>
      <c r="P176" s="22">
        <f t="shared" si="279"/>
        <v>0</v>
      </c>
      <c r="Q176" s="22">
        <f t="shared" si="279"/>
        <v>0</v>
      </c>
      <c r="R176" s="22">
        <f t="shared" si="279"/>
        <v>0</v>
      </c>
      <c r="S176" s="22">
        <f t="shared" si="279"/>
        <v>0</v>
      </c>
      <c r="T176" s="22">
        <f t="shared" si="279"/>
        <v>0</v>
      </c>
      <c r="U176" s="22">
        <f t="shared" si="279"/>
        <v>0</v>
      </c>
      <c r="V176" s="22">
        <f t="shared" si="279"/>
        <v>0</v>
      </c>
      <c r="W176" s="22">
        <f t="shared" si="279"/>
        <v>0</v>
      </c>
      <c r="X176" s="22">
        <f t="shared" si="279"/>
        <v>0</v>
      </c>
      <c r="Y176" s="22">
        <f t="shared" si="279"/>
        <v>0</v>
      </c>
      <c r="Z176" s="22">
        <f t="shared" si="279"/>
        <v>0</v>
      </c>
      <c r="AA176" s="22">
        <f t="shared" si="279"/>
        <v>0</v>
      </c>
      <c r="AB176" s="22">
        <f t="shared" si="279"/>
        <v>0</v>
      </c>
      <c r="AC176" s="22">
        <f t="shared" si="279"/>
        <v>0</v>
      </c>
      <c r="AD176" s="22">
        <f t="shared" si="279"/>
        <v>0</v>
      </c>
      <c r="AE176" s="22">
        <f t="shared" si="279"/>
        <v>0</v>
      </c>
      <c r="AF176" s="22">
        <f t="shared" si="279"/>
        <v>0</v>
      </c>
      <c r="AG176" s="22">
        <f t="shared" si="279"/>
        <v>0</v>
      </c>
      <c r="AH176" s="22">
        <f t="shared" si="279"/>
        <v>0</v>
      </c>
      <c r="AI176" s="22">
        <f t="shared" si="279"/>
        <v>0</v>
      </c>
      <c r="AJ176" s="22">
        <v>0</v>
      </c>
      <c r="AK176" s="22">
        <v>0</v>
      </c>
      <c r="AL176" s="22">
        <v>0</v>
      </c>
      <c r="AM176" s="22">
        <v>0</v>
      </c>
      <c r="AN176" s="22">
        <v>0</v>
      </c>
      <c r="AO176" s="404"/>
      <c r="AP176" s="22">
        <v>1</v>
      </c>
      <c r="AQ176" s="22">
        <v>2</v>
      </c>
      <c r="AR176" s="22">
        <v>3</v>
      </c>
      <c r="AS176" s="22">
        <v>4</v>
      </c>
      <c r="AT176" s="22">
        <v>5</v>
      </c>
      <c r="AU176" s="22">
        <v>6</v>
      </c>
      <c r="AV176" s="22">
        <v>7</v>
      </c>
      <c r="AW176" s="22">
        <v>8</v>
      </c>
      <c r="AX176" s="22">
        <v>9</v>
      </c>
      <c r="AY176" s="22">
        <v>10</v>
      </c>
      <c r="AZ176" s="22">
        <v>11</v>
      </c>
      <c r="BA176" s="22">
        <v>12</v>
      </c>
      <c r="BB176" s="22">
        <v>13</v>
      </c>
      <c r="BC176" s="22">
        <v>14</v>
      </c>
      <c r="BD176" s="22">
        <v>15</v>
      </c>
      <c r="BE176" s="22">
        <v>16</v>
      </c>
      <c r="BF176" s="22">
        <v>17</v>
      </c>
      <c r="BG176" s="22">
        <v>18</v>
      </c>
      <c r="BH176" s="22">
        <v>19</v>
      </c>
      <c r="BI176" s="125">
        <v>0</v>
      </c>
      <c r="BJ176" s="126">
        <v>0</v>
      </c>
      <c r="BK176" s="126">
        <v>0</v>
      </c>
      <c r="BL176" s="126">
        <v>0</v>
      </c>
      <c r="BM176" s="22">
        <v>0</v>
      </c>
      <c r="BN176" s="22">
        <v>0</v>
      </c>
      <c r="BO176" s="22">
        <v>0</v>
      </c>
      <c r="BP176" s="126">
        <v>0</v>
      </c>
    </row>
    <row r="177" spans="1:68" ht="25.5">
      <c r="A177" s="881"/>
      <c r="B177" s="895"/>
      <c r="C177" s="896"/>
      <c r="D177" s="896"/>
      <c r="E177" s="896"/>
      <c r="F177" s="896"/>
      <c r="G177" s="896"/>
      <c r="H177" s="897"/>
      <c r="I177" s="15" t="s">
        <v>9</v>
      </c>
      <c r="J177" s="703">
        <v>0</v>
      </c>
      <c r="K177" s="703">
        <v>0</v>
      </c>
      <c r="L177" s="22">
        <v>0</v>
      </c>
      <c r="M177" s="22">
        <v>0</v>
      </c>
      <c r="N177" s="22">
        <v>0</v>
      </c>
      <c r="O177" s="22">
        <v>1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  <c r="V177" s="22">
        <v>0</v>
      </c>
      <c r="W177" s="22">
        <v>0</v>
      </c>
      <c r="X177" s="22">
        <v>0</v>
      </c>
      <c r="Y177" s="22">
        <v>0</v>
      </c>
      <c r="Z177" s="22">
        <v>0</v>
      </c>
      <c r="AA177" s="22">
        <v>0</v>
      </c>
      <c r="AB177" s="22">
        <v>0</v>
      </c>
      <c r="AC177" s="22">
        <v>0</v>
      </c>
      <c r="AD177" s="22">
        <v>0</v>
      </c>
      <c r="AE177" s="22">
        <v>0</v>
      </c>
      <c r="AF177" s="22">
        <v>0</v>
      </c>
      <c r="AG177" s="22">
        <v>0</v>
      </c>
      <c r="AH177" s="22">
        <v>0</v>
      </c>
      <c r="AI177" s="22">
        <v>0</v>
      </c>
      <c r="AJ177" s="22">
        <v>0</v>
      </c>
      <c r="AK177" s="22">
        <v>0</v>
      </c>
      <c r="AL177" s="22">
        <v>0</v>
      </c>
      <c r="AM177" s="22">
        <v>0</v>
      </c>
      <c r="AN177" s="22">
        <v>0</v>
      </c>
      <c r="AO177" s="404"/>
      <c r="AP177" s="22">
        <f t="shared" ref="AP177:BO177" si="280">AP180+AP182++AP187+AP190+AP191+AP193+AP197+AP201+AP208+AP211</f>
        <v>19221.413</v>
      </c>
      <c r="AQ177" s="22">
        <f t="shared" si="280"/>
        <v>33.478999999999999</v>
      </c>
      <c r="AR177" s="22">
        <f t="shared" si="280"/>
        <v>33.478999999999999</v>
      </c>
      <c r="AS177" s="22">
        <f t="shared" si="280"/>
        <v>0</v>
      </c>
      <c r="AT177" s="22">
        <f t="shared" si="280"/>
        <v>0</v>
      </c>
      <c r="AU177" s="22">
        <f t="shared" si="280"/>
        <v>3050</v>
      </c>
      <c r="AV177" s="22">
        <f t="shared" si="280"/>
        <v>3050</v>
      </c>
      <c r="AW177" s="22">
        <f t="shared" si="280"/>
        <v>18014.374</v>
      </c>
      <c r="AX177" s="22">
        <f t="shared" si="280"/>
        <v>16137.933999999999</v>
      </c>
      <c r="AY177" s="22">
        <f t="shared" si="280"/>
        <v>24886.960000000003</v>
      </c>
      <c r="AZ177" s="22">
        <f t="shared" si="280"/>
        <v>24853.480000000003</v>
      </c>
      <c r="BA177" s="22">
        <f t="shared" si="280"/>
        <v>0</v>
      </c>
      <c r="BB177" s="22">
        <f t="shared" si="280"/>
        <v>0</v>
      </c>
      <c r="BC177" s="22" t="e">
        <f t="shared" si="280"/>
        <v>#REF!</v>
      </c>
      <c r="BD177" s="22" t="e">
        <f t="shared" si="280"/>
        <v>#REF!</v>
      </c>
      <c r="BE177" s="22" t="e">
        <f t="shared" si="280"/>
        <v>#REF!</v>
      </c>
      <c r="BF177" s="22">
        <f t="shared" si="280"/>
        <v>0</v>
      </c>
      <c r="BG177" s="22">
        <f t="shared" si="280"/>
        <v>0</v>
      </c>
      <c r="BH177" s="22" t="e">
        <f t="shared" si="280"/>
        <v>#VALUE!</v>
      </c>
      <c r="BI177" s="22">
        <f t="shared" si="280"/>
        <v>0</v>
      </c>
      <c r="BJ177" s="22">
        <f t="shared" si="280"/>
        <v>0</v>
      </c>
      <c r="BK177" s="22">
        <f t="shared" si="280"/>
        <v>0</v>
      </c>
      <c r="BL177" s="22">
        <f t="shared" si="280"/>
        <v>0</v>
      </c>
      <c r="BM177" s="22">
        <f t="shared" si="280"/>
        <v>0</v>
      </c>
      <c r="BN177" s="22">
        <f t="shared" si="280"/>
        <v>0</v>
      </c>
      <c r="BO177" s="22">
        <f t="shared" si="280"/>
        <v>0</v>
      </c>
      <c r="BP177" s="126">
        <v>0</v>
      </c>
    </row>
    <row r="178" spans="1:68" ht="55.5" customHeight="1">
      <c r="A178" s="825" t="s">
        <v>30</v>
      </c>
      <c r="B178" s="80" t="s">
        <v>365</v>
      </c>
      <c r="C178" s="815">
        <v>300</v>
      </c>
      <c r="D178" s="815">
        <v>570</v>
      </c>
      <c r="E178" s="815"/>
      <c r="F178" s="815"/>
      <c r="G178" s="717"/>
      <c r="H178" s="717"/>
      <c r="I178" s="837" t="s">
        <v>20</v>
      </c>
      <c r="J178" s="912">
        <v>6379.79</v>
      </c>
      <c r="K178" s="3">
        <v>0</v>
      </c>
      <c r="L178" s="82">
        <f t="shared" ref="L178:AI178" si="281">L179+L182</f>
        <v>5597.58</v>
      </c>
      <c r="M178" s="82">
        <f t="shared" si="281"/>
        <v>0</v>
      </c>
      <c r="N178" s="82">
        <f t="shared" si="281"/>
        <v>5370.84</v>
      </c>
      <c r="O178" s="82">
        <f t="shared" si="281"/>
        <v>3372.5</v>
      </c>
      <c r="P178" s="82">
        <f t="shared" si="281"/>
        <v>232.24799999999999</v>
      </c>
      <c r="Q178" s="82">
        <f t="shared" si="281"/>
        <v>5077.973</v>
      </c>
      <c r="R178" s="82">
        <f t="shared" si="281"/>
        <v>0</v>
      </c>
      <c r="S178" s="82">
        <f t="shared" si="281"/>
        <v>0</v>
      </c>
      <c r="T178" s="82">
        <f t="shared" si="281"/>
        <v>904.15300000000002</v>
      </c>
      <c r="U178" s="82">
        <f t="shared" si="281"/>
        <v>904.15300000000002</v>
      </c>
      <c r="V178" s="82">
        <f t="shared" si="281"/>
        <v>0</v>
      </c>
      <c r="W178" s="82">
        <f t="shared" si="281"/>
        <v>4173.82</v>
      </c>
      <c r="X178" s="82">
        <f t="shared" si="281"/>
        <v>0</v>
      </c>
      <c r="Y178" s="82">
        <f t="shared" si="281"/>
        <v>0</v>
      </c>
      <c r="Z178" s="82">
        <f t="shared" si="281"/>
        <v>5804.1530000000002</v>
      </c>
      <c r="AA178" s="82">
        <f t="shared" si="281"/>
        <v>0</v>
      </c>
      <c r="AB178" s="82">
        <f t="shared" si="281"/>
        <v>904.15300000000002</v>
      </c>
      <c r="AC178" s="82">
        <f t="shared" si="281"/>
        <v>4900</v>
      </c>
      <c r="AD178" s="82">
        <f t="shared" si="281"/>
        <v>0</v>
      </c>
      <c r="AE178" s="82">
        <f t="shared" si="281"/>
        <v>0</v>
      </c>
      <c r="AF178" s="82">
        <f t="shared" si="281"/>
        <v>0</v>
      </c>
      <c r="AG178" s="82">
        <f t="shared" si="281"/>
        <v>0</v>
      </c>
      <c r="AH178" s="82">
        <f t="shared" si="281"/>
        <v>0</v>
      </c>
      <c r="AI178" s="82">
        <f t="shared" si="281"/>
        <v>0</v>
      </c>
      <c r="AJ178" s="82">
        <f>P178-Q178</f>
        <v>-4845.7250000000004</v>
      </c>
      <c r="AK178" s="82">
        <f>AJ178</f>
        <v>-4845.7250000000004</v>
      </c>
      <c r="AL178" s="79">
        <f>ROUND((Q178*100%/P178*100),2)</f>
        <v>2186.44</v>
      </c>
      <c r="AM178" s="82">
        <f>AM179+AM182</f>
        <v>0</v>
      </c>
      <c r="AN178" s="82">
        <f>AN179+AN182</f>
        <v>0</v>
      </c>
      <c r="AO178" s="411" t="s">
        <v>251</v>
      </c>
      <c r="AP178" s="22">
        <v>0</v>
      </c>
      <c r="AQ178" s="22">
        <v>0</v>
      </c>
      <c r="AR178" s="22">
        <v>0</v>
      </c>
      <c r="AS178" s="22">
        <v>0</v>
      </c>
      <c r="AT178" s="22">
        <v>0</v>
      </c>
      <c r="AU178" s="22">
        <v>0</v>
      </c>
      <c r="AV178" s="22">
        <v>0</v>
      </c>
      <c r="AW178" s="22">
        <v>0</v>
      </c>
      <c r="AX178" s="22">
        <v>0</v>
      </c>
      <c r="AY178" s="22">
        <v>0</v>
      </c>
      <c r="AZ178" s="22">
        <v>0</v>
      </c>
      <c r="BA178" s="22">
        <v>0</v>
      </c>
      <c r="BB178" s="22">
        <v>0</v>
      </c>
      <c r="BC178" s="22">
        <v>0</v>
      </c>
      <c r="BD178" s="22">
        <v>0</v>
      </c>
      <c r="BE178" s="22">
        <v>0</v>
      </c>
      <c r="BF178" s="22">
        <v>0</v>
      </c>
      <c r="BG178" s="22">
        <v>0</v>
      </c>
      <c r="BH178" s="22">
        <v>0</v>
      </c>
      <c r="BI178" s="81">
        <f t="shared" ref="BI178:BP178" si="282">BI179+BI180</f>
        <v>0</v>
      </c>
      <c r="BJ178" s="81">
        <f t="shared" si="282"/>
        <v>0</v>
      </c>
      <c r="BK178" s="81">
        <f t="shared" si="282"/>
        <v>0</v>
      </c>
      <c r="BL178" s="81">
        <f t="shared" si="282"/>
        <v>0</v>
      </c>
      <c r="BM178" s="81">
        <f t="shared" si="282"/>
        <v>0</v>
      </c>
      <c r="BN178" s="81">
        <f t="shared" si="282"/>
        <v>0</v>
      </c>
      <c r="BO178" s="81">
        <f t="shared" si="282"/>
        <v>0</v>
      </c>
      <c r="BP178" s="81">
        <f t="shared" si="282"/>
        <v>0</v>
      </c>
    </row>
    <row r="179" spans="1:68" ht="15.75">
      <c r="A179" s="826"/>
      <c r="B179" s="1" t="s">
        <v>15</v>
      </c>
      <c r="C179" s="816"/>
      <c r="D179" s="816"/>
      <c r="E179" s="816"/>
      <c r="F179" s="816"/>
      <c r="G179" s="725">
        <v>2019</v>
      </c>
      <c r="H179" s="725">
        <v>2019</v>
      </c>
      <c r="I179" s="838"/>
      <c r="J179" s="913"/>
      <c r="K179" s="3"/>
      <c r="L179" s="47">
        <v>5597.58</v>
      </c>
      <c r="M179" s="50">
        <v>0</v>
      </c>
      <c r="N179" s="50">
        <v>5370.84</v>
      </c>
      <c r="O179" s="50">
        <v>0</v>
      </c>
      <c r="P179" s="460">
        <f>1.2*193.54</f>
        <v>232.24799999999999</v>
      </c>
      <c r="Q179" s="47">
        <f>SUM(Q180:Q181)</f>
        <v>5077.973</v>
      </c>
      <c r="R179" s="50">
        <f t="shared" ref="R179:AI179" si="283">SUM(R180:R181)</f>
        <v>0</v>
      </c>
      <c r="S179" s="50">
        <f t="shared" si="283"/>
        <v>0</v>
      </c>
      <c r="T179" s="50">
        <f t="shared" si="283"/>
        <v>904.15300000000002</v>
      </c>
      <c r="U179" s="50">
        <f t="shared" si="283"/>
        <v>904.15300000000002</v>
      </c>
      <c r="V179" s="50">
        <f t="shared" si="283"/>
        <v>0</v>
      </c>
      <c r="W179" s="47">
        <f t="shared" si="283"/>
        <v>4173.82</v>
      </c>
      <c r="X179" s="50">
        <f t="shared" si="283"/>
        <v>0</v>
      </c>
      <c r="Y179" s="50">
        <f t="shared" si="283"/>
        <v>0</v>
      </c>
      <c r="Z179" s="47">
        <f t="shared" si="283"/>
        <v>5804.1530000000002</v>
      </c>
      <c r="AA179" s="50">
        <f t="shared" si="283"/>
        <v>0</v>
      </c>
      <c r="AB179" s="50">
        <f t="shared" si="283"/>
        <v>904.15300000000002</v>
      </c>
      <c r="AC179" s="47">
        <f t="shared" si="283"/>
        <v>4900</v>
      </c>
      <c r="AD179" s="50">
        <f t="shared" si="283"/>
        <v>0</v>
      </c>
      <c r="AE179" s="50">
        <f t="shared" si="283"/>
        <v>0</v>
      </c>
      <c r="AF179" s="50">
        <f t="shared" si="283"/>
        <v>0</v>
      </c>
      <c r="AG179" s="50">
        <f t="shared" si="283"/>
        <v>0</v>
      </c>
      <c r="AH179" s="50">
        <f t="shared" si="283"/>
        <v>0</v>
      </c>
      <c r="AI179" s="50">
        <f t="shared" si="283"/>
        <v>0</v>
      </c>
      <c r="AJ179" s="50">
        <f>SUM(AJ181)</f>
        <v>0</v>
      </c>
      <c r="AK179" s="50">
        <f>SUM(AK181)</f>
        <v>0</v>
      </c>
      <c r="AL179" s="50">
        <f>SUM(AL181)</f>
        <v>0</v>
      </c>
      <c r="AM179" s="50">
        <f>SUM(AM181)</f>
        <v>0</v>
      </c>
      <c r="AN179" s="50">
        <f>SUM(AN181)</f>
        <v>0</v>
      </c>
      <c r="AO179" s="420"/>
      <c r="AP179" s="22">
        <v>0</v>
      </c>
      <c r="AQ179" s="22">
        <v>0</v>
      </c>
      <c r="AR179" s="22">
        <v>0</v>
      </c>
      <c r="AS179" s="22">
        <v>0</v>
      </c>
      <c r="AT179" s="22">
        <v>0</v>
      </c>
      <c r="AU179" s="22">
        <v>0</v>
      </c>
      <c r="AV179" s="22">
        <v>0</v>
      </c>
      <c r="AW179" s="22">
        <v>0</v>
      </c>
      <c r="AX179" s="22">
        <v>0</v>
      </c>
      <c r="AY179" s="22">
        <v>0</v>
      </c>
      <c r="AZ179" s="22">
        <v>0</v>
      </c>
      <c r="BA179" s="22">
        <v>0</v>
      </c>
      <c r="BB179" s="22">
        <v>0</v>
      </c>
      <c r="BC179" s="22">
        <v>0</v>
      </c>
      <c r="BD179" s="22">
        <v>0</v>
      </c>
      <c r="BE179" s="22">
        <v>0</v>
      </c>
      <c r="BF179" s="22">
        <v>0</v>
      </c>
      <c r="BG179" s="22">
        <v>0</v>
      </c>
      <c r="BH179" s="22">
        <v>0</v>
      </c>
      <c r="BI179" s="125">
        <v>0</v>
      </c>
      <c r="BJ179" s="126">
        <v>0</v>
      </c>
      <c r="BK179" s="126">
        <v>0</v>
      </c>
      <c r="BL179" s="126">
        <v>0</v>
      </c>
      <c r="BM179" s="22">
        <v>0</v>
      </c>
      <c r="BN179" s="22">
        <v>0</v>
      </c>
      <c r="BO179" s="22">
        <v>0</v>
      </c>
      <c r="BP179" s="126">
        <v>0</v>
      </c>
    </row>
    <row r="180" spans="1:68" s="100" customFormat="1" ht="25.5" hidden="1">
      <c r="A180" s="826"/>
      <c r="B180" s="95" t="s">
        <v>360</v>
      </c>
      <c r="C180" s="816"/>
      <c r="D180" s="816"/>
      <c r="E180" s="816"/>
      <c r="F180" s="816"/>
      <c r="G180" s="107"/>
      <c r="H180" s="107"/>
      <c r="I180" s="838"/>
      <c r="J180" s="913"/>
      <c r="K180" s="98"/>
      <c r="L180" s="99"/>
      <c r="M180" s="268"/>
      <c r="N180" s="268"/>
      <c r="O180" s="268"/>
      <c r="P180" s="693"/>
      <c r="Q180" s="693">
        <f>W180</f>
        <v>4173.82</v>
      </c>
      <c r="R180" s="268"/>
      <c r="S180" s="268"/>
      <c r="T180" s="268"/>
      <c r="U180" s="268"/>
      <c r="V180" s="268"/>
      <c r="W180" s="693">
        <v>4173.82</v>
      </c>
      <c r="X180" s="268"/>
      <c r="Y180" s="268"/>
      <c r="Z180" s="693">
        <f>AC180</f>
        <v>4900</v>
      </c>
      <c r="AA180" s="268"/>
      <c r="AB180" s="268"/>
      <c r="AC180" s="693">
        <v>4900</v>
      </c>
      <c r="AD180" s="268"/>
      <c r="AE180" s="268"/>
      <c r="AF180" s="268"/>
      <c r="AG180" s="268"/>
      <c r="AH180" s="268"/>
      <c r="AI180" s="268"/>
      <c r="AJ180" s="268"/>
      <c r="AK180" s="268"/>
      <c r="AL180" s="268"/>
      <c r="AM180" s="268"/>
      <c r="AN180" s="268"/>
      <c r="AO180" s="421"/>
      <c r="AP180" s="82">
        <f t="shared" ref="AP180:BG180" si="284">AP181</f>
        <v>0</v>
      </c>
      <c r="AQ180" s="82">
        <f t="shared" si="284"/>
        <v>0</v>
      </c>
      <c r="AR180" s="82">
        <f t="shared" si="284"/>
        <v>0</v>
      </c>
      <c r="AS180" s="82">
        <f t="shared" si="284"/>
        <v>0</v>
      </c>
      <c r="AT180" s="82">
        <f t="shared" si="284"/>
        <v>0</v>
      </c>
      <c r="AU180" s="82">
        <f t="shared" si="284"/>
        <v>0</v>
      </c>
      <c r="AV180" s="82">
        <f t="shared" si="284"/>
        <v>0</v>
      </c>
      <c r="AW180" s="82">
        <f t="shared" si="284"/>
        <v>0</v>
      </c>
      <c r="AX180" s="82">
        <f t="shared" si="284"/>
        <v>0</v>
      </c>
      <c r="AY180" s="82">
        <f t="shared" si="284"/>
        <v>0</v>
      </c>
      <c r="AZ180" s="82">
        <f t="shared" si="284"/>
        <v>0</v>
      </c>
      <c r="BA180" s="82">
        <f t="shared" si="284"/>
        <v>0</v>
      </c>
      <c r="BB180" s="82">
        <f t="shared" si="284"/>
        <v>0</v>
      </c>
      <c r="BC180" s="82">
        <f t="shared" si="284"/>
        <v>0</v>
      </c>
      <c r="BD180" s="82">
        <f t="shared" si="284"/>
        <v>0</v>
      </c>
      <c r="BE180" s="82">
        <f t="shared" si="284"/>
        <v>0</v>
      </c>
      <c r="BF180" s="82">
        <f t="shared" si="284"/>
        <v>0</v>
      </c>
      <c r="BG180" s="82">
        <f t="shared" si="284"/>
        <v>0</v>
      </c>
      <c r="BH180" s="308"/>
      <c r="BI180" s="125">
        <v>0</v>
      </c>
      <c r="BJ180" s="126">
        <v>0</v>
      </c>
      <c r="BK180" s="126">
        <v>0</v>
      </c>
      <c r="BL180" s="126">
        <v>0</v>
      </c>
      <c r="BM180" s="22">
        <v>0</v>
      </c>
      <c r="BN180" s="22">
        <v>0</v>
      </c>
      <c r="BO180" s="22">
        <v>0</v>
      </c>
      <c r="BP180" s="126">
        <v>0</v>
      </c>
    </row>
    <row r="181" spans="1:68" s="273" customFormat="1" ht="15.75" hidden="1">
      <c r="A181" s="826"/>
      <c r="B181" s="95" t="s">
        <v>353</v>
      </c>
      <c r="C181" s="816"/>
      <c r="D181" s="816"/>
      <c r="E181" s="816"/>
      <c r="F181" s="816"/>
      <c r="G181" s="107"/>
      <c r="H181" s="107"/>
      <c r="I181" s="838"/>
      <c r="J181" s="913"/>
      <c r="K181" s="98"/>
      <c r="L181" s="99"/>
      <c r="M181" s="268"/>
      <c r="N181" s="268"/>
      <c r="O181" s="268"/>
      <c r="P181" s="50"/>
      <c r="Q181" s="268">
        <f>U181</f>
        <v>904.15300000000002</v>
      </c>
      <c r="R181" s="268"/>
      <c r="S181" s="268"/>
      <c r="T181" s="268">
        <f>U181</f>
        <v>904.15300000000002</v>
      </c>
      <c r="U181" s="268">
        <v>904.15300000000002</v>
      </c>
      <c r="V181" s="268"/>
      <c r="W181" s="268"/>
      <c r="X181" s="268"/>
      <c r="Y181" s="268"/>
      <c r="Z181" s="268">
        <f>AB181</f>
        <v>904.15300000000002</v>
      </c>
      <c r="AA181" s="268"/>
      <c r="AB181" s="268">
        <v>904.15300000000002</v>
      </c>
      <c r="AC181" s="268"/>
      <c r="AD181" s="268"/>
      <c r="AE181" s="268">
        <f>SUM(AF181:AF181)</f>
        <v>0</v>
      </c>
      <c r="AF181" s="268"/>
      <c r="AG181" s="268"/>
      <c r="AH181" s="268"/>
      <c r="AI181" s="268"/>
      <c r="AJ181" s="268"/>
      <c r="AK181" s="268"/>
      <c r="AL181" s="268"/>
      <c r="AM181" s="268"/>
      <c r="AN181" s="268"/>
      <c r="AO181" s="421"/>
      <c r="AP181" s="50">
        <v>0</v>
      </c>
      <c r="AQ181" s="50">
        <v>0</v>
      </c>
      <c r="AR181" s="50">
        <v>0</v>
      </c>
      <c r="AS181" s="50">
        <v>0</v>
      </c>
      <c r="AT181" s="50">
        <v>0</v>
      </c>
      <c r="AU181" s="50">
        <v>0</v>
      </c>
      <c r="AV181" s="50">
        <v>0</v>
      </c>
      <c r="AW181" s="50">
        <v>0</v>
      </c>
      <c r="AX181" s="50">
        <v>0</v>
      </c>
      <c r="AY181" s="50">
        <v>0</v>
      </c>
      <c r="AZ181" s="50">
        <v>0</v>
      </c>
      <c r="BA181" s="50">
        <v>0</v>
      </c>
      <c r="BB181" s="50">
        <v>0</v>
      </c>
      <c r="BC181" s="50">
        <v>0</v>
      </c>
      <c r="BD181" s="50">
        <v>0</v>
      </c>
      <c r="BE181" s="50">
        <v>0</v>
      </c>
      <c r="BF181" s="50">
        <v>0</v>
      </c>
      <c r="BG181" s="50">
        <v>0</v>
      </c>
      <c r="BH181" s="50"/>
      <c r="BI181" s="125">
        <v>0</v>
      </c>
      <c r="BJ181" s="126">
        <v>0</v>
      </c>
      <c r="BK181" s="126">
        <v>0</v>
      </c>
      <c r="BL181" s="126">
        <v>0</v>
      </c>
      <c r="BM181" s="22">
        <v>0</v>
      </c>
      <c r="BN181" s="22">
        <v>0</v>
      </c>
      <c r="BO181" s="22">
        <v>0</v>
      </c>
      <c r="BP181" s="126">
        <v>0</v>
      </c>
    </row>
    <row r="182" spans="1:68" ht="15.75" customHeight="1">
      <c r="A182" s="827"/>
      <c r="B182" s="717" t="s">
        <v>16</v>
      </c>
      <c r="C182" s="900"/>
      <c r="D182" s="900"/>
      <c r="E182" s="900"/>
      <c r="F182" s="900"/>
      <c r="G182" s="725">
        <v>2021</v>
      </c>
      <c r="H182" s="725">
        <v>2021</v>
      </c>
      <c r="I182" s="840"/>
      <c r="J182" s="914"/>
      <c r="K182" s="3"/>
      <c r="L182" s="47">
        <v>0</v>
      </c>
      <c r="M182" s="50">
        <v>0</v>
      </c>
      <c r="N182" s="50">
        <v>0</v>
      </c>
      <c r="O182" s="50">
        <v>3372.5</v>
      </c>
      <c r="P182" s="50">
        <v>0</v>
      </c>
      <c r="Q182" s="50">
        <v>0</v>
      </c>
      <c r="R182" s="50">
        <v>0</v>
      </c>
      <c r="S182" s="50">
        <v>0</v>
      </c>
      <c r="T182" s="50">
        <v>0</v>
      </c>
      <c r="U182" s="50">
        <v>0</v>
      </c>
      <c r="V182" s="50">
        <v>0</v>
      </c>
      <c r="W182" s="50">
        <v>0</v>
      </c>
      <c r="X182" s="50">
        <v>0</v>
      </c>
      <c r="Y182" s="50">
        <v>0</v>
      </c>
      <c r="Z182" s="50">
        <v>0</v>
      </c>
      <c r="AA182" s="50">
        <v>0</v>
      </c>
      <c r="AB182" s="50">
        <v>0</v>
      </c>
      <c r="AC182" s="50">
        <v>0</v>
      </c>
      <c r="AD182" s="50">
        <v>0</v>
      </c>
      <c r="AE182" s="50">
        <v>0</v>
      </c>
      <c r="AF182" s="50">
        <v>0</v>
      </c>
      <c r="AG182" s="50">
        <v>0</v>
      </c>
      <c r="AH182" s="50">
        <v>0</v>
      </c>
      <c r="AI182" s="50">
        <v>0</v>
      </c>
      <c r="AJ182" s="50">
        <v>0</v>
      </c>
      <c r="AK182" s="50">
        <v>0</v>
      </c>
      <c r="AL182" s="50">
        <v>0</v>
      </c>
      <c r="AM182" s="50">
        <v>0</v>
      </c>
      <c r="AN182" s="50">
        <v>0</v>
      </c>
      <c r="AO182" s="420"/>
      <c r="AP182" s="82">
        <f t="shared" ref="AP182:BG182" si="285">AP183+AP186</f>
        <v>0</v>
      </c>
      <c r="AQ182" s="82">
        <f t="shared" si="285"/>
        <v>0</v>
      </c>
      <c r="AR182" s="82">
        <f t="shared" si="285"/>
        <v>0</v>
      </c>
      <c r="AS182" s="82">
        <f t="shared" si="285"/>
        <v>0</v>
      </c>
      <c r="AT182" s="82">
        <f t="shared" si="285"/>
        <v>0</v>
      </c>
      <c r="AU182" s="82">
        <f t="shared" si="285"/>
        <v>0</v>
      </c>
      <c r="AV182" s="82">
        <f t="shared" si="285"/>
        <v>0</v>
      </c>
      <c r="AW182" s="82">
        <f t="shared" si="285"/>
        <v>0</v>
      </c>
      <c r="AX182" s="82">
        <f t="shared" si="285"/>
        <v>0</v>
      </c>
      <c r="AY182" s="82">
        <f t="shared" si="285"/>
        <v>0</v>
      </c>
      <c r="AZ182" s="82">
        <f t="shared" si="285"/>
        <v>0</v>
      </c>
      <c r="BA182" s="82">
        <f t="shared" si="285"/>
        <v>0</v>
      </c>
      <c r="BB182" s="82">
        <f t="shared" si="285"/>
        <v>0</v>
      </c>
      <c r="BC182" s="82">
        <f t="shared" si="285"/>
        <v>0</v>
      </c>
      <c r="BD182" s="82">
        <f t="shared" si="285"/>
        <v>0</v>
      </c>
      <c r="BE182" s="82">
        <f t="shared" si="285"/>
        <v>0</v>
      </c>
      <c r="BF182" s="82">
        <f t="shared" si="285"/>
        <v>0</v>
      </c>
      <c r="BG182" s="82">
        <f t="shared" si="285"/>
        <v>0</v>
      </c>
      <c r="BH182" s="308"/>
      <c r="BI182" s="125">
        <v>0</v>
      </c>
      <c r="BJ182" s="126">
        <v>0</v>
      </c>
      <c r="BK182" s="126">
        <v>0</v>
      </c>
      <c r="BL182" s="126">
        <v>0</v>
      </c>
      <c r="BM182" s="22">
        <v>0</v>
      </c>
      <c r="BN182" s="22">
        <v>0</v>
      </c>
      <c r="BO182" s="22">
        <v>0</v>
      </c>
      <c r="BP182" s="126">
        <v>0</v>
      </c>
    </row>
    <row r="183" spans="1:68" ht="120" hidden="1" customHeight="1">
      <c r="A183" s="825" t="s">
        <v>179</v>
      </c>
      <c r="B183" s="80" t="s">
        <v>180</v>
      </c>
      <c r="C183" s="143"/>
      <c r="D183" s="143"/>
      <c r="E183" s="143"/>
      <c r="F183" s="143"/>
      <c r="G183" s="717"/>
      <c r="H183" s="717"/>
      <c r="I183" s="837" t="s">
        <v>20</v>
      </c>
      <c r="J183" s="727"/>
      <c r="K183" s="3"/>
      <c r="L183" s="82">
        <f>L184</f>
        <v>3750.02</v>
      </c>
      <c r="M183" s="82">
        <f>M184</f>
        <v>1639</v>
      </c>
      <c r="N183" s="82">
        <f t="shared" ref="N183:AN183" si="286">N184</f>
        <v>0</v>
      </c>
      <c r="O183" s="82">
        <f t="shared" si="286"/>
        <v>0</v>
      </c>
      <c r="P183" s="82">
        <f t="shared" si="286"/>
        <v>0</v>
      </c>
      <c r="Q183" s="82">
        <f t="shared" si="286"/>
        <v>0</v>
      </c>
      <c r="R183" s="82">
        <f t="shared" si="286"/>
        <v>0</v>
      </c>
      <c r="S183" s="82">
        <f t="shared" si="286"/>
        <v>0</v>
      </c>
      <c r="T183" s="82">
        <f t="shared" si="286"/>
        <v>0</v>
      </c>
      <c r="U183" s="82">
        <f t="shared" si="286"/>
        <v>0</v>
      </c>
      <c r="V183" s="82">
        <f t="shared" si="286"/>
        <v>0</v>
      </c>
      <c r="W183" s="82">
        <f t="shared" si="286"/>
        <v>0</v>
      </c>
      <c r="X183" s="82">
        <f t="shared" si="286"/>
        <v>0</v>
      </c>
      <c r="Y183" s="82">
        <f t="shared" si="286"/>
        <v>0</v>
      </c>
      <c r="Z183" s="82">
        <f t="shared" si="286"/>
        <v>0</v>
      </c>
      <c r="AA183" s="82">
        <f t="shared" si="286"/>
        <v>0</v>
      </c>
      <c r="AB183" s="82">
        <f t="shared" si="286"/>
        <v>0</v>
      </c>
      <c r="AC183" s="82">
        <f t="shared" si="286"/>
        <v>0</v>
      </c>
      <c r="AD183" s="82">
        <f t="shared" si="286"/>
        <v>0</v>
      </c>
      <c r="AE183" s="82">
        <f t="shared" si="286"/>
        <v>0</v>
      </c>
      <c r="AF183" s="82">
        <f t="shared" si="286"/>
        <v>0</v>
      </c>
      <c r="AG183" s="82">
        <f t="shared" si="286"/>
        <v>0</v>
      </c>
      <c r="AH183" s="82">
        <f t="shared" si="286"/>
        <v>0</v>
      </c>
      <c r="AI183" s="82">
        <f t="shared" si="286"/>
        <v>0</v>
      </c>
      <c r="AJ183" s="82">
        <f t="shared" si="286"/>
        <v>0</v>
      </c>
      <c r="AK183" s="82">
        <f t="shared" si="286"/>
        <v>0</v>
      </c>
      <c r="AL183" s="82">
        <f t="shared" si="286"/>
        <v>0</v>
      </c>
      <c r="AM183" s="82">
        <f t="shared" si="286"/>
        <v>0</v>
      </c>
      <c r="AN183" s="82">
        <f t="shared" si="286"/>
        <v>0</v>
      </c>
      <c r="AO183" s="411" t="s">
        <v>264</v>
      </c>
      <c r="AP183" s="50">
        <v>0</v>
      </c>
      <c r="AQ183" s="50">
        <v>0</v>
      </c>
      <c r="AR183" s="50">
        <v>0</v>
      </c>
      <c r="AS183" s="50">
        <v>0</v>
      </c>
      <c r="AT183" s="50">
        <v>0</v>
      </c>
      <c r="AU183" s="50">
        <v>0</v>
      </c>
      <c r="AV183" s="50">
        <v>0</v>
      </c>
      <c r="AW183" s="50">
        <v>0</v>
      </c>
      <c r="AX183" s="50">
        <v>0</v>
      </c>
      <c r="AY183" s="50">
        <v>0</v>
      </c>
      <c r="AZ183" s="50">
        <v>0</v>
      </c>
      <c r="BA183" s="50">
        <v>0</v>
      </c>
      <c r="BB183" s="50">
        <v>0</v>
      </c>
      <c r="BC183" s="50">
        <v>0</v>
      </c>
      <c r="BD183" s="50">
        <v>0</v>
      </c>
      <c r="BE183" s="50">
        <v>0</v>
      </c>
      <c r="BF183" s="50">
        <v>0</v>
      </c>
      <c r="BG183" s="50">
        <v>0</v>
      </c>
      <c r="BH183" s="50"/>
      <c r="BI183" s="125">
        <v>0</v>
      </c>
      <c r="BJ183" s="126">
        <v>0</v>
      </c>
      <c r="BK183" s="126">
        <v>0</v>
      </c>
      <c r="BL183" s="126">
        <v>0</v>
      </c>
      <c r="BM183" s="22">
        <v>0</v>
      </c>
      <c r="BN183" s="22">
        <v>0</v>
      </c>
      <c r="BO183" s="22">
        <v>0</v>
      </c>
      <c r="BP183" s="126">
        <v>0</v>
      </c>
    </row>
    <row r="184" spans="1:68" ht="15.75" hidden="1" customHeight="1">
      <c r="A184" s="827"/>
      <c r="B184" s="42" t="s">
        <v>15</v>
      </c>
      <c r="C184" s="143"/>
      <c r="D184" s="143"/>
      <c r="E184" s="143"/>
      <c r="F184" s="143"/>
      <c r="G184" s="320"/>
      <c r="H184" s="321"/>
      <c r="I184" s="840"/>
      <c r="J184" s="727"/>
      <c r="K184" s="325"/>
      <c r="L184" s="47">
        <v>3750.02</v>
      </c>
      <c r="M184" s="47">
        <v>1639</v>
      </c>
      <c r="N184" s="47">
        <v>0</v>
      </c>
      <c r="O184" s="47">
        <v>0</v>
      </c>
      <c r="P184" s="47">
        <v>0</v>
      </c>
      <c r="Q184" s="50">
        <f>SUM(Q185:Q188)</f>
        <v>0</v>
      </c>
      <c r="R184" s="50">
        <f t="shared" ref="R184:AI184" si="287">SUM(R185:R188)</f>
        <v>0</v>
      </c>
      <c r="S184" s="50">
        <f t="shared" si="287"/>
        <v>0</v>
      </c>
      <c r="T184" s="50">
        <f t="shared" si="287"/>
        <v>0</v>
      </c>
      <c r="U184" s="50">
        <f t="shared" si="287"/>
        <v>0</v>
      </c>
      <c r="V184" s="50">
        <f t="shared" si="287"/>
        <v>0</v>
      </c>
      <c r="W184" s="50">
        <f t="shared" si="287"/>
        <v>0</v>
      </c>
      <c r="X184" s="47">
        <v>0</v>
      </c>
      <c r="Y184" s="50">
        <f t="shared" si="287"/>
        <v>0</v>
      </c>
      <c r="Z184" s="50">
        <f t="shared" si="287"/>
        <v>0</v>
      </c>
      <c r="AA184" s="50">
        <f t="shared" si="287"/>
        <v>0</v>
      </c>
      <c r="AB184" s="50">
        <f t="shared" si="287"/>
        <v>0</v>
      </c>
      <c r="AC184" s="50">
        <f t="shared" si="287"/>
        <v>0</v>
      </c>
      <c r="AD184" s="50">
        <f t="shared" si="287"/>
        <v>0</v>
      </c>
      <c r="AE184" s="50">
        <f t="shared" si="287"/>
        <v>0</v>
      </c>
      <c r="AF184" s="50">
        <f t="shared" si="287"/>
        <v>0</v>
      </c>
      <c r="AG184" s="50">
        <f t="shared" si="287"/>
        <v>0</v>
      </c>
      <c r="AH184" s="50">
        <f t="shared" si="287"/>
        <v>0</v>
      </c>
      <c r="AI184" s="50">
        <f t="shared" si="287"/>
        <v>0</v>
      </c>
      <c r="AJ184" s="50">
        <f>SUM(AJ185:AJ188)</f>
        <v>0</v>
      </c>
      <c r="AK184" s="50">
        <f t="shared" ref="AK184:AN184" si="288">SUM(AK185:AK188)</f>
        <v>0</v>
      </c>
      <c r="AL184" s="50">
        <f t="shared" si="288"/>
        <v>0</v>
      </c>
      <c r="AM184" s="50">
        <f t="shared" si="288"/>
        <v>0</v>
      </c>
      <c r="AN184" s="50">
        <f t="shared" si="288"/>
        <v>0</v>
      </c>
      <c r="AO184" s="420"/>
      <c r="AP184" s="351"/>
      <c r="AQ184" s="351"/>
      <c r="AR184" s="351"/>
      <c r="AS184" s="351"/>
      <c r="AT184" s="351"/>
      <c r="AU184" s="351"/>
      <c r="AV184" s="351"/>
      <c r="AW184" s="351"/>
      <c r="AX184" s="351"/>
      <c r="AY184" s="351"/>
      <c r="AZ184" s="351"/>
      <c r="BA184" s="351"/>
      <c r="BB184" s="351"/>
      <c r="BC184" s="351"/>
      <c r="BD184" s="351"/>
      <c r="BE184" s="351"/>
      <c r="BF184" s="351"/>
      <c r="BG184" s="351"/>
      <c r="BH184" s="351"/>
      <c r="BI184" s="125">
        <v>0</v>
      </c>
      <c r="BJ184" s="126">
        <v>0</v>
      </c>
      <c r="BK184" s="126">
        <v>0</v>
      </c>
      <c r="BL184" s="126">
        <v>0</v>
      </c>
      <c r="BM184" s="22">
        <v>0</v>
      </c>
      <c r="BN184" s="22">
        <v>0</v>
      </c>
      <c r="BO184" s="22">
        <v>0</v>
      </c>
      <c r="BP184" s="126">
        <v>0</v>
      </c>
    </row>
    <row r="185" spans="1:68" s="100" customFormat="1" ht="15.75" hidden="1" customHeight="1">
      <c r="A185" s="374"/>
      <c r="B185" s="257" t="s">
        <v>239</v>
      </c>
      <c r="C185" s="377"/>
      <c r="D185" s="377"/>
      <c r="E185" s="377"/>
      <c r="F185" s="377"/>
      <c r="G185" s="371"/>
      <c r="H185" s="372"/>
      <c r="I185" s="378"/>
      <c r="J185" s="379"/>
      <c r="K185" s="380"/>
      <c r="L185" s="99"/>
      <c r="M185" s="99"/>
      <c r="N185" s="99"/>
      <c r="O185" s="99"/>
      <c r="P185" s="47"/>
      <c r="Q185" s="268">
        <f>Y185</f>
        <v>0</v>
      </c>
      <c r="R185" s="268"/>
      <c r="S185" s="268"/>
      <c r="T185" s="268"/>
      <c r="U185" s="268"/>
      <c r="V185" s="268"/>
      <c r="W185" s="268"/>
      <c r="X185" s="268">
        <v>0</v>
      </c>
      <c r="Y185" s="268">
        <v>0</v>
      </c>
      <c r="Z185" s="268">
        <v>0</v>
      </c>
      <c r="AA185" s="268">
        <v>0</v>
      </c>
      <c r="AB185" s="268"/>
      <c r="AC185" s="268"/>
      <c r="AD185" s="268"/>
      <c r="AE185" s="268"/>
      <c r="AF185" s="268"/>
      <c r="AG185" s="268"/>
      <c r="AH185" s="268"/>
      <c r="AI185" s="268"/>
      <c r="AJ185" s="268"/>
      <c r="AK185" s="268"/>
      <c r="AL185" s="268"/>
      <c r="AM185" s="268"/>
      <c r="AN185" s="268"/>
      <c r="AO185" s="421"/>
      <c r="AP185" s="351"/>
      <c r="AQ185" s="351"/>
      <c r="AR185" s="351"/>
      <c r="AS185" s="351"/>
      <c r="AT185" s="351"/>
      <c r="AU185" s="351"/>
      <c r="AV185" s="351"/>
      <c r="AW185" s="351"/>
      <c r="AX185" s="351"/>
      <c r="AY185" s="351"/>
      <c r="AZ185" s="351"/>
      <c r="BA185" s="351"/>
      <c r="BB185" s="351"/>
      <c r="BC185" s="351"/>
      <c r="BD185" s="351"/>
      <c r="BE185" s="351"/>
      <c r="BF185" s="351"/>
      <c r="BG185" s="351"/>
      <c r="BH185" s="351"/>
      <c r="BI185" s="125">
        <v>0</v>
      </c>
      <c r="BJ185" s="126">
        <v>0</v>
      </c>
      <c r="BK185" s="126">
        <v>0</v>
      </c>
      <c r="BL185" s="126">
        <v>0</v>
      </c>
      <c r="BM185" s="22">
        <v>0</v>
      </c>
      <c r="BN185" s="22">
        <v>0</v>
      </c>
      <c r="BO185" s="22">
        <v>0</v>
      </c>
      <c r="BP185" s="126">
        <v>0</v>
      </c>
    </row>
    <row r="186" spans="1:68" s="100" customFormat="1" ht="15.75" hidden="1" customHeight="1">
      <c r="A186" s="374"/>
      <c r="B186" s="257" t="s">
        <v>240</v>
      </c>
      <c r="C186" s="377"/>
      <c r="D186" s="377"/>
      <c r="E186" s="377"/>
      <c r="F186" s="377"/>
      <c r="G186" s="371"/>
      <c r="H186" s="372"/>
      <c r="I186" s="378"/>
      <c r="J186" s="379"/>
      <c r="K186" s="380"/>
      <c r="L186" s="99"/>
      <c r="M186" s="99"/>
      <c r="N186" s="99"/>
      <c r="O186" s="99"/>
      <c r="P186" s="47"/>
      <c r="Q186" s="268">
        <f t="shared" ref="Q186:Q188" si="289">Y186</f>
        <v>0</v>
      </c>
      <c r="R186" s="268"/>
      <c r="S186" s="268"/>
      <c r="T186" s="268"/>
      <c r="U186" s="268"/>
      <c r="V186" s="268"/>
      <c r="W186" s="268"/>
      <c r="X186" s="268">
        <v>0</v>
      </c>
      <c r="Y186" s="268">
        <v>0</v>
      </c>
      <c r="Z186" s="268">
        <v>0</v>
      </c>
      <c r="AA186" s="268">
        <v>0</v>
      </c>
      <c r="AB186" s="268"/>
      <c r="AC186" s="268"/>
      <c r="AD186" s="268"/>
      <c r="AE186" s="268"/>
      <c r="AF186" s="268"/>
      <c r="AG186" s="268"/>
      <c r="AH186" s="268"/>
      <c r="AI186" s="268"/>
      <c r="AJ186" s="268"/>
      <c r="AK186" s="268"/>
      <c r="AL186" s="268"/>
      <c r="AM186" s="268"/>
      <c r="AN186" s="268"/>
      <c r="AO186" s="421"/>
      <c r="AP186" s="351">
        <v>0</v>
      </c>
      <c r="AQ186" s="351">
        <v>0</v>
      </c>
      <c r="AR186" s="351">
        <v>0</v>
      </c>
      <c r="AS186" s="351">
        <v>0</v>
      </c>
      <c r="AT186" s="351">
        <v>0</v>
      </c>
      <c r="AU186" s="351">
        <v>0</v>
      </c>
      <c r="AV186" s="351">
        <v>0</v>
      </c>
      <c r="AW186" s="351">
        <v>0</v>
      </c>
      <c r="AX186" s="351">
        <v>0</v>
      </c>
      <c r="AY186" s="351">
        <v>0</v>
      </c>
      <c r="AZ186" s="351">
        <v>0</v>
      </c>
      <c r="BA186" s="351">
        <v>0</v>
      </c>
      <c r="BB186" s="351">
        <v>0</v>
      </c>
      <c r="BC186" s="351">
        <v>0</v>
      </c>
      <c r="BD186" s="351">
        <v>0</v>
      </c>
      <c r="BE186" s="351">
        <v>0</v>
      </c>
      <c r="BF186" s="351">
        <v>0</v>
      </c>
      <c r="BG186" s="351">
        <v>0</v>
      </c>
      <c r="BH186" s="351"/>
      <c r="BI186" s="125">
        <v>0</v>
      </c>
      <c r="BJ186" s="126">
        <v>0</v>
      </c>
      <c r="BK186" s="126">
        <v>0</v>
      </c>
      <c r="BL186" s="126">
        <v>0</v>
      </c>
      <c r="BM186" s="22">
        <v>0</v>
      </c>
      <c r="BN186" s="22">
        <v>0</v>
      </c>
      <c r="BO186" s="22">
        <v>0</v>
      </c>
      <c r="BP186" s="126">
        <v>0</v>
      </c>
    </row>
    <row r="187" spans="1:68" s="100" customFormat="1" ht="15.75" hidden="1" customHeight="1">
      <c r="A187" s="374"/>
      <c r="B187" s="257" t="s">
        <v>241</v>
      </c>
      <c r="C187" s="377"/>
      <c r="D187" s="377"/>
      <c r="E187" s="377"/>
      <c r="F187" s="377"/>
      <c r="G187" s="371"/>
      <c r="H187" s="372"/>
      <c r="I187" s="378"/>
      <c r="J187" s="379"/>
      <c r="K187" s="380"/>
      <c r="L187" s="99"/>
      <c r="M187" s="99"/>
      <c r="N187" s="99"/>
      <c r="O187" s="99"/>
      <c r="P187" s="47"/>
      <c r="Q187" s="268">
        <f t="shared" si="289"/>
        <v>0</v>
      </c>
      <c r="R187" s="268"/>
      <c r="S187" s="268"/>
      <c r="T187" s="268"/>
      <c r="U187" s="268"/>
      <c r="V187" s="268"/>
      <c r="W187" s="268"/>
      <c r="X187" s="268">
        <v>0</v>
      </c>
      <c r="Y187" s="268">
        <v>0</v>
      </c>
      <c r="Z187" s="268">
        <v>0</v>
      </c>
      <c r="AA187" s="268">
        <v>0</v>
      </c>
      <c r="AB187" s="268"/>
      <c r="AC187" s="268"/>
      <c r="AD187" s="268"/>
      <c r="AE187" s="268"/>
      <c r="AF187" s="268"/>
      <c r="AG187" s="268"/>
      <c r="AH187" s="268"/>
      <c r="AI187" s="268"/>
      <c r="AJ187" s="268"/>
      <c r="AK187" s="268"/>
      <c r="AL187" s="268"/>
      <c r="AM187" s="268"/>
      <c r="AN187" s="268"/>
      <c r="AO187" s="421"/>
      <c r="AP187" s="79">
        <f>AP188</f>
        <v>18102.468000000001</v>
      </c>
      <c r="AQ187" s="79">
        <f t="shared" ref="AQ187:BG188" si="290">AQ188</f>
        <v>0</v>
      </c>
      <c r="AR187" s="79">
        <f t="shared" si="290"/>
        <v>0</v>
      </c>
      <c r="AS187" s="79">
        <f t="shared" si="290"/>
        <v>0</v>
      </c>
      <c r="AT187" s="79">
        <f t="shared" si="290"/>
        <v>0</v>
      </c>
      <c r="AU187" s="79">
        <f t="shared" si="290"/>
        <v>3050</v>
      </c>
      <c r="AV187" s="79">
        <f t="shared" si="290"/>
        <v>3050</v>
      </c>
      <c r="AW187" s="79">
        <f t="shared" si="290"/>
        <v>15052.467999999999</v>
      </c>
      <c r="AX187" s="79">
        <f t="shared" si="290"/>
        <v>15052.467999999999</v>
      </c>
      <c r="AY187" s="79">
        <f t="shared" si="290"/>
        <v>24695.014000000003</v>
      </c>
      <c r="AZ187" s="79">
        <f t="shared" si="290"/>
        <v>24695.014000000003</v>
      </c>
      <c r="BA187" s="79">
        <f t="shared" si="290"/>
        <v>0</v>
      </c>
      <c r="BB187" s="79">
        <f t="shared" si="290"/>
        <v>0</v>
      </c>
      <c r="BC187" s="79">
        <f t="shared" si="290"/>
        <v>0</v>
      </c>
      <c r="BD187" s="79">
        <f t="shared" si="290"/>
        <v>0</v>
      </c>
      <c r="BE187" s="79">
        <f t="shared" si="290"/>
        <v>0</v>
      </c>
      <c r="BF187" s="79">
        <f t="shared" si="290"/>
        <v>0</v>
      </c>
      <c r="BG187" s="79">
        <f t="shared" si="290"/>
        <v>0</v>
      </c>
      <c r="BH187" s="314"/>
      <c r="BI187" s="125">
        <v>0</v>
      </c>
      <c r="BJ187" s="126">
        <v>0</v>
      </c>
      <c r="BK187" s="126">
        <v>0</v>
      </c>
      <c r="BL187" s="126">
        <v>0</v>
      </c>
      <c r="BM187" s="22">
        <v>0</v>
      </c>
      <c r="BN187" s="22">
        <v>0</v>
      </c>
      <c r="BO187" s="22">
        <v>0</v>
      </c>
      <c r="BP187" s="126">
        <v>0</v>
      </c>
    </row>
    <row r="188" spans="1:68" s="100" customFormat="1" ht="15.75" hidden="1" customHeight="1">
      <c r="A188" s="374"/>
      <c r="B188" s="257" t="s">
        <v>242</v>
      </c>
      <c r="C188" s="377"/>
      <c r="D188" s="377"/>
      <c r="E188" s="377"/>
      <c r="F188" s="377"/>
      <c r="G188" s="371"/>
      <c r="H188" s="372"/>
      <c r="I188" s="378"/>
      <c r="J188" s="379"/>
      <c r="K188" s="380"/>
      <c r="L188" s="99"/>
      <c r="M188" s="99"/>
      <c r="N188" s="99"/>
      <c r="O188" s="99"/>
      <c r="P188" s="47"/>
      <c r="Q188" s="268">
        <f t="shared" si="289"/>
        <v>0</v>
      </c>
      <c r="R188" s="268"/>
      <c r="S188" s="268"/>
      <c r="T188" s="268"/>
      <c r="U188" s="268"/>
      <c r="V188" s="268"/>
      <c r="W188" s="268"/>
      <c r="X188" s="268">
        <v>0</v>
      </c>
      <c r="Y188" s="268">
        <v>0</v>
      </c>
      <c r="Z188" s="268">
        <v>0</v>
      </c>
      <c r="AA188" s="268">
        <v>0</v>
      </c>
      <c r="AB188" s="268"/>
      <c r="AC188" s="268"/>
      <c r="AD188" s="268"/>
      <c r="AE188" s="268"/>
      <c r="AF188" s="268"/>
      <c r="AG188" s="268"/>
      <c r="AH188" s="268"/>
      <c r="AI188" s="268"/>
      <c r="AJ188" s="268"/>
      <c r="AK188" s="268"/>
      <c r="AL188" s="268"/>
      <c r="AM188" s="268"/>
      <c r="AN188" s="268"/>
      <c r="AO188" s="421"/>
      <c r="AP188" s="4">
        <f>AP189</f>
        <v>18102.468000000001</v>
      </c>
      <c r="AQ188" s="4">
        <f t="shared" si="290"/>
        <v>0</v>
      </c>
      <c r="AR188" s="4">
        <f t="shared" si="290"/>
        <v>0</v>
      </c>
      <c r="AS188" s="4">
        <f t="shared" si="290"/>
        <v>0</v>
      </c>
      <c r="AT188" s="4">
        <f t="shared" si="290"/>
        <v>0</v>
      </c>
      <c r="AU188" s="4">
        <f t="shared" si="290"/>
        <v>3050</v>
      </c>
      <c r="AV188" s="4">
        <f t="shared" si="290"/>
        <v>3050</v>
      </c>
      <c r="AW188" s="4">
        <f t="shared" si="290"/>
        <v>15052.467999999999</v>
      </c>
      <c r="AX188" s="4">
        <f t="shared" si="290"/>
        <v>15052.467999999999</v>
      </c>
      <c r="AY188" s="4">
        <f t="shared" si="290"/>
        <v>24695.014000000003</v>
      </c>
      <c r="AZ188" s="4">
        <f t="shared" si="290"/>
        <v>24695.014000000003</v>
      </c>
      <c r="BA188" s="4">
        <f t="shared" si="290"/>
        <v>0</v>
      </c>
      <c r="BB188" s="4">
        <f t="shared" si="290"/>
        <v>0</v>
      </c>
      <c r="BC188" s="4">
        <f t="shared" si="290"/>
        <v>0</v>
      </c>
      <c r="BD188" s="4">
        <f t="shared" si="290"/>
        <v>0</v>
      </c>
      <c r="BE188" s="4">
        <f t="shared" si="290"/>
        <v>0</v>
      </c>
      <c r="BF188" s="4">
        <f t="shared" si="290"/>
        <v>0</v>
      </c>
      <c r="BG188" s="4">
        <f t="shared" si="290"/>
        <v>0</v>
      </c>
      <c r="BH188" s="352"/>
      <c r="BI188" s="125">
        <v>0</v>
      </c>
      <c r="BJ188" s="126">
        <v>0</v>
      </c>
      <c r="BK188" s="126">
        <v>0</v>
      </c>
      <c r="BL188" s="126">
        <v>0</v>
      </c>
      <c r="BM188" s="22">
        <v>0</v>
      </c>
      <c r="BN188" s="22">
        <v>0</v>
      </c>
      <c r="BO188" s="22">
        <v>0</v>
      </c>
      <c r="BP188" s="126">
        <v>0</v>
      </c>
    </row>
    <row r="189" spans="1:68" ht="132.75" hidden="1" customHeight="1">
      <c r="A189" s="735" t="s">
        <v>181</v>
      </c>
      <c r="B189" s="80" t="s">
        <v>182</v>
      </c>
      <c r="C189" s="143"/>
      <c r="D189" s="143"/>
      <c r="E189" s="143"/>
      <c r="F189" s="143"/>
      <c r="G189" s="717"/>
      <c r="H189" s="717"/>
      <c r="I189" s="837" t="s">
        <v>20</v>
      </c>
      <c r="J189" s="727"/>
      <c r="K189" s="3"/>
      <c r="L189" s="82">
        <f>L190</f>
        <v>3750.02</v>
      </c>
      <c r="M189" s="82">
        <f>M190</f>
        <v>2630.03</v>
      </c>
      <c r="N189" s="82">
        <f t="shared" ref="N189:AN189" si="291">N190</f>
        <v>0</v>
      </c>
      <c r="O189" s="82">
        <f t="shared" si="291"/>
        <v>0</v>
      </c>
      <c r="P189" s="82">
        <f t="shared" si="291"/>
        <v>0</v>
      </c>
      <c r="Q189" s="82">
        <f t="shared" si="291"/>
        <v>0</v>
      </c>
      <c r="R189" s="82">
        <f t="shared" si="291"/>
        <v>0</v>
      </c>
      <c r="S189" s="82">
        <f t="shared" si="291"/>
        <v>0</v>
      </c>
      <c r="T189" s="82">
        <f t="shared" si="291"/>
        <v>0</v>
      </c>
      <c r="U189" s="82">
        <f t="shared" si="291"/>
        <v>0</v>
      </c>
      <c r="V189" s="82">
        <f t="shared" si="291"/>
        <v>0</v>
      </c>
      <c r="W189" s="82">
        <f t="shared" si="291"/>
        <v>0</v>
      </c>
      <c r="X189" s="82">
        <f t="shared" si="291"/>
        <v>0</v>
      </c>
      <c r="Y189" s="82">
        <f t="shared" si="291"/>
        <v>0</v>
      </c>
      <c r="Z189" s="82">
        <f t="shared" si="291"/>
        <v>0</v>
      </c>
      <c r="AA189" s="82">
        <f t="shared" si="291"/>
        <v>0</v>
      </c>
      <c r="AB189" s="82">
        <f t="shared" si="291"/>
        <v>0</v>
      </c>
      <c r="AC189" s="82">
        <f t="shared" si="291"/>
        <v>0</v>
      </c>
      <c r="AD189" s="82">
        <f t="shared" si="291"/>
        <v>0</v>
      </c>
      <c r="AE189" s="82">
        <f t="shared" si="291"/>
        <v>0</v>
      </c>
      <c r="AF189" s="82">
        <f t="shared" si="291"/>
        <v>0</v>
      </c>
      <c r="AG189" s="82">
        <f t="shared" si="291"/>
        <v>0</v>
      </c>
      <c r="AH189" s="82">
        <f t="shared" si="291"/>
        <v>0</v>
      </c>
      <c r="AI189" s="82">
        <f t="shared" si="291"/>
        <v>0</v>
      </c>
      <c r="AJ189" s="82">
        <f t="shared" si="291"/>
        <v>0</v>
      </c>
      <c r="AK189" s="82">
        <f t="shared" si="291"/>
        <v>0</v>
      </c>
      <c r="AL189" s="82">
        <f t="shared" si="291"/>
        <v>0</v>
      </c>
      <c r="AM189" s="82">
        <f t="shared" si="291"/>
        <v>0</v>
      </c>
      <c r="AN189" s="82">
        <f t="shared" si="291"/>
        <v>0</v>
      </c>
      <c r="AO189" s="411" t="s">
        <v>264</v>
      </c>
      <c r="AP189" s="275">
        <f>AV189+AX189</f>
        <v>18102.468000000001</v>
      </c>
      <c r="AQ189" s="4"/>
      <c r="AR189" s="4"/>
      <c r="AS189" s="275"/>
      <c r="AT189" s="275"/>
      <c r="AU189" s="275">
        <f>AV189</f>
        <v>3050</v>
      </c>
      <c r="AV189" s="275">
        <v>3050</v>
      </c>
      <c r="AW189" s="275">
        <f>AX189</f>
        <v>15052.467999999999</v>
      </c>
      <c r="AX189" s="275">
        <f>2000+5000+639.994+4500+2912.474</f>
        <v>15052.467999999999</v>
      </c>
      <c r="AY189" s="275">
        <f>AZ189</f>
        <v>24695.014000000003</v>
      </c>
      <c r="AZ189" s="275">
        <f>4437.479+13664.994+6592.541</f>
        <v>24695.014000000003</v>
      </c>
      <c r="BA189" s="275"/>
      <c r="BB189" s="275"/>
      <c r="BC189" s="99"/>
      <c r="BD189" s="99"/>
      <c r="BE189" s="99"/>
      <c r="BF189" s="275"/>
      <c r="BG189" s="275"/>
      <c r="BH189" s="315"/>
      <c r="BI189" s="125">
        <v>0</v>
      </c>
      <c r="BJ189" s="126">
        <v>0</v>
      </c>
      <c r="BK189" s="126">
        <v>0</v>
      </c>
      <c r="BL189" s="126">
        <v>0</v>
      </c>
      <c r="BM189" s="22">
        <v>0</v>
      </c>
      <c r="BN189" s="22">
        <v>0</v>
      </c>
      <c r="BO189" s="22">
        <v>0</v>
      </c>
      <c r="BP189" s="126">
        <v>0</v>
      </c>
    </row>
    <row r="190" spans="1:68" ht="15.75" hidden="1" customHeight="1">
      <c r="A190" s="736"/>
      <c r="B190" s="42" t="s">
        <v>15</v>
      </c>
      <c r="C190" s="143"/>
      <c r="D190" s="143"/>
      <c r="E190" s="143"/>
      <c r="F190" s="143"/>
      <c r="G190" s="320"/>
      <c r="H190" s="321"/>
      <c r="I190" s="840"/>
      <c r="J190" s="727"/>
      <c r="K190" s="325"/>
      <c r="L190" s="47">
        <v>3750.02</v>
      </c>
      <c r="M190" s="47">
        <v>2630.03</v>
      </c>
      <c r="N190" s="47">
        <v>0</v>
      </c>
      <c r="O190" s="47">
        <v>0</v>
      </c>
      <c r="P190" s="47">
        <v>0</v>
      </c>
      <c r="Q190" s="50">
        <f>SUM(Q191:Q194)</f>
        <v>0</v>
      </c>
      <c r="R190" s="50">
        <f t="shared" ref="R190:W190" si="292">SUM(R191:R194)</f>
        <v>0</v>
      </c>
      <c r="S190" s="50">
        <f t="shared" si="292"/>
        <v>0</v>
      </c>
      <c r="T190" s="50">
        <f t="shared" si="292"/>
        <v>0</v>
      </c>
      <c r="U190" s="50">
        <f t="shared" si="292"/>
        <v>0</v>
      </c>
      <c r="V190" s="50">
        <f t="shared" si="292"/>
        <v>0</v>
      </c>
      <c r="W190" s="50">
        <f t="shared" si="292"/>
        <v>0</v>
      </c>
      <c r="X190" s="47">
        <v>0</v>
      </c>
      <c r="Y190" s="50">
        <f t="shared" ref="Y190:AI190" si="293">SUM(Y191:Y194)</f>
        <v>0</v>
      </c>
      <c r="Z190" s="50">
        <f t="shared" si="293"/>
        <v>0</v>
      </c>
      <c r="AA190" s="50">
        <f t="shared" si="293"/>
        <v>0</v>
      </c>
      <c r="AB190" s="50">
        <f t="shared" si="293"/>
        <v>0</v>
      </c>
      <c r="AC190" s="50">
        <f t="shared" si="293"/>
        <v>0</v>
      </c>
      <c r="AD190" s="50">
        <f t="shared" si="293"/>
        <v>0</v>
      </c>
      <c r="AE190" s="50">
        <f t="shared" si="293"/>
        <v>0</v>
      </c>
      <c r="AF190" s="50">
        <f t="shared" si="293"/>
        <v>0</v>
      </c>
      <c r="AG190" s="50">
        <f t="shared" si="293"/>
        <v>0</v>
      </c>
      <c r="AH190" s="50">
        <f t="shared" si="293"/>
        <v>0</v>
      </c>
      <c r="AI190" s="50">
        <f t="shared" si="293"/>
        <v>0</v>
      </c>
      <c r="AJ190" s="50">
        <v>0</v>
      </c>
      <c r="AK190" s="50">
        <v>0</v>
      </c>
      <c r="AL190" s="50">
        <v>0</v>
      </c>
      <c r="AM190" s="50">
        <v>0</v>
      </c>
      <c r="AN190" s="50">
        <v>0</v>
      </c>
      <c r="AO190" s="420"/>
      <c r="AP190" s="357">
        <v>0</v>
      </c>
      <c r="AQ190" s="357">
        <v>0</v>
      </c>
      <c r="AR190" s="357">
        <v>0</v>
      </c>
      <c r="AS190" s="357">
        <v>0</v>
      </c>
      <c r="AT190" s="357">
        <v>0</v>
      </c>
      <c r="AU190" s="357">
        <v>0</v>
      </c>
      <c r="AV190" s="357">
        <v>0</v>
      </c>
      <c r="AW190" s="357">
        <v>0</v>
      </c>
      <c r="AX190" s="357">
        <v>0</v>
      </c>
      <c r="AY190" s="357">
        <v>0</v>
      </c>
      <c r="AZ190" s="357">
        <v>0</v>
      </c>
      <c r="BA190" s="357">
        <v>0</v>
      </c>
      <c r="BB190" s="357">
        <v>0</v>
      </c>
      <c r="BC190" s="357" t="e">
        <f>#REF!-AP190</f>
        <v>#REF!</v>
      </c>
      <c r="BD190" s="357" t="e">
        <f>BC190</f>
        <v>#REF!</v>
      </c>
      <c r="BE190" s="357">
        <v>0</v>
      </c>
      <c r="BF190" s="357">
        <v>0</v>
      </c>
      <c r="BG190" s="357">
        <v>0</v>
      </c>
      <c r="BH190" s="358" t="s">
        <v>163</v>
      </c>
      <c r="BI190" s="125">
        <v>0</v>
      </c>
      <c r="BJ190" s="126">
        <v>0</v>
      </c>
      <c r="BK190" s="126">
        <v>0</v>
      </c>
      <c r="BL190" s="126">
        <v>0</v>
      </c>
      <c r="BM190" s="22">
        <v>0</v>
      </c>
      <c r="BN190" s="22">
        <v>0</v>
      </c>
      <c r="BO190" s="22">
        <v>0</v>
      </c>
      <c r="BP190" s="126">
        <v>0</v>
      </c>
    </row>
    <row r="191" spans="1:68" s="100" customFormat="1" ht="15.75" hidden="1" customHeight="1">
      <c r="A191" s="374"/>
      <c r="B191" s="257" t="s">
        <v>243</v>
      </c>
      <c r="C191" s="377"/>
      <c r="D191" s="377"/>
      <c r="E191" s="377"/>
      <c r="F191" s="377"/>
      <c r="G191" s="371"/>
      <c r="H191" s="372"/>
      <c r="I191" s="378"/>
      <c r="J191" s="379"/>
      <c r="K191" s="380"/>
      <c r="L191" s="99"/>
      <c r="M191" s="99"/>
      <c r="N191" s="99"/>
      <c r="O191" s="99"/>
      <c r="P191" s="47"/>
      <c r="Q191" s="268">
        <f>Y191</f>
        <v>0</v>
      </c>
      <c r="R191" s="268"/>
      <c r="S191" s="268"/>
      <c r="T191" s="268"/>
      <c r="U191" s="268"/>
      <c r="V191" s="268"/>
      <c r="W191" s="268"/>
      <c r="X191" s="268">
        <v>0</v>
      </c>
      <c r="Y191" s="268">
        <v>0</v>
      </c>
      <c r="Z191" s="268">
        <v>0</v>
      </c>
      <c r="AA191" s="268">
        <v>0</v>
      </c>
      <c r="AB191" s="268"/>
      <c r="AC191" s="268"/>
      <c r="AD191" s="268"/>
      <c r="AE191" s="268"/>
      <c r="AF191" s="268"/>
      <c r="AG191" s="268"/>
      <c r="AH191" s="268"/>
      <c r="AI191" s="268"/>
      <c r="AJ191" s="268"/>
      <c r="AK191" s="268"/>
      <c r="AL191" s="268"/>
      <c r="AM191" s="268"/>
      <c r="AN191" s="268"/>
      <c r="AO191" s="421"/>
      <c r="AP191" s="79">
        <v>0</v>
      </c>
      <c r="AQ191" s="79">
        <v>0</v>
      </c>
      <c r="AR191" s="79">
        <v>0</v>
      </c>
      <c r="AS191" s="79">
        <v>0</v>
      </c>
      <c r="AT191" s="79">
        <v>0</v>
      </c>
      <c r="AU191" s="79">
        <v>0</v>
      </c>
      <c r="AV191" s="79">
        <v>0</v>
      </c>
      <c r="AW191" s="79">
        <v>0</v>
      </c>
      <c r="AX191" s="79">
        <v>0</v>
      </c>
      <c r="AY191" s="79">
        <v>0</v>
      </c>
      <c r="AZ191" s="79">
        <v>0</v>
      </c>
      <c r="BA191" s="79">
        <v>0</v>
      </c>
      <c r="BB191" s="79">
        <v>0</v>
      </c>
      <c r="BC191" s="82" t="e">
        <f>#REF!-AP191</f>
        <v>#REF!</v>
      </c>
      <c r="BD191" s="82" t="e">
        <f>BC191</f>
        <v>#REF!</v>
      </c>
      <c r="BE191" s="82">
        <v>0</v>
      </c>
      <c r="BF191" s="79">
        <v>0</v>
      </c>
      <c r="BG191" s="79">
        <v>0</v>
      </c>
      <c r="BH191" s="314"/>
      <c r="BI191" s="125">
        <v>0</v>
      </c>
      <c r="BJ191" s="126">
        <v>0</v>
      </c>
      <c r="BK191" s="126">
        <v>0</v>
      </c>
      <c r="BL191" s="126">
        <v>0</v>
      </c>
      <c r="BM191" s="22">
        <v>0</v>
      </c>
      <c r="BN191" s="22">
        <v>0</v>
      </c>
      <c r="BO191" s="22">
        <v>0</v>
      </c>
      <c r="BP191" s="126">
        <v>0</v>
      </c>
    </row>
    <row r="192" spans="1:68" s="100" customFormat="1" ht="15.75" hidden="1" customHeight="1">
      <c r="A192" s="374"/>
      <c r="B192" s="257" t="s">
        <v>244</v>
      </c>
      <c r="C192" s="377"/>
      <c r="D192" s="377"/>
      <c r="E192" s="377"/>
      <c r="F192" s="377"/>
      <c r="G192" s="371"/>
      <c r="H192" s="372"/>
      <c r="I192" s="378"/>
      <c r="J192" s="379"/>
      <c r="K192" s="380"/>
      <c r="L192" s="99"/>
      <c r="M192" s="99"/>
      <c r="N192" s="99"/>
      <c r="O192" s="99"/>
      <c r="P192" s="47"/>
      <c r="Q192" s="268">
        <f t="shared" ref="Q192:Q194" si="294">Y192</f>
        <v>0</v>
      </c>
      <c r="R192" s="268"/>
      <c r="S192" s="268"/>
      <c r="T192" s="268"/>
      <c r="U192" s="268"/>
      <c r="V192" s="268"/>
      <c r="W192" s="268"/>
      <c r="X192" s="268">
        <v>0</v>
      </c>
      <c r="Y192" s="268">
        <v>0</v>
      </c>
      <c r="Z192" s="268">
        <v>0</v>
      </c>
      <c r="AA192" s="268">
        <v>0</v>
      </c>
      <c r="AB192" s="268"/>
      <c r="AC192" s="268"/>
      <c r="AD192" s="268"/>
      <c r="AE192" s="268"/>
      <c r="AF192" s="268"/>
      <c r="AG192" s="268"/>
      <c r="AH192" s="268"/>
      <c r="AI192" s="268"/>
      <c r="AJ192" s="268"/>
      <c r="AK192" s="268"/>
      <c r="AL192" s="268"/>
      <c r="AM192" s="268"/>
      <c r="AN192" s="268"/>
      <c r="AO192" s="421"/>
      <c r="AP192" s="47">
        <v>0</v>
      </c>
      <c r="AQ192" s="47">
        <v>0</v>
      </c>
      <c r="AR192" s="47">
        <v>0</v>
      </c>
      <c r="AS192" s="47">
        <v>0</v>
      </c>
      <c r="AT192" s="47">
        <v>0</v>
      </c>
      <c r="AU192" s="47">
        <v>0</v>
      </c>
      <c r="AV192" s="47">
        <v>0</v>
      </c>
      <c r="AW192" s="47">
        <v>0</v>
      </c>
      <c r="AX192" s="47">
        <v>0</v>
      </c>
      <c r="AY192" s="47">
        <v>0</v>
      </c>
      <c r="AZ192" s="47">
        <v>0</v>
      </c>
      <c r="BA192" s="47">
        <v>0</v>
      </c>
      <c r="BB192" s="47">
        <v>0</v>
      </c>
      <c r="BC192" s="47">
        <v>0</v>
      </c>
      <c r="BD192" s="47">
        <v>0</v>
      </c>
      <c r="BE192" s="47">
        <v>0</v>
      </c>
      <c r="BF192" s="47">
        <v>0</v>
      </c>
      <c r="BG192" s="47">
        <v>0</v>
      </c>
      <c r="BH192" s="317"/>
      <c r="BI192" s="125">
        <v>0</v>
      </c>
      <c r="BJ192" s="126">
        <v>0</v>
      </c>
      <c r="BK192" s="126">
        <v>0</v>
      </c>
      <c r="BL192" s="126">
        <v>0</v>
      </c>
      <c r="BM192" s="22">
        <v>0</v>
      </c>
      <c r="BN192" s="22">
        <v>0</v>
      </c>
      <c r="BO192" s="22">
        <v>0</v>
      </c>
      <c r="BP192" s="126">
        <v>0</v>
      </c>
    </row>
    <row r="193" spans="1:68" s="100" customFormat="1" ht="15.75" hidden="1" customHeight="1">
      <c r="A193" s="374"/>
      <c r="B193" s="257" t="s">
        <v>239</v>
      </c>
      <c r="C193" s="377"/>
      <c r="D193" s="377"/>
      <c r="E193" s="377"/>
      <c r="F193" s="377"/>
      <c r="G193" s="371"/>
      <c r="H193" s="372"/>
      <c r="I193" s="378"/>
      <c r="J193" s="379"/>
      <c r="K193" s="380"/>
      <c r="L193" s="99"/>
      <c r="M193" s="99"/>
      <c r="N193" s="99"/>
      <c r="O193" s="99"/>
      <c r="P193" s="47"/>
      <c r="Q193" s="268">
        <f t="shared" si="294"/>
        <v>0</v>
      </c>
      <c r="R193" s="268"/>
      <c r="S193" s="268"/>
      <c r="T193" s="268"/>
      <c r="U193" s="268"/>
      <c r="V193" s="268"/>
      <c r="W193" s="268"/>
      <c r="X193" s="268">
        <v>0</v>
      </c>
      <c r="Y193" s="268">
        <v>0</v>
      </c>
      <c r="Z193" s="268">
        <v>0</v>
      </c>
      <c r="AA193" s="268">
        <v>0</v>
      </c>
      <c r="AB193" s="268"/>
      <c r="AC193" s="268"/>
      <c r="AD193" s="268"/>
      <c r="AE193" s="268"/>
      <c r="AF193" s="268"/>
      <c r="AG193" s="268"/>
      <c r="AH193" s="268"/>
      <c r="AI193" s="268"/>
      <c r="AJ193" s="268"/>
      <c r="AK193" s="268"/>
      <c r="AL193" s="268"/>
      <c r="AM193" s="268"/>
      <c r="AN193" s="268"/>
      <c r="AO193" s="421"/>
      <c r="AP193" s="82">
        <f>AP194+AP196</f>
        <v>33.478999999999999</v>
      </c>
      <c r="AQ193" s="82">
        <f t="shared" ref="AQ193:BG193" si="295">AQ194+AQ196</f>
        <v>33.478999999999999</v>
      </c>
      <c r="AR193" s="82">
        <f t="shared" si="295"/>
        <v>33.478999999999999</v>
      </c>
      <c r="AS193" s="82">
        <f t="shared" si="295"/>
        <v>0</v>
      </c>
      <c r="AT193" s="82">
        <f t="shared" si="295"/>
        <v>0</v>
      </c>
      <c r="AU193" s="82">
        <f t="shared" si="295"/>
        <v>0</v>
      </c>
      <c r="AV193" s="82">
        <f t="shared" si="295"/>
        <v>0</v>
      </c>
      <c r="AW193" s="82">
        <f t="shared" si="295"/>
        <v>0</v>
      </c>
      <c r="AX193" s="82">
        <f t="shared" si="295"/>
        <v>0</v>
      </c>
      <c r="AY193" s="82">
        <f t="shared" si="295"/>
        <v>33.479999999999997</v>
      </c>
      <c r="AZ193" s="82">
        <f>AZ194+AZ196</f>
        <v>0</v>
      </c>
      <c r="BA193" s="82">
        <f t="shared" si="295"/>
        <v>0</v>
      </c>
      <c r="BB193" s="82">
        <f t="shared" si="295"/>
        <v>0</v>
      </c>
      <c r="BC193" s="82" t="e">
        <f>#REF!-AP193</f>
        <v>#REF!</v>
      </c>
      <c r="BD193" s="82" t="e">
        <f>BC193</f>
        <v>#REF!</v>
      </c>
      <c r="BE193" s="82" t="e">
        <f>ROUND((AP193*100%/#REF!*100),2)</f>
        <v>#REF!</v>
      </c>
      <c r="BF193" s="82">
        <f t="shared" si="295"/>
        <v>0</v>
      </c>
      <c r="BG193" s="82">
        <f t="shared" si="295"/>
        <v>0</v>
      </c>
      <c r="BH193" s="316"/>
      <c r="BI193" s="125">
        <v>0</v>
      </c>
      <c r="BJ193" s="126">
        <v>0</v>
      </c>
      <c r="BK193" s="126">
        <v>0</v>
      </c>
      <c r="BL193" s="126">
        <v>0</v>
      </c>
      <c r="BM193" s="22">
        <v>0</v>
      </c>
      <c r="BN193" s="22">
        <v>0</v>
      </c>
      <c r="BO193" s="22">
        <v>0</v>
      </c>
      <c r="BP193" s="126">
        <v>0</v>
      </c>
    </row>
    <row r="194" spans="1:68" s="100" customFormat="1" ht="15.75" hidden="1" customHeight="1">
      <c r="A194" s="374"/>
      <c r="B194" s="257" t="s">
        <v>242</v>
      </c>
      <c r="C194" s="377"/>
      <c r="D194" s="377"/>
      <c r="E194" s="377"/>
      <c r="F194" s="377"/>
      <c r="G194" s="371"/>
      <c r="H194" s="372"/>
      <c r="I194" s="378"/>
      <c r="J194" s="379"/>
      <c r="K194" s="380"/>
      <c r="L194" s="99"/>
      <c r="M194" s="99"/>
      <c r="N194" s="99"/>
      <c r="O194" s="99"/>
      <c r="P194" s="47"/>
      <c r="Q194" s="268">
        <f t="shared" si="294"/>
        <v>0</v>
      </c>
      <c r="R194" s="268"/>
      <c r="S194" s="268"/>
      <c r="T194" s="268"/>
      <c r="U194" s="268"/>
      <c r="V194" s="268"/>
      <c r="W194" s="268"/>
      <c r="X194" s="268">
        <v>0</v>
      </c>
      <c r="Y194" s="268">
        <v>0</v>
      </c>
      <c r="Z194" s="268">
        <v>0</v>
      </c>
      <c r="AA194" s="268">
        <v>0</v>
      </c>
      <c r="AB194" s="268"/>
      <c r="AC194" s="268"/>
      <c r="AD194" s="268"/>
      <c r="AE194" s="268"/>
      <c r="AF194" s="268"/>
      <c r="AG194" s="268"/>
      <c r="AH194" s="268"/>
      <c r="AI194" s="268"/>
      <c r="AJ194" s="268"/>
      <c r="AK194" s="268"/>
      <c r="AL194" s="268"/>
      <c r="AM194" s="268"/>
      <c r="AN194" s="268"/>
      <c r="AO194" s="421"/>
      <c r="AP194" s="47">
        <f>SUM(AP195)</f>
        <v>33.478999999999999</v>
      </c>
      <c r="AQ194" s="47">
        <f t="shared" ref="AQ194" si="296">SUM(AQ195)</f>
        <v>33.478999999999999</v>
      </c>
      <c r="AR194" s="47">
        <f>SUM(AR195)</f>
        <v>33.478999999999999</v>
      </c>
      <c r="AS194" s="47">
        <f t="shared" ref="AS194:AX194" si="297">SUM(AS195)</f>
        <v>0</v>
      </c>
      <c r="AT194" s="47">
        <f t="shared" si="297"/>
        <v>0</v>
      </c>
      <c r="AU194" s="47">
        <f t="shared" si="297"/>
        <v>0</v>
      </c>
      <c r="AV194" s="47">
        <f t="shared" si="297"/>
        <v>0</v>
      </c>
      <c r="AW194" s="47">
        <f t="shared" si="297"/>
        <v>0</v>
      </c>
      <c r="AX194" s="47">
        <f t="shared" si="297"/>
        <v>0</v>
      </c>
      <c r="AY194" s="47">
        <v>33.479999999999997</v>
      </c>
      <c r="AZ194" s="47">
        <v>0</v>
      </c>
      <c r="BA194" s="47">
        <v>0</v>
      </c>
      <c r="BB194" s="47">
        <v>0</v>
      </c>
      <c r="BC194" s="47">
        <v>0</v>
      </c>
      <c r="BD194" s="47">
        <v>0</v>
      </c>
      <c r="BE194" s="47">
        <v>0</v>
      </c>
      <c r="BF194" s="47">
        <v>0</v>
      </c>
      <c r="BG194" s="47">
        <v>0</v>
      </c>
      <c r="BH194" s="317"/>
      <c r="BI194" s="125">
        <v>0</v>
      </c>
      <c r="BJ194" s="126">
        <v>0</v>
      </c>
      <c r="BK194" s="126">
        <v>0</v>
      </c>
      <c r="BL194" s="126">
        <v>0</v>
      </c>
      <c r="BM194" s="22">
        <v>0</v>
      </c>
      <c r="BN194" s="22">
        <v>0</v>
      </c>
      <c r="BO194" s="22">
        <v>0</v>
      </c>
      <c r="BP194" s="126">
        <v>0</v>
      </c>
    </row>
    <row r="195" spans="1:68" ht="156.75" hidden="1" customHeight="1">
      <c r="A195" s="735" t="s">
        <v>183</v>
      </c>
      <c r="B195" s="80" t="s">
        <v>185</v>
      </c>
      <c r="C195" s="143"/>
      <c r="D195" s="143"/>
      <c r="E195" s="143"/>
      <c r="F195" s="143"/>
      <c r="G195" s="717"/>
      <c r="H195" s="717"/>
      <c r="I195" s="837" t="s">
        <v>186</v>
      </c>
      <c r="J195" s="727"/>
      <c r="K195" s="3"/>
      <c r="L195" s="82">
        <f>L196</f>
        <v>962.68</v>
      </c>
      <c r="M195" s="82">
        <f>M196</f>
        <v>403.33</v>
      </c>
      <c r="N195" s="82">
        <f t="shared" ref="N195:AN195" si="298">N196</f>
        <v>0</v>
      </c>
      <c r="O195" s="82">
        <f t="shared" si="298"/>
        <v>0</v>
      </c>
      <c r="P195" s="82">
        <f t="shared" si="298"/>
        <v>0</v>
      </c>
      <c r="Q195" s="82">
        <f t="shared" si="298"/>
        <v>0</v>
      </c>
      <c r="R195" s="82">
        <f t="shared" si="298"/>
        <v>0</v>
      </c>
      <c r="S195" s="82">
        <f t="shared" si="298"/>
        <v>0</v>
      </c>
      <c r="T195" s="82">
        <f t="shared" si="298"/>
        <v>0</v>
      </c>
      <c r="U195" s="82">
        <f t="shared" si="298"/>
        <v>0</v>
      </c>
      <c r="V195" s="82">
        <f t="shared" si="298"/>
        <v>0</v>
      </c>
      <c r="W195" s="82">
        <f t="shared" si="298"/>
        <v>0</v>
      </c>
      <c r="X195" s="82">
        <f t="shared" si="298"/>
        <v>0</v>
      </c>
      <c r="Y195" s="82">
        <f t="shared" si="298"/>
        <v>0</v>
      </c>
      <c r="Z195" s="82">
        <f t="shared" si="298"/>
        <v>0</v>
      </c>
      <c r="AA195" s="82">
        <f t="shared" si="298"/>
        <v>0</v>
      </c>
      <c r="AB195" s="82">
        <f t="shared" si="298"/>
        <v>0</v>
      </c>
      <c r="AC195" s="82">
        <f t="shared" si="298"/>
        <v>0</v>
      </c>
      <c r="AD195" s="82">
        <f t="shared" si="298"/>
        <v>0</v>
      </c>
      <c r="AE195" s="82">
        <f t="shared" si="298"/>
        <v>0</v>
      </c>
      <c r="AF195" s="82">
        <f t="shared" si="298"/>
        <v>0</v>
      </c>
      <c r="AG195" s="82">
        <f t="shared" si="298"/>
        <v>0</v>
      </c>
      <c r="AH195" s="82">
        <f t="shared" si="298"/>
        <v>0</v>
      </c>
      <c r="AI195" s="82">
        <f t="shared" si="298"/>
        <v>0</v>
      </c>
      <c r="AJ195" s="82">
        <f t="shared" si="298"/>
        <v>0</v>
      </c>
      <c r="AK195" s="82">
        <f t="shared" si="298"/>
        <v>0</v>
      </c>
      <c r="AL195" s="82">
        <f t="shared" si="298"/>
        <v>0</v>
      </c>
      <c r="AM195" s="82">
        <f t="shared" si="298"/>
        <v>0</v>
      </c>
      <c r="AN195" s="82">
        <f t="shared" si="298"/>
        <v>0</v>
      </c>
      <c r="AO195" s="433" t="s">
        <v>212</v>
      </c>
      <c r="AP195" s="99">
        <f>AR195</f>
        <v>33.478999999999999</v>
      </c>
      <c r="AQ195" s="47">
        <f>AR195</f>
        <v>33.478999999999999</v>
      </c>
      <c r="AR195" s="47">
        <v>33.478999999999999</v>
      </c>
      <c r="AS195" s="99"/>
      <c r="AT195" s="99"/>
      <c r="AU195" s="99"/>
      <c r="AV195" s="99"/>
      <c r="AW195" s="47"/>
      <c r="AX195" s="47"/>
      <c r="AY195" s="99">
        <f>AZ195</f>
        <v>33.478999999999999</v>
      </c>
      <c r="AZ195" s="99">
        <v>33.478999999999999</v>
      </c>
      <c r="BA195" s="99"/>
      <c r="BB195" s="99"/>
      <c r="BC195" s="99"/>
      <c r="BD195" s="99"/>
      <c r="BE195" s="99"/>
      <c r="BF195" s="99"/>
      <c r="BG195" s="99"/>
      <c r="BH195" s="318"/>
      <c r="BI195" s="125">
        <v>0</v>
      </c>
      <c r="BJ195" s="126">
        <v>0</v>
      </c>
      <c r="BK195" s="126">
        <v>0</v>
      </c>
      <c r="BL195" s="126">
        <v>0</v>
      </c>
      <c r="BM195" s="22">
        <v>0</v>
      </c>
      <c r="BN195" s="22">
        <v>0</v>
      </c>
      <c r="BO195" s="22">
        <v>0</v>
      </c>
      <c r="BP195" s="126">
        <v>0</v>
      </c>
    </row>
    <row r="196" spans="1:68" ht="15.75" hidden="1" customHeight="1">
      <c r="A196" s="736"/>
      <c r="B196" s="42" t="s">
        <v>15</v>
      </c>
      <c r="C196" s="143"/>
      <c r="D196" s="143"/>
      <c r="E196" s="143"/>
      <c r="F196" s="143"/>
      <c r="G196" s="320"/>
      <c r="H196" s="321"/>
      <c r="I196" s="840"/>
      <c r="J196" s="727"/>
      <c r="K196" s="325"/>
      <c r="L196" s="47">
        <v>962.68</v>
      </c>
      <c r="M196" s="47">
        <v>403.33</v>
      </c>
      <c r="N196" s="47">
        <v>0</v>
      </c>
      <c r="O196" s="50">
        <v>0</v>
      </c>
      <c r="P196" s="50">
        <v>0</v>
      </c>
      <c r="Q196" s="50">
        <v>0</v>
      </c>
      <c r="R196" s="50">
        <v>0</v>
      </c>
      <c r="S196" s="50">
        <v>0</v>
      </c>
      <c r="T196" s="50">
        <v>0</v>
      </c>
      <c r="U196" s="50">
        <v>0</v>
      </c>
      <c r="V196" s="50">
        <v>0</v>
      </c>
      <c r="W196" s="50">
        <v>0</v>
      </c>
      <c r="X196" s="50">
        <v>0</v>
      </c>
      <c r="Y196" s="50">
        <v>0</v>
      </c>
      <c r="Z196" s="50">
        <v>0</v>
      </c>
      <c r="AA196" s="50">
        <v>0</v>
      </c>
      <c r="AB196" s="50">
        <v>0</v>
      </c>
      <c r="AC196" s="50">
        <v>0</v>
      </c>
      <c r="AD196" s="50">
        <v>0</v>
      </c>
      <c r="AE196" s="50">
        <v>0</v>
      </c>
      <c r="AF196" s="50">
        <v>0</v>
      </c>
      <c r="AG196" s="50">
        <v>0</v>
      </c>
      <c r="AH196" s="50">
        <v>0</v>
      </c>
      <c r="AI196" s="50">
        <v>0</v>
      </c>
      <c r="AJ196" s="50">
        <v>0</v>
      </c>
      <c r="AK196" s="50">
        <v>0</v>
      </c>
      <c r="AL196" s="50">
        <v>0</v>
      </c>
      <c r="AM196" s="50">
        <v>0</v>
      </c>
      <c r="AN196" s="50">
        <v>0</v>
      </c>
      <c r="AO196" s="436"/>
      <c r="AP196" s="47">
        <v>0</v>
      </c>
      <c r="AQ196" s="47">
        <v>0</v>
      </c>
      <c r="AR196" s="47">
        <v>0</v>
      </c>
      <c r="AS196" s="47">
        <v>0</v>
      </c>
      <c r="AT196" s="47">
        <v>0</v>
      </c>
      <c r="AU196" s="47">
        <v>0</v>
      </c>
      <c r="AV196" s="47">
        <v>0</v>
      </c>
      <c r="AW196" s="47">
        <v>0</v>
      </c>
      <c r="AX196" s="47">
        <v>0</v>
      </c>
      <c r="AY196" s="47">
        <v>0</v>
      </c>
      <c r="AZ196" s="47">
        <v>0</v>
      </c>
      <c r="BA196" s="47">
        <v>0</v>
      </c>
      <c r="BB196" s="47">
        <v>0</v>
      </c>
      <c r="BC196" s="47">
        <v>0</v>
      </c>
      <c r="BD196" s="47">
        <v>0</v>
      </c>
      <c r="BE196" s="47">
        <v>0</v>
      </c>
      <c r="BF196" s="47">
        <v>0</v>
      </c>
      <c r="BG196" s="47">
        <v>0</v>
      </c>
      <c r="BH196" s="317"/>
      <c r="BI196" s="125">
        <v>0</v>
      </c>
      <c r="BJ196" s="126">
        <v>0</v>
      </c>
      <c r="BK196" s="126">
        <v>0</v>
      </c>
      <c r="BL196" s="126">
        <v>0</v>
      </c>
      <c r="BM196" s="22">
        <v>0</v>
      </c>
      <c r="BN196" s="22">
        <v>0</v>
      </c>
      <c r="BO196" s="22">
        <v>0</v>
      </c>
      <c r="BP196" s="126">
        <v>0</v>
      </c>
    </row>
    <row r="197" spans="1:68" ht="63.75" hidden="1" customHeight="1">
      <c r="A197" s="735" t="s">
        <v>184</v>
      </c>
      <c r="B197" s="80" t="s">
        <v>187</v>
      </c>
      <c r="C197" s="143"/>
      <c r="D197" s="143"/>
      <c r="E197" s="143"/>
      <c r="F197" s="143"/>
      <c r="G197" s="717"/>
      <c r="H197" s="717"/>
      <c r="I197" s="837" t="s">
        <v>186</v>
      </c>
      <c r="J197" s="727"/>
      <c r="K197" s="3"/>
      <c r="L197" s="82">
        <f>L198</f>
        <v>1342.77</v>
      </c>
      <c r="M197" s="82">
        <f>M198</f>
        <v>1246.77</v>
      </c>
      <c r="N197" s="82">
        <f t="shared" ref="N197:AN197" si="299">N198</f>
        <v>0</v>
      </c>
      <c r="O197" s="82">
        <f t="shared" si="299"/>
        <v>0</v>
      </c>
      <c r="P197" s="82">
        <f t="shared" si="299"/>
        <v>0</v>
      </c>
      <c r="Q197" s="82">
        <f t="shared" si="299"/>
        <v>0</v>
      </c>
      <c r="R197" s="82">
        <f t="shared" si="299"/>
        <v>0</v>
      </c>
      <c r="S197" s="82">
        <f t="shared" si="299"/>
        <v>0</v>
      </c>
      <c r="T197" s="82">
        <f t="shared" si="299"/>
        <v>0</v>
      </c>
      <c r="U197" s="82">
        <f t="shared" si="299"/>
        <v>0</v>
      </c>
      <c r="V197" s="82">
        <f t="shared" si="299"/>
        <v>0</v>
      </c>
      <c r="W197" s="82">
        <f t="shared" si="299"/>
        <v>0</v>
      </c>
      <c r="X197" s="82">
        <f t="shared" si="299"/>
        <v>0</v>
      </c>
      <c r="Y197" s="82">
        <f t="shared" si="299"/>
        <v>0</v>
      </c>
      <c r="Z197" s="82">
        <f t="shared" si="299"/>
        <v>0</v>
      </c>
      <c r="AA197" s="82">
        <f t="shared" si="299"/>
        <v>0</v>
      </c>
      <c r="AB197" s="82">
        <f t="shared" si="299"/>
        <v>0</v>
      </c>
      <c r="AC197" s="82">
        <f t="shared" si="299"/>
        <v>0</v>
      </c>
      <c r="AD197" s="82">
        <f t="shared" si="299"/>
        <v>0</v>
      </c>
      <c r="AE197" s="82">
        <f t="shared" si="299"/>
        <v>0</v>
      </c>
      <c r="AF197" s="82">
        <f t="shared" si="299"/>
        <v>0</v>
      </c>
      <c r="AG197" s="82">
        <f t="shared" si="299"/>
        <v>0</v>
      </c>
      <c r="AH197" s="82">
        <f t="shared" si="299"/>
        <v>0</v>
      </c>
      <c r="AI197" s="82">
        <f t="shared" si="299"/>
        <v>0</v>
      </c>
      <c r="AJ197" s="82">
        <f t="shared" si="299"/>
        <v>0</v>
      </c>
      <c r="AK197" s="82">
        <f t="shared" si="299"/>
        <v>0</v>
      </c>
      <c r="AL197" s="82">
        <f t="shared" si="299"/>
        <v>0</v>
      </c>
      <c r="AM197" s="82">
        <f t="shared" si="299"/>
        <v>0</v>
      </c>
      <c r="AN197" s="82">
        <f t="shared" si="299"/>
        <v>0</v>
      </c>
      <c r="AO197" s="433" t="s">
        <v>212</v>
      </c>
      <c r="AP197" s="82">
        <f>AP198+AP200</f>
        <v>885</v>
      </c>
      <c r="AQ197" s="82">
        <f t="shared" ref="AQ197:AY197" si="300">AQ198+AQ200</f>
        <v>0</v>
      </c>
      <c r="AR197" s="82">
        <f t="shared" si="300"/>
        <v>0</v>
      </c>
      <c r="AS197" s="82">
        <f t="shared" si="300"/>
        <v>0</v>
      </c>
      <c r="AT197" s="82">
        <f t="shared" si="300"/>
        <v>0</v>
      </c>
      <c r="AU197" s="82">
        <f t="shared" si="300"/>
        <v>0</v>
      </c>
      <c r="AV197" s="82">
        <f t="shared" si="300"/>
        <v>0</v>
      </c>
      <c r="AW197" s="82">
        <f t="shared" si="300"/>
        <v>2761.44</v>
      </c>
      <c r="AX197" s="82">
        <f t="shared" si="300"/>
        <v>885</v>
      </c>
      <c r="AY197" s="82">
        <f t="shared" si="300"/>
        <v>0</v>
      </c>
      <c r="AZ197" s="82">
        <f>AZ198+AZ200</f>
        <v>0</v>
      </c>
      <c r="BA197" s="82">
        <f t="shared" ref="BA197:BB197" si="301">BA198+BA200</f>
        <v>0</v>
      </c>
      <c r="BB197" s="82">
        <f t="shared" si="301"/>
        <v>0</v>
      </c>
      <c r="BC197" s="82" t="e">
        <f>#REF!-AP197</f>
        <v>#REF!</v>
      </c>
      <c r="BD197" s="82" t="e">
        <f>BC197</f>
        <v>#REF!</v>
      </c>
      <c r="BE197" s="82" t="e">
        <f>ROUND((AP197*100%/#REF!*100),2)</f>
        <v>#REF!</v>
      </c>
      <c r="BF197" s="82">
        <f t="shared" ref="BF197:BG197" si="302">BF198+BF200</f>
        <v>0</v>
      </c>
      <c r="BG197" s="82">
        <f t="shared" si="302"/>
        <v>0</v>
      </c>
      <c r="BH197" s="316"/>
      <c r="BI197" s="125">
        <v>0</v>
      </c>
      <c r="BJ197" s="126">
        <v>0</v>
      </c>
      <c r="BK197" s="126">
        <v>0</v>
      </c>
      <c r="BL197" s="126">
        <v>0</v>
      </c>
      <c r="BM197" s="22">
        <v>0</v>
      </c>
      <c r="BN197" s="22">
        <v>0</v>
      </c>
      <c r="BO197" s="22">
        <v>0</v>
      </c>
      <c r="BP197" s="126">
        <v>0</v>
      </c>
    </row>
    <row r="198" spans="1:68" ht="15.75" hidden="1" customHeight="1">
      <c r="A198" s="736"/>
      <c r="B198" s="42" t="s">
        <v>15</v>
      </c>
      <c r="C198" s="143"/>
      <c r="D198" s="143"/>
      <c r="E198" s="143"/>
      <c r="F198" s="143"/>
      <c r="G198" s="320"/>
      <c r="H198" s="321"/>
      <c r="I198" s="840"/>
      <c r="J198" s="727"/>
      <c r="K198" s="325"/>
      <c r="L198" s="47">
        <v>1342.77</v>
      </c>
      <c r="M198" s="47">
        <v>1246.77</v>
      </c>
      <c r="N198" s="50">
        <v>0</v>
      </c>
      <c r="O198" s="50">
        <v>0</v>
      </c>
      <c r="P198" s="47">
        <v>0</v>
      </c>
      <c r="Q198" s="50">
        <v>0</v>
      </c>
      <c r="R198" s="50">
        <v>0</v>
      </c>
      <c r="S198" s="50">
        <v>0</v>
      </c>
      <c r="T198" s="50">
        <v>0</v>
      </c>
      <c r="U198" s="50">
        <v>0</v>
      </c>
      <c r="V198" s="50">
        <v>0</v>
      </c>
      <c r="W198" s="50">
        <v>0</v>
      </c>
      <c r="X198" s="47">
        <v>0</v>
      </c>
      <c r="Y198" s="50">
        <v>0</v>
      </c>
      <c r="Z198" s="50">
        <v>0</v>
      </c>
      <c r="AA198" s="50">
        <v>0</v>
      </c>
      <c r="AB198" s="50">
        <v>0</v>
      </c>
      <c r="AC198" s="50">
        <v>0</v>
      </c>
      <c r="AD198" s="50">
        <v>0</v>
      </c>
      <c r="AE198" s="50">
        <v>0</v>
      </c>
      <c r="AF198" s="50">
        <v>0</v>
      </c>
      <c r="AG198" s="50">
        <v>0</v>
      </c>
      <c r="AH198" s="50">
        <v>0</v>
      </c>
      <c r="AI198" s="50">
        <v>0</v>
      </c>
      <c r="AJ198" s="50">
        <v>0</v>
      </c>
      <c r="AK198" s="50">
        <v>0</v>
      </c>
      <c r="AL198" s="50">
        <v>0</v>
      </c>
      <c r="AM198" s="50">
        <v>0</v>
      </c>
      <c r="AN198" s="50">
        <v>0</v>
      </c>
      <c r="AO198" s="420"/>
      <c r="AP198" s="47">
        <f>SUM(AP199:AP200)</f>
        <v>885</v>
      </c>
      <c r="AQ198" s="47">
        <f t="shared" ref="AQ198:BB198" si="303">SUM(AQ199:AQ200)</f>
        <v>0</v>
      </c>
      <c r="AR198" s="47">
        <f t="shared" si="303"/>
        <v>0</v>
      </c>
      <c r="AS198" s="47">
        <f t="shared" si="303"/>
        <v>0</v>
      </c>
      <c r="AT198" s="47">
        <f t="shared" si="303"/>
        <v>0</v>
      </c>
      <c r="AU198" s="47">
        <f t="shared" si="303"/>
        <v>0</v>
      </c>
      <c r="AV198" s="47">
        <f t="shared" si="303"/>
        <v>0</v>
      </c>
      <c r="AW198" s="47">
        <f t="shared" si="303"/>
        <v>2761.44</v>
      </c>
      <c r="AX198" s="47">
        <f t="shared" si="303"/>
        <v>885</v>
      </c>
      <c r="AY198" s="47">
        <f t="shared" si="303"/>
        <v>0</v>
      </c>
      <c r="AZ198" s="47">
        <f t="shared" si="303"/>
        <v>0</v>
      </c>
      <c r="BA198" s="47">
        <f t="shared" si="303"/>
        <v>0</v>
      </c>
      <c r="BB198" s="47">
        <f t="shared" si="303"/>
        <v>0</v>
      </c>
      <c r="BC198" s="47">
        <v>0</v>
      </c>
      <c r="BD198" s="47">
        <v>0</v>
      </c>
      <c r="BE198" s="47">
        <v>0</v>
      </c>
      <c r="BF198" s="47">
        <v>0</v>
      </c>
      <c r="BG198" s="47">
        <v>0</v>
      </c>
      <c r="BH198" s="301"/>
      <c r="BI198" s="125">
        <v>0</v>
      </c>
      <c r="BJ198" s="126">
        <v>0</v>
      </c>
      <c r="BK198" s="126">
        <v>0</v>
      </c>
      <c r="BL198" s="126">
        <v>0</v>
      </c>
      <c r="BM198" s="22">
        <v>0</v>
      </c>
      <c r="BN198" s="22">
        <v>0</v>
      </c>
      <c r="BO198" s="22">
        <v>0</v>
      </c>
      <c r="BP198" s="126">
        <v>0</v>
      </c>
    </row>
    <row r="199" spans="1:68" ht="54" customHeight="1">
      <c r="A199" s="833" t="s">
        <v>31</v>
      </c>
      <c r="B199" s="889" t="s">
        <v>213</v>
      </c>
      <c r="C199" s="890"/>
      <c r="D199" s="890"/>
      <c r="E199" s="890"/>
      <c r="F199" s="890"/>
      <c r="G199" s="890"/>
      <c r="H199" s="891"/>
      <c r="I199" s="15" t="s">
        <v>19</v>
      </c>
      <c r="J199" s="733">
        <v>0</v>
      </c>
      <c r="K199" s="733">
        <v>0</v>
      </c>
      <c r="L199" s="16">
        <f t="shared" ref="L199:L202" si="304">M199+N199+O199</f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  <c r="V199" s="22">
        <v>0</v>
      </c>
      <c r="W199" s="22">
        <v>0</v>
      </c>
      <c r="X199" s="22">
        <v>0</v>
      </c>
      <c r="Y199" s="22">
        <v>0</v>
      </c>
      <c r="Z199" s="22">
        <v>0</v>
      </c>
      <c r="AA199" s="22">
        <v>0</v>
      </c>
      <c r="AB199" s="22">
        <v>0</v>
      </c>
      <c r="AC199" s="22">
        <v>0</v>
      </c>
      <c r="AD199" s="22">
        <v>0</v>
      </c>
      <c r="AE199" s="22">
        <v>0</v>
      </c>
      <c r="AF199" s="22">
        <v>0</v>
      </c>
      <c r="AG199" s="22">
        <v>0</v>
      </c>
      <c r="AH199" s="22">
        <v>0</v>
      </c>
      <c r="AI199" s="22">
        <v>0</v>
      </c>
      <c r="AJ199" s="22">
        <v>0</v>
      </c>
      <c r="AK199" s="22">
        <v>0</v>
      </c>
      <c r="AL199" s="22">
        <v>0</v>
      </c>
      <c r="AM199" s="22">
        <v>0</v>
      </c>
      <c r="AN199" s="22">
        <v>0</v>
      </c>
      <c r="AO199" s="404"/>
      <c r="AP199" s="99">
        <f>AX199</f>
        <v>885</v>
      </c>
      <c r="AQ199" s="99"/>
      <c r="AR199" s="99"/>
      <c r="AS199" s="99"/>
      <c r="AT199" s="99"/>
      <c r="AU199" s="99"/>
      <c r="AV199" s="99"/>
      <c r="AW199" s="99">
        <v>2761.44</v>
      </c>
      <c r="AX199" s="99">
        <v>885</v>
      </c>
      <c r="AY199" s="99">
        <f>AZ199</f>
        <v>0</v>
      </c>
      <c r="AZ199" s="99">
        <v>0</v>
      </c>
      <c r="BA199" s="99">
        <v>0</v>
      </c>
      <c r="BB199" s="99">
        <v>0</v>
      </c>
      <c r="BC199" s="99">
        <v>0</v>
      </c>
      <c r="BD199" s="99">
        <v>0</v>
      </c>
      <c r="BE199" s="99">
        <v>0</v>
      </c>
      <c r="BF199" s="99">
        <v>0</v>
      </c>
      <c r="BG199" s="99">
        <v>0</v>
      </c>
      <c r="BH199" s="309"/>
      <c r="BI199" s="125">
        <v>0</v>
      </c>
      <c r="BJ199" s="126">
        <v>0</v>
      </c>
      <c r="BK199" s="126">
        <v>0</v>
      </c>
      <c r="BL199" s="126">
        <v>0</v>
      </c>
      <c r="BM199" s="125">
        <v>0</v>
      </c>
      <c r="BN199" s="126">
        <v>0</v>
      </c>
      <c r="BO199" s="126">
        <v>0</v>
      </c>
      <c r="BP199" s="126">
        <v>0</v>
      </c>
    </row>
    <row r="200" spans="1:68" ht="39.75" customHeight="1">
      <c r="A200" s="834"/>
      <c r="B200" s="892"/>
      <c r="C200" s="893"/>
      <c r="D200" s="893"/>
      <c r="E200" s="893"/>
      <c r="F200" s="893"/>
      <c r="G200" s="893"/>
      <c r="H200" s="894"/>
      <c r="I200" s="15" t="s">
        <v>20</v>
      </c>
      <c r="J200" s="733">
        <f>K200+L200</f>
        <v>6696.7899999999991</v>
      </c>
      <c r="K200" s="733">
        <f>K203+K219+K222+K230</f>
        <v>0</v>
      </c>
      <c r="L200" s="16">
        <f>L203</f>
        <v>6696.7899999999991</v>
      </c>
      <c r="M200" s="22">
        <f>M203</f>
        <v>0</v>
      </c>
      <c r="N200" s="22">
        <f t="shared" ref="N200:AD200" si="305">N203</f>
        <v>2081.9299999999998</v>
      </c>
      <c r="O200" s="22">
        <f t="shared" si="305"/>
        <v>4372.5</v>
      </c>
      <c r="P200" s="22">
        <f t="shared" si="305"/>
        <v>5537.8319999999994</v>
      </c>
      <c r="Q200" s="22">
        <f t="shared" si="305"/>
        <v>0</v>
      </c>
      <c r="R200" s="22">
        <f t="shared" si="305"/>
        <v>0</v>
      </c>
      <c r="S200" s="22">
        <f t="shared" si="305"/>
        <v>0</v>
      </c>
      <c r="T200" s="22">
        <f t="shared" si="305"/>
        <v>0</v>
      </c>
      <c r="U200" s="22">
        <f t="shared" si="305"/>
        <v>0</v>
      </c>
      <c r="V200" s="22">
        <f t="shared" si="305"/>
        <v>0</v>
      </c>
      <c r="W200" s="22">
        <f t="shared" si="305"/>
        <v>0</v>
      </c>
      <c r="X200" s="22">
        <f t="shared" si="305"/>
        <v>0</v>
      </c>
      <c r="Y200" s="22">
        <f t="shared" si="305"/>
        <v>0</v>
      </c>
      <c r="Z200" s="22">
        <f t="shared" si="305"/>
        <v>0</v>
      </c>
      <c r="AA200" s="22">
        <f t="shared" si="305"/>
        <v>0</v>
      </c>
      <c r="AB200" s="22">
        <f t="shared" si="305"/>
        <v>0</v>
      </c>
      <c r="AC200" s="22">
        <f t="shared" si="305"/>
        <v>0</v>
      </c>
      <c r="AD200" s="22">
        <f t="shared" si="305"/>
        <v>0</v>
      </c>
      <c r="AE200" s="22">
        <f t="shared" ref="AE200:AN200" si="306">AE203+AE219+AE222+AE230+AE232</f>
        <v>0</v>
      </c>
      <c r="AF200" s="22">
        <f t="shared" si="306"/>
        <v>0</v>
      </c>
      <c r="AG200" s="22">
        <f t="shared" si="306"/>
        <v>0</v>
      </c>
      <c r="AH200" s="22">
        <f t="shared" si="306"/>
        <v>0</v>
      </c>
      <c r="AI200" s="22">
        <f t="shared" si="306"/>
        <v>0</v>
      </c>
      <c r="AJ200" s="22">
        <f t="shared" si="306"/>
        <v>-20308.392</v>
      </c>
      <c r="AK200" s="22">
        <f t="shared" si="306"/>
        <v>-20308.392</v>
      </c>
      <c r="AL200" s="22">
        <f t="shared" si="306"/>
        <v>1099.3399999999999</v>
      </c>
      <c r="AM200" s="22">
        <f t="shared" si="306"/>
        <v>0</v>
      </c>
      <c r="AN200" s="22">
        <f t="shared" si="306"/>
        <v>0</v>
      </c>
      <c r="AO200" s="404"/>
      <c r="AP200" s="47">
        <v>0</v>
      </c>
      <c r="AQ200" s="47">
        <v>0</v>
      </c>
      <c r="AR200" s="47">
        <v>0</v>
      </c>
      <c r="AS200" s="47">
        <v>0</v>
      </c>
      <c r="AT200" s="47">
        <v>0</v>
      </c>
      <c r="AU200" s="47">
        <v>0</v>
      </c>
      <c r="AV200" s="47">
        <v>0</v>
      </c>
      <c r="AW200" s="47">
        <v>0</v>
      </c>
      <c r="AX200" s="47">
        <v>0</v>
      </c>
      <c r="AY200" s="47">
        <v>0</v>
      </c>
      <c r="AZ200" s="47">
        <v>0</v>
      </c>
      <c r="BA200" s="47">
        <v>0</v>
      </c>
      <c r="BB200" s="47">
        <v>0</v>
      </c>
      <c r="BC200" s="47">
        <v>0</v>
      </c>
      <c r="BD200" s="47">
        <v>0</v>
      </c>
      <c r="BE200" s="47">
        <v>0</v>
      </c>
      <c r="BF200" s="47">
        <v>0</v>
      </c>
      <c r="BG200" s="47">
        <v>0</v>
      </c>
      <c r="BH200" s="317"/>
      <c r="BI200" s="125">
        <v>0</v>
      </c>
      <c r="BJ200" s="126">
        <v>0</v>
      </c>
      <c r="BK200" s="126">
        <v>0</v>
      </c>
      <c r="BL200" s="126">
        <v>0</v>
      </c>
      <c r="BM200" s="125">
        <v>0</v>
      </c>
      <c r="BN200" s="126">
        <v>0</v>
      </c>
      <c r="BO200" s="126">
        <v>0</v>
      </c>
      <c r="BP200" s="126">
        <v>0</v>
      </c>
    </row>
    <row r="201" spans="1:68" ht="26.25" customHeight="1">
      <c r="A201" s="834"/>
      <c r="B201" s="892"/>
      <c r="C201" s="893"/>
      <c r="D201" s="893"/>
      <c r="E201" s="893"/>
      <c r="F201" s="893"/>
      <c r="G201" s="893"/>
      <c r="H201" s="894"/>
      <c r="I201" s="15" t="s">
        <v>10</v>
      </c>
      <c r="J201" s="733">
        <v>0</v>
      </c>
      <c r="K201" s="733">
        <v>0</v>
      </c>
      <c r="L201" s="16">
        <f t="shared" si="304"/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f>Q227</f>
        <v>0</v>
      </c>
      <c r="R201" s="22">
        <f t="shared" ref="R201:AI201" si="307">R227</f>
        <v>0</v>
      </c>
      <c r="S201" s="22">
        <f t="shared" si="307"/>
        <v>0</v>
      </c>
      <c r="T201" s="22">
        <f t="shared" si="307"/>
        <v>0</v>
      </c>
      <c r="U201" s="22">
        <f t="shared" si="307"/>
        <v>0</v>
      </c>
      <c r="V201" s="22">
        <f t="shared" si="307"/>
        <v>0</v>
      </c>
      <c r="W201" s="22">
        <f t="shared" si="307"/>
        <v>0</v>
      </c>
      <c r="X201" s="22">
        <f t="shared" si="307"/>
        <v>0</v>
      </c>
      <c r="Y201" s="22">
        <f t="shared" si="307"/>
        <v>0</v>
      </c>
      <c r="Z201" s="22">
        <f t="shared" si="307"/>
        <v>0</v>
      </c>
      <c r="AA201" s="22">
        <f t="shared" si="307"/>
        <v>0</v>
      </c>
      <c r="AB201" s="22">
        <f t="shared" si="307"/>
        <v>0</v>
      </c>
      <c r="AC201" s="22">
        <f t="shared" si="307"/>
        <v>0</v>
      </c>
      <c r="AD201" s="22">
        <f t="shared" si="307"/>
        <v>0</v>
      </c>
      <c r="AE201" s="22">
        <f t="shared" si="307"/>
        <v>0</v>
      </c>
      <c r="AF201" s="22">
        <f t="shared" si="307"/>
        <v>0</v>
      </c>
      <c r="AG201" s="22">
        <f t="shared" si="307"/>
        <v>0</v>
      </c>
      <c r="AH201" s="22">
        <f t="shared" si="307"/>
        <v>0</v>
      </c>
      <c r="AI201" s="22">
        <f t="shared" si="307"/>
        <v>0</v>
      </c>
      <c r="AJ201" s="22">
        <v>0</v>
      </c>
      <c r="AK201" s="22">
        <v>0</v>
      </c>
      <c r="AL201" s="22">
        <v>0</v>
      </c>
      <c r="AM201" s="22">
        <v>0</v>
      </c>
      <c r="AN201" s="22">
        <v>0</v>
      </c>
      <c r="AO201" s="404"/>
      <c r="AP201" s="82">
        <f>AP202+AP207</f>
        <v>158.46600000000001</v>
      </c>
      <c r="AQ201" s="82">
        <f t="shared" ref="AQ201:AY201" si="308">AQ202+AQ207</f>
        <v>0</v>
      </c>
      <c r="AR201" s="82">
        <f t="shared" si="308"/>
        <v>0</v>
      </c>
      <c r="AS201" s="82">
        <f t="shared" si="308"/>
        <v>0</v>
      </c>
      <c r="AT201" s="82">
        <f t="shared" si="308"/>
        <v>0</v>
      </c>
      <c r="AU201" s="82">
        <f t="shared" si="308"/>
        <v>0</v>
      </c>
      <c r="AV201" s="82">
        <f t="shared" si="308"/>
        <v>0</v>
      </c>
      <c r="AW201" s="82">
        <f t="shared" si="308"/>
        <v>158.46600000000001</v>
      </c>
      <c r="AX201" s="82">
        <f t="shared" si="308"/>
        <v>158.46600000000001</v>
      </c>
      <c r="AY201" s="82">
        <f t="shared" si="308"/>
        <v>158.46600000000001</v>
      </c>
      <c r="AZ201" s="82">
        <f>AZ202+AZ207</f>
        <v>158.46600000000001</v>
      </c>
      <c r="BA201" s="82">
        <f t="shared" ref="BA201:BB201" si="309">BA202+BA207</f>
        <v>0</v>
      </c>
      <c r="BB201" s="82">
        <f t="shared" si="309"/>
        <v>0</v>
      </c>
      <c r="BC201" s="82" t="e">
        <f>#REF!-AP201</f>
        <v>#REF!</v>
      </c>
      <c r="BD201" s="82" t="e">
        <f>BC201</f>
        <v>#REF!</v>
      </c>
      <c r="BE201" s="82" t="e">
        <f>ROUND((AP201*100%/#REF!*100),2)</f>
        <v>#REF!</v>
      </c>
      <c r="BF201" s="82">
        <f t="shared" ref="BF201:BG201" si="310">BF202+BF207</f>
        <v>0</v>
      </c>
      <c r="BG201" s="82">
        <f t="shared" si="310"/>
        <v>0</v>
      </c>
      <c r="BH201" s="359" t="s">
        <v>217</v>
      </c>
      <c r="BI201" s="125">
        <v>0</v>
      </c>
      <c r="BJ201" s="126">
        <v>0</v>
      </c>
      <c r="BK201" s="126">
        <v>0</v>
      </c>
      <c r="BL201" s="126">
        <v>0</v>
      </c>
      <c r="BM201" s="125">
        <v>0</v>
      </c>
      <c r="BN201" s="126">
        <v>0</v>
      </c>
      <c r="BO201" s="126">
        <v>0</v>
      </c>
      <c r="BP201" s="126">
        <v>0</v>
      </c>
    </row>
    <row r="202" spans="1:68" ht="25.5">
      <c r="A202" s="835"/>
      <c r="B202" s="895"/>
      <c r="C202" s="896"/>
      <c r="D202" s="896"/>
      <c r="E202" s="896"/>
      <c r="F202" s="896"/>
      <c r="G202" s="896"/>
      <c r="H202" s="897"/>
      <c r="I202" s="15" t="s">
        <v>9</v>
      </c>
      <c r="J202" s="733">
        <v>0</v>
      </c>
      <c r="K202" s="733">
        <v>0</v>
      </c>
      <c r="L202" s="16">
        <f t="shared" si="304"/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  <c r="V202" s="22">
        <v>0</v>
      </c>
      <c r="W202" s="22">
        <v>0</v>
      </c>
      <c r="X202" s="22">
        <v>0</v>
      </c>
      <c r="Y202" s="22">
        <v>0</v>
      </c>
      <c r="Z202" s="22">
        <v>0</v>
      </c>
      <c r="AA202" s="22">
        <v>0</v>
      </c>
      <c r="AB202" s="22">
        <v>0</v>
      </c>
      <c r="AC202" s="22">
        <v>0</v>
      </c>
      <c r="AD202" s="22">
        <v>0</v>
      </c>
      <c r="AE202" s="22">
        <v>0</v>
      </c>
      <c r="AF202" s="22">
        <v>0</v>
      </c>
      <c r="AG202" s="22">
        <v>0</v>
      </c>
      <c r="AH202" s="22">
        <v>0</v>
      </c>
      <c r="AI202" s="22">
        <v>0</v>
      </c>
      <c r="AJ202" s="22">
        <v>0</v>
      </c>
      <c r="AK202" s="22">
        <v>0</v>
      </c>
      <c r="AL202" s="22">
        <v>0</v>
      </c>
      <c r="AM202" s="22">
        <v>0</v>
      </c>
      <c r="AN202" s="22">
        <v>0</v>
      </c>
      <c r="AO202" s="404"/>
      <c r="AP202" s="47">
        <f>SUM(AP204:AP206)</f>
        <v>158.46600000000001</v>
      </c>
      <c r="AQ202" s="47">
        <f t="shared" ref="AQ202:AZ202" si="311">SUM(AQ204:AQ206)</f>
        <v>0</v>
      </c>
      <c r="AR202" s="47">
        <f t="shared" si="311"/>
        <v>0</v>
      </c>
      <c r="AS202" s="47">
        <f t="shared" si="311"/>
        <v>0</v>
      </c>
      <c r="AT202" s="47">
        <f t="shared" si="311"/>
        <v>0</v>
      </c>
      <c r="AU202" s="47">
        <f t="shared" si="311"/>
        <v>0</v>
      </c>
      <c r="AV202" s="47">
        <f t="shared" si="311"/>
        <v>0</v>
      </c>
      <c r="AW202" s="47">
        <f t="shared" si="311"/>
        <v>158.46600000000001</v>
      </c>
      <c r="AX202" s="47">
        <f t="shared" si="311"/>
        <v>158.46600000000001</v>
      </c>
      <c r="AY202" s="47">
        <f t="shared" si="311"/>
        <v>158.46600000000001</v>
      </c>
      <c r="AZ202" s="47">
        <f t="shared" si="311"/>
        <v>158.46600000000001</v>
      </c>
      <c r="BA202" s="47">
        <f t="shared" ref="BA202:BB202" si="312">BA206</f>
        <v>0</v>
      </c>
      <c r="BB202" s="47">
        <f t="shared" si="312"/>
        <v>0</v>
      </c>
      <c r="BC202" s="47">
        <v>0</v>
      </c>
      <c r="BD202" s="47">
        <v>0</v>
      </c>
      <c r="BE202" s="47">
        <v>0</v>
      </c>
      <c r="BF202" s="47">
        <v>0</v>
      </c>
      <c r="BG202" s="47">
        <v>0</v>
      </c>
      <c r="BH202" s="317">
        <v>159.434</v>
      </c>
      <c r="BI202" s="125">
        <v>0</v>
      </c>
      <c r="BJ202" s="126">
        <v>0</v>
      </c>
      <c r="BK202" s="126">
        <v>0</v>
      </c>
      <c r="BL202" s="126">
        <v>0</v>
      </c>
      <c r="BM202" s="125">
        <v>0</v>
      </c>
      <c r="BN202" s="126">
        <v>0</v>
      </c>
      <c r="BO202" s="126">
        <v>0</v>
      </c>
      <c r="BP202" s="126">
        <v>0</v>
      </c>
    </row>
    <row r="203" spans="1:68" ht="81" customHeight="1">
      <c r="A203" s="945" t="s">
        <v>50</v>
      </c>
      <c r="B203" s="87" t="s">
        <v>188</v>
      </c>
      <c r="C203" s="817"/>
      <c r="D203" s="815"/>
      <c r="E203" s="815"/>
      <c r="F203" s="898">
        <v>150000</v>
      </c>
      <c r="G203" s="820">
        <v>2019</v>
      </c>
      <c r="H203" s="820">
        <v>2019</v>
      </c>
      <c r="I203" s="820" t="s">
        <v>20</v>
      </c>
      <c r="J203" s="906">
        <v>4914.5600000000004</v>
      </c>
      <c r="K203" s="3"/>
      <c r="L203" s="82">
        <f>L206+L204</f>
        <v>6696.7899999999991</v>
      </c>
      <c r="M203" s="82">
        <f>M206+M204</f>
        <v>0</v>
      </c>
      <c r="N203" s="82">
        <f t="shared" ref="N203:P203" si="313">N206+N204</f>
        <v>2081.9299999999998</v>
      </c>
      <c r="O203" s="82">
        <f t="shared" si="313"/>
        <v>4372.5</v>
      </c>
      <c r="P203" s="82">
        <f t="shared" si="313"/>
        <v>5537.8319999999994</v>
      </c>
      <c r="Q203" s="82">
        <f>Q206+Q204</f>
        <v>0</v>
      </c>
      <c r="R203" s="82">
        <f t="shared" ref="R203:AI203" si="314">R206+R204</f>
        <v>0</v>
      </c>
      <c r="S203" s="82">
        <f t="shared" si="314"/>
        <v>0</v>
      </c>
      <c r="T203" s="82">
        <f t="shared" si="314"/>
        <v>0</v>
      </c>
      <c r="U203" s="82">
        <f t="shared" si="314"/>
        <v>0</v>
      </c>
      <c r="V203" s="82">
        <f t="shared" si="314"/>
        <v>0</v>
      </c>
      <c r="W203" s="82">
        <f t="shared" si="314"/>
        <v>0</v>
      </c>
      <c r="X203" s="82">
        <f t="shared" si="314"/>
        <v>0</v>
      </c>
      <c r="Y203" s="82">
        <f t="shared" si="314"/>
        <v>0</v>
      </c>
      <c r="Z203" s="82">
        <f t="shared" si="314"/>
        <v>0</v>
      </c>
      <c r="AA203" s="82">
        <f t="shared" si="314"/>
        <v>0</v>
      </c>
      <c r="AB203" s="82">
        <f t="shared" si="314"/>
        <v>0</v>
      </c>
      <c r="AC203" s="82">
        <f t="shared" si="314"/>
        <v>0</v>
      </c>
      <c r="AD203" s="82">
        <f t="shared" si="314"/>
        <v>0</v>
      </c>
      <c r="AE203" s="82">
        <f t="shared" si="314"/>
        <v>0</v>
      </c>
      <c r="AF203" s="82">
        <f t="shared" si="314"/>
        <v>0</v>
      </c>
      <c r="AG203" s="82">
        <f t="shared" si="314"/>
        <v>0</v>
      </c>
      <c r="AH203" s="82">
        <f t="shared" si="314"/>
        <v>0</v>
      </c>
      <c r="AI203" s="82">
        <f t="shared" si="314"/>
        <v>0</v>
      </c>
      <c r="AJ203" s="82">
        <f>P203-Q203</f>
        <v>5537.8319999999994</v>
      </c>
      <c r="AK203" s="82">
        <f>AJ203</f>
        <v>5537.8319999999994</v>
      </c>
      <c r="AL203" s="79">
        <f>ROUND((Q203*100%/P203*100),2)</f>
        <v>0</v>
      </c>
      <c r="AM203" s="82">
        <f t="shared" ref="AM203:AN203" si="315">AM206</f>
        <v>0</v>
      </c>
      <c r="AN203" s="82">
        <f t="shared" si="315"/>
        <v>0</v>
      </c>
      <c r="AO203" s="411"/>
      <c r="AP203" s="99">
        <f>AR203</f>
        <v>0</v>
      </c>
      <c r="AQ203" s="47">
        <f>AR203</f>
        <v>0</v>
      </c>
      <c r="AR203" s="47">
        <v>0</v>
      </c>
      <c r="AS203" s="99"/>
      <c r="AT203" s="99"/>
      <c r="AU203" s="99"/>
      <c r="AV203" s="99"/>
      <c r="AW203" s="99"/>
      <c r="AX203" s="99"/>
      <c r="AY203" s="99">
        <f>AZ203</f>
        <v>11.1596666666667</v>
      </c>
      <c r="AZ203" s="99">
        <v>11.1596666666667</v>
      </c>
      <c r="BA203" s="99"/>
      <c r="BB203" s="99"/>
      <c r="BC203" s="99"/>
      <c r="BD203" s="99"/>
      <c r="BE203" s="99"/>
      <c r="BF203" s="99"/>
      <c r="BG203" s="99"/>
      <c r="BH203" s="318"/>
      <c r="BI203" s="81">
        <f t="shared" ref="BI203:BP203" si="316">BI204+BI205</f>
        <v>0</v>
      </c>
      <c r="BJ203" s="81">
        <f t="shared" si="316"/>
        <v>0</v>
      </c>
      <c r="BK203" s="81">
        <f t="shared" si="316"/>
        <v>0</v>
      </c>
      <c r="BL203" s="81">
        <f t="shared" si="316"/>
        <v>0</v>
      </c>
      <c r="BM203" s="81">
        <f t="shared" si="316"/>
        <v>0</v>
      </c>
      <c r="BN203" s="81">
        <f t="shared" si="316"/>
        <v>0</v>
      </c>
      <c r="BO203" s="81">
        <f t="shared" si="316"/>
        <v>0</v>
      </c>
      <c r="BP203" s="81">
        <f t="shared" si="316"/>
        <v>0</v>
      </c>
    </row>
    <row r="204" spans="1:68" s="292" customFormat="1" ht="19.5" customHeight="1">
      <c r="A204" s="946"/>
      <c r="B204" s="1" t="s">
        <v>15</v>
      </c>
      <c r="C204" s="818"/>
      <c r="D204" s="816"/>
      <c r="E204" s="816"/>
      <c r="F204" s="899"/>
      <c r="G204" s="822"/>
      <c r="H204" s="822"/>
      <c r="I204" s="822"/>
      <c r="J204" s="907"/>
      <c r="K204" s="47"/>
      <c r="L204" s="47">
        <f>SUM(M204:O204)</f>
        <v>2081.9299999999998</v>
      </c>
      <c r="M204" s="4">
        <v>0</v>
      </c>
      <c r="N204" s="4">
        <v>2081.9299999999998</v>
      </c>
      <c r="O204" s="4">
        <f t="shared" ref="O204:AN204" si="317">O205</f>
        <v>0</v>
      </c>
      <c r="P204" s="4">
        <f t="shared" si="317"/>
        <v>0</v>
      </c>
      <c r="Q204" s="4">
        <f t="shared" si="317"/>
        <v>0</v>
      </c>
      <c r="R204" s="4">
        <f t="shared" si="317"/>
        <v>0</v>
      </c>
      <c r="S204" s="4">
        <f t="shared" si="317"/>
        <v>0</v>
      </c>
      <c r="T204" s="4">
        <f t="shared" si="317"/>
        <v>0</v>
      </c>
      <c r="U204" s="4">
        <f t="shared" si="317"/>
        <v>0</v>
      </c>
      <c r="V204" s="4">
        <f t="shared" si="317"/>
        <v>0</v>
      </c>
      <c r="W204" s="4">
        <f t="shared" si="317"/>
        <v>0</v>
      </c>
      <c r="X204" s="4">
        <f t="shared" si="317"/>
        <v>0</v>
      </c>
      <c r="Y204" s="4">
        <f t="shared" si="317"/>
        <v>0</v>
      </c>
      <c r="Z204" s="4">
        <f t="shared" si="317"/>
        <v>0</v>
      </c>
      <c r="AA204" s="4">
        <f t="shared" si="317"/>
        <v>0</v>
      </c>
      <c r="AB204" s="4">
        <f t="shared" si="317"/>
        <v>0</v>
      </c>
      <c r="AC204" s="4">
        <f t="shared" si="317"/>
        <v>0</v>
      </c>
      <c r="AD204" s="4">
        <f t="shared" si="317"/>
        <v>0</v>
      </c>
      <c r="AE204" s="4">
        <f t="shared" si="317"/>
        <v>0</v>
      </c>
      <c r="AF204" s="4">
        <f t="shared" si="317"/>
        <v>0</v>
      </c>
      <c r="AG204" s="4">
        <v>0</v>
      </c>
      <c r="AH204" s="4">
        <v>0</v>
      </c>
      <c r="AI204" s="4">
        <v>0</v>
      </c>
      <c r="AJ204" s="4">
        <f t="shared" si="317"/>
        <v>0</v>
      </c>
      <c r="AK204" s="4">
        <f t="shared" si="317"/>
        <v>0</v>
      </c>
      <c r="AL204" s="4">
        <f t="shared" si="317"/>
        <v>0</v>
      </c>
      <c r="AM204" s="4">
        <f t="shared" si="317"/>
        <v>0</v>
      </c>
      <c r="AN204" s="4">
        <f t="shared" si="317"/>
        <v>0</v>
      </c>
      <c r="AO204" s="698"/>
      <c r="AP204" s="99">
        <f>AX204</f>
        <v>3.4409999999999998</v>
      </c>
      <c r="AQ204" s="99"/>
      <c r="AR204" s="99"/>
      <c r="AS204" s="99"/>
      <c r="AT204" s="99"/>
      <c r="AU204" s="99"/>
      <c r="AV204" s="99"/>
      <c r="AW204" s="99">
        <f>AX204</f>
        <v>3.4409999999999998</v>
      </c>
      <c r="AX204" s="99">
        <v>3.4409999999999998</v>
      </c>
      <c r="AY204" s="99">
        <f>AZ204</f>
        <v>3.4409999999999998</v>
      </c>
      <c r="AZ204" s="99">
        <v>3.4409999999999998</v>
      </c>
      <c r="BA204" s="99"/>
      <c r="BB204" s="99"/>
      <c r="BC204" s="99"/>
      <c r="BD204" s="99"/>
      <c r="BE204" s="99"/>
      <c r="BF204" s="99"/>
      <c r="BG204" s="99"/>
      <c r="BH204" s="309"/>
      <c r="BI204" s="125">
        <v>0</v>
      </c>
      <c r="BJ204" s="126">
        <v>0</v>
      </c>
      <c r="BK204" s="126">
        <v>0</v>
      </c>
      <c r="BL204" s="126">
        <v>0</v>
      </c>
      <c r="BM204" s="125">
        <v>0</v>
      </c>
      <c r="BN204" s="126">
        <v>0</v>
      </c>
      <c r="BO204" s="126">
        <v>0</v>
      </c>
      <c r="BP204" s="126">
        <v>0</v>
      </c>
    </row>
    <row r="205" spans="1:68" s="273" customFormat="1" ht="15.75" hidden="1">
      <c r="A205" s="946"/>
      <c r="B205" s="95" t="s">
        <v>258</v>
      </c>
      <c r="C205" s="818"/>
      <c r="D205" s="816"/>
      <c r="E205" s="816"/>
      <c r="F205" s="899"/>
      <c r="G205" s="822"/>
      <c r="H205" s="822"/>
      <c r="I205" s="822"/>
      <c r="J205" s="907"/>
      <c r="K205" s="98"/>
      <c r="L205" s="99">
        <f t="shared" ref="L205" si="318">SUM(M205:O205)</f>
        <v>0</v>
      </c>
      <c r="M205" s="275">
        <v>0</v>
      </c>
      <c r="N205" s="268"/>
      <c r="O205" s="268"/>
      <c r="P205" s="268">
        <f>R205+T205</f>
        <v>0</v>
      </c>
      <c r="Q205" s="268">
        <f>S205+U205</f>
        <v>0</v>
      </c>
      <c r="R205" s="268">
        <f>S205</f>
        <v>0</v>
      </c>
      <c r="S205" s="268">
        <v>0</v>
      </c>
      <c r="T205" s="268">
        <v>0</v>
      </c>
      <c r="U205" s="268">
        <v>0</v>
      </c>
      <c r="V205" s="268">
        <v>0</v>
      </c>
      <c r="W205" s="268">
        <v>0</v>
      </c>
      <c r="X205" s="268">
        <v>0</v>
      </c>
      <c r="Y205" s="268">
        <v>0</v>
      </c>
      <c r="Z205" s="268">
        <f>AA205</f>
        <v>0</v>
      </c>
      <c r="AA205" s="268">
        <v>0</v>
      </c>
      <c r="AB205" s="268">
        <v>0</v>
      </c>
      <c r="AC205" s="268"/>
      <c r="AD205" s="268"/>
      <c r="AE205" s="268"/>
      <c r="AF205" s="268"/>
      <c r="AG205" s="268"/>
      <c r="AH205" s="268"/>
      <c r="AI205" s="268"/>
      <c r="AJ205" s="268"/>
      <c r="AK205" s="268"/>
      <c r="AL205" s="268"/>
      <c r="AM205" s="268"/>
      <c r="AN205" s="268"/>
      <c r="AO205" s="421"/>
      <c r="AP205" s="99">
        <f t="shared" ref="AP205:AP206" si="319">AX205</f>
        <v>122.36</v>
      </c>
      <c r="AQ205" s="99"/>
      <c r="AR205" s="99"/>
      <c r="AS205" s="99"/>
      <c r="AT205" s="99"/>
      <c r="AU205" s="99"/>
      <c r="AV205" s="99"/>
      <c r="AW205" s="99">
        <f t="shared" ref="AW205:AW206" si="320">AX205</f>
        <v>122.36</v>
      </c>
      <c r="AX205" s="99">
        <v>122.36</v>
      </c>
      <c r="AY205" s="99">
        <f t="shared" ref="AY205:AY206" si="321">AZ205</f>
        <v>122.36</v>
      </c>
      <c r="AZ205" s="99">
        <v>122.36</v>
      </c>
      <c r="BA205" s="99"/>
      <c r="BB205" s="99"/>
      <c r="BC205" s="99"/>
      <c r="BD205" s="99"/>
      <c r="BE205" s="99"/>
      <c r="BF205" s="99"/>
      <c r="BG205" s="99"/>
      <c r="BH205" s="309"/>
      <c r="BI205" s="125">
        <v>0</v>
      </c>
      <c r="BJ205" s="126">
        <v>0</v>
      </c>
      <c r="BK205" s="126">
        <v>0</v>
      </c>
      <c r="BL205" s="126">
        <v>0</v>
      </c>
      <c r="BM205" s="125">
        <v>0</v>
      </c>
      <c r="BN205" s="126">
        <v>0</v>
      </c>
      <c r="BO205" s="126">
        <v>0</v>
      </c>
      <c r="BP205" s="126">
        <v>0</v>
      </c>
    </row>
    <row r="206" spans="1:68" ht="18" customHeight="1">
      <c r="A206" s="947"/>
      <c r="B206" s="718" t="s">
        <v>16</v>
      </c>
      <c r="C206" s="819"/>
      <c r="D206" s="819"/>
      <c r="E206" s="816"/>
      <c r="F206" s="909"/>
      <c r="G206" s="822"/>
      <c r="H206" s="822"/>
      <c r="I206" s="822"/>
      <c r="J206" s="908"/>
      <c r="K206" s="47">
        <v>0</v>
      </c>
      <c r="L206" s="47">
        <v>4614.8599999999997</v>
      </c>
      <c r="M206" s="4">
        <v>0</v>
      </c>
      <c r="N206" s="4">
        <v>0</v>
      </c>
      <c r="O206" s="4">
        <v>4372.5</v>
      </c>
      <c r="P206" s="4">
        <f>4614.86*1.2</f>
        <v>5537.8319999999994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698"/>
      <c r="AP206" s="99">
        <f t="shared" si="319"/>
        <v>32.664999999999999</v>
      </c>
      <c r="AQ206" s="99"/>
      <c r="AR206" s="99"/>
      <c r="AS206" s="99"/>
      <c r="AT206" s="99"/>
      <c r="AU206" s="99"/>
      <c r="AV206" s="99"/>
      <c r="AW206" s="99">
        <f t="shared" si="320"/>
        <v>32.664999999999999</v>
      </c>
      <c r="AX206" s="99">
        <v>32.664999999999999</v>
      </c>
      <c r="AY206" s="99">
        <f t="shared" si="321"/>
        <v>32.664999999999999</v>
      </c>
      <c r="AZ206" s="99">
        <v>32.664999999999999</v>
      </c>
      <c r="BA206" s="99"/>
      <c r="BB206" s="99"/>
      <c r="BC206" s="99"/>
      <c r="BD206" s="99"/>
      <c r="BE206" s="99"/>
      <c r="BF206" s="99"/>
      <c r="BG206" s="99"/>
      <c r="BH206" s="309"/>
      <c r="BI206" s="125">
        <v>0</v>
      </c>
      <c r="BJ206" s="126">
        <v>0</v>
      </c>
      <c r="BK206" s="126">
        <v>0</v>
      </c>
      <c r="BL206" s="126">
        <v>0</v>
      </c>
      <c r="BM206" s="125">
        <v>0</v>
      </c>
      <c r="BN206" s="126">
        <v>0</v>
      </c>
      <c r="BO206" s="126">
        <v>0</v>
      </c>
      <c r="BP206" s="126">
        <v>0</v>
      </c>
    </row>
    <row r="207" spans="1:68" ht="54" customHeight="1">
      <c r="A207" s="833" t="s">
        <v>139</v>
      </c>
      <c r="B207" s="889" t="s">
        <v>214</v>
      </c>
      <c r="C207" s="890"/>
      <c r="D207" s="890"/>
      <c r="E207" s="890"/>
      <c r="F207" s="890"/>
      <c r="G207" s="890"/>
      <c r="H207" s="891"/>
      <c r="I207" s="15" t="s">
        <v>19</v>
      </c>
      <c r="J207" s="733">
        <v>0</v>
      </c>
      <c r="K207" s="733">
        <v>0</v>
      </c>
      <c r="L207" s="22">
        <f t="shared" ref="L207" si="322">M207+N207+O207</f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  <c r="V207" s="22">
        <v>0</v>
      </c>
      <c r="W207" s="22">
        <v>0</v>
      </c>
      <c r="X207" s="22">
        <v>0</v>
      </c>
      <c r="Y207" s="22">
        <v>0</v>
      </c>
      <c r="Z207" s="22">
        <v>0</v>
      </c>
      <c r="AA207" s="22">
        <v>0</v>
      </c>
      <c r="AB207" s="22">
        <v>0</v>
      </c>
      <c r="AC207" s="22">
        <v>0</v>
      </c>
      <c r="AD207" s="22">
        <v>0</v>
      </c>
      <c r="AE207" s="22">
        <v>0</v>
      </c>
      <c r="AF207" s="22">
        <v>0</v>
      </c>
      <c r="AG207" s="22">
        <v>0</v>
      </c>
      <c r="AH207" s="22">
        <v>0</v>
      </c>
      <c r="AI207" s="22">
        <v>0</v>
      </c>
      <c r="AJ207" s="22">
        <v>0</v>
      </c>
      <c r="AK207" s="22">
        <v>0</v>
      </c>
      <c r="AL207" s="22">
        <v>0</v>
      </c>
      <c r="AM207" s="22">
        <v>0</v>
      </c>
      <c r="AN207" s="22">
        <v>0</v>
      </c>
      <c r="AO207" s="404"/>
      <c r="AP207" s="47">
        <v>0</v>
      </c>
      <c r="AQ207" s="47">
        <v>0</v>
      </c>
      <c r="AR207" s="47">
        <v>0</v>
      </c>
      <c r="AS207" s="47">
        <v>0</v>
      </c>
      <c r="AT207" s="47">
        <v>0</v>
      </c>
      <c r="AU207" s="47">
        <v>0</v>
      </c>
      <c r="AV207" s="47">
        <v>0</v>
      </c>
      <c r="AW207" s="99">
        <v>0</v>
      </c>
      <c r="AX207" s="99">
        <v>0</v>
      </c>
      <c r="AY207" s="47">
        <v>0</v>
      </c>
      <c r="AZ207" s="47">
        <v>0</v>
      </c>
      <c r="BA207" s="47">
        <v>0</v>
      </c>
      <c r="BB207" s="47">
        <v>0</v>
      </c>
      <c r="BC207" s="47">
        <v>0</v>
      </c>
      <c r="BD207" s="47">
        <v>0</v>
      </c>
      <c r="BE207" s="47">
        <v>0</v>
      </c>
      <c r="BF207" s="47">
        <v>0</v>
      </c>
      <c r="BG207" s="47">
        <v>0</v>
      </c>
      <c r="BH207" s="317">
        <v>1639.8466699999999</v>
      </c>
      <c r="BI207" s="125">
        <v>0</v>
      </c>
      <c r="BJ207" s="126">
        <v>0</v>
      </c>
      <c r="BK207" s="126">
        <v>0</v>
      </c>
      <c r="BL207" s="126">
        <v>0</v>
      </c>
      <c r="BM207" s="125">
        <v>0</v>
      </c>
      <c r="BN207" s="126">
        <v>0</v>
      </c>
      <c r="BO207" s="126">
        <v>0</v>
      </c>
      <c r="BP207" s="126">
        <v>0</v>
      </c>
    </row>
    <row r="208" spans="1:68" ht="39.75" customHeight="1">
      <c r="A208" s="834"/>
      <c r="B208" s="892"/>
      <c r="C208" s="893"/>
      <c r="D208" s="893"/>
      <c r="E208" s="893"/>
      <c r="F208" s="893"/>
      <c r="G208" s="893"/>
      <c r="H208" s="894"/>
      <c r="I208" s="15" t="s">
        <v>20</v>
      </c>
      <c r="J208" s="733" t="e">
        <f>K208+L208</f>
        <v>#REF!</v>
      </c>
      <c r="K208" s="733" t="e">
        <f>#REF!+K252+#REF!+#REF!</f>
        <v>#REF!</v>
      </c>
      <c r="L208" s="47">
        <f t="shared" ref="L208:AL208" si="323">L211+L214++L219+L223+L230+L232+L236+L241+L248+L252</f>
        <v>333768.50999999995</v>
      </c>
      <c r="M208" s="47">
        <f t="shared" si="323"/>
        <v>31936.59</v>
      </c>
      <c r="N208" s="47">
        <f t="shared" si="323"/>
        <v>80827.610000000015</v>
      </c>
      <c r="O208" s="47">
        <f t="shared" si="323"/>
        <v>46251.09</v>
      </c>
      <c r="P208" s="47">
        <f t="shared" si="323"/>
        <v>54140.675999999999</v>
      </c>
      <c r="Q208" s="22">
        <f t="shared" si="323"/>
        <v>5689.7839999999997</v>
      </c>
      <c r="R208" s="22">
        <f t="shared" si="323"/>
        <v>941.01400000000001</v>
      </c>
      <c r="S208" s="22">
        <f t="shared" si="323"/>
        <v>941.01400000000001</v>
      </c>
      <c r="T208" s="22">
        <f t="shared" si="323"/>
        <v>3400.56</v>
      </c>
      <c r="U208" s="22">
        <f t="shared" si="323"/>
        <v>3432.9600000000005</v>
      </c>
      <c r="V208" s="22">
        <f t="shared" si="323"/>
        <v>1315.81</v>
      </c>
      <c r="W208" s="22">
        <f t="shared" si="323"/>
        <v>1315.81</v>
      </c>
      <c r="X208" s="22">
        <f t="shared" si="323"/>
        <v>0</v>
      </c>
      <c r="Y208" s="22">
        <f t="shared" si="323"/>
        <v>0</v>
      </c>
      <c r="Z208" s="22">
        <f t="shared" si="323"/>
        <v>3867.3920000000003</v>
      </c>
      <c r="AA208" s="22">
        <f t="shared" si="323"/>
        <v>0</v>
      </c>
      <c r="AB208" s="22">
        <f t="shared" si="323"/>
        <v>2519.1820000000002</v>
      </c>
      <c r="AC208" s="22">
        <f t="shared" si="323"/>
        <v>1348.21</v>
      </c>
      <c r="AD208" s="22">
        <f t="shared" si="323"/>
        <v>0</v>
      </c>
      <c r="AE208" s="22">
        <f t="shared" si="323"/>
        <v>0</v>
      </c>
      <c r="AF208" s="22">
        <f t="shared" si="323"/>
        <v>0</v>
      </c>
      <c r="AG208" s="22">
        <f t="shared" si="323"/>
        <v>0</v>
      </c>
      <c r="AH208" s="22">
        <f t="shared" si="323"/>
        <v>0</v>
      </c>
      <c r="AI208" s="22">
        <f t="shared" si="323"/>
        <v>0</v>
      </c>
      <c r="AJ208" s="22">
        <f t="shared" si="323"/>
        <v>9027.9600000000009</v>
      </c>
      <c r="AK208" s="22">
        <f t="shared" si="323"/>
        <v>9027.9600000000009</v>
      </c>
      <c r="AL208" s="22">
        <f t="shared" si="323"/>
        <v>58.28</v>
      </c>
      <c r="AM208" s="22">
        <f>AM211+AM214++AM219+AM222+AM230+AM232+AM236+AM241+AM248+AM251</f>
        <v>0</v>
      </c>
      <c r="AN208" s="22">
        <f>AN211+AN214++AN219+AN222+AN230+AN232+AN236+AN241+AN248+AN251</f>
        <v>0</v>
      </c>
      <c r="AO208" s="404"/>
      <c r="AP208" s="82">
        <f t="shared" ref="AP208:BG208" si="324">AP210</f>
        <v>0</v>
      </c>
      <c r="AQ208" s="82">
        <f t="shared" si="324"/>
        <v>0</v>
      </c>
      <c r="AR208" s="82">
        <f t="shared" si="324"/>
        <v>0</v>
      </c>
      <c r="AS208" s="82">
        <f t="shared" si="324"/>
        <v>0</v>
      </c>
      <c r="AT208" s="82">
        <f t="shared" si="324"/>
        <v>0</v>
      </c>
      <c r="AU208" s="82">
        <f t="shared" si="324"/>
        <v>0</v>
      </c>
      <c r="AV208" s="82">
        <f t="shared" si="324"/>
        <v>0</v>
      </c>
      <c r="AW208" s="82">
        <f t="shared" si="324"/>
        <v>0</v>
      </c>
      <c r="AX208" s="82">
        <f t="shared" si="324"/>
        <v>0</v>
      </c>
      <c r="AY208" s="82">
        <f t="shared" si="324"/>
        <v>0</v>
      </c>
      <c r="AZ208" s="82">
        <f t="shared" si="324"/>
        <v>0</v>
      </c>
      <c r="BA208" s="82">
        <f t="shared" si="324"/>
        <v>0</v>
      </c>
      <c r="BB208" s="82">
        <f t="shared" si="324"/>
        <v>0</v>
      </c>
      <c r="BC208" s="82">
        <f t="shared" si="324"/>
        <v>0</v>
      </c>
      <c r="BD208" s="82">
        <f t="shared" si="324"/>
        <v>0</v>
      </c>
      <c r="BE208" s="82">
        <f t="shared" si="324"/>
        <v>0</v>
      </c>
      <c r="BF208" s="82">
        <f t="shared" si="324"/>
        <v>0</v>
      </c>
      <c r="BG208" s="82">
        <f t="shared" si="324"/>
        <v>0</v>
      </c>
      <c r="BH208" s="316"/>
      <c r="BI208" s="125">
        <v>0</v>
      </c>
      <c r="BJ208" s="126">
        <v>0</v>
      </c>
      <c r="BK208" s="126">
        <v>0</v>
      </c>
      <c r="BL208" s="126">
        <v>0</v>
      </c>
      <c r="BM208" s="125">
        <v>0</v>
      </c>
      <c r="BN208" s="126">
        <v>0</v>
      </c>
      <c r="BO208" s="126">
        <v>0</v>
      </c>
      <c r="BP208" s="126">
        <v>0</v>
      </c>
    </row>
    <row r="209" spans="1:68" ht="26.25" customHeight="1">
      <c r="A209" s="834"/>
      <c r="B209" s="892"/>
      <c r="C209" s="893"/>
      <c r="D209" s="893"/>
      <c r="E209" s="893"/>
      <c r="F209" s="893"/>
      <c r="G209" s="893"/>
      <c r="H209" s="894"/>
      <c r="I209" s="15" t="s">
        <v>10</v>
      </c>
      <c r="J209" s="733">
        <v>0</v>
      </c>
      <c r="K209" s="733">
        <v>0</v>
      </c>
      <c r="L209" s="22">
        <f t="shared" ref="L209:AL209" si="325">L227+L228+L256</f>
        <v>297742.64</v>
      </c>
      <c r="M209" s="22">
        <f t="shared" si="325"/>
        <v>295242.64</v>
      </c>
      <c r="N209" s="22">
        <f t="shared" si="325"/>
        <v>297742.64</v>
      </c>
      <c r="O209" s="22">
        <f t="shared" si="325"/>
        <v>297742.64</v>
      </c>
      <c r="P209" s="22">
        <f t="shared" si="325"/>
        <v>0</v>
      </c>
      <c r="Q209" s="22">
        <f t="shared" si="325"/>
        <v>164239.89134999999</v>
      </c>
      <c r="R209" s="22">
        <f t="shared" si="325"/>
        <v>21023.332999999999</v>
      </c>
      <c r="S209" s="22">
        <f t="shared" si="325"/>
        <v>21023.332999999999</v>
      </c>
      <c r="T209" s="22">
        <f t="shared" si="325"/>
        <v>32329.882999999998</v>
      </c>
      <c r="U209" s="22">
        <f t="shared" si="325"/>
        <v>32329.882999999998</v>
      </c>
      <c r="V209" s="22">
        <f t="shared" si="325"/>
        <v>110886.67535</v>
      </c>
      <c r="W209" s="22">
        <f t="shared" si="325"/>
        <v>110886.67535</v>
      </c>
      <c r="X209" s="22">
        <f t="shared" si="325"/>
        <v>0</v>
      </c>
      <c r="Y209" s="22">
        <f t="shared" si="325"/>
        <v>0</v>
      </c>
      <c r="Z209" s="22">
        <f t="shared" si="325"/>
        <v>159820.54412000001</v>
      </c>
      <c r="AA209" s="22">
        <f t="shared" si="325"/>
        <v>21023.332999999999</v>
      </c>
      <c r="AB209" s="22">
        <f t="shared" si="325"/>
        <v>38505.235000000001</v>
      </c>
      <c r="AC209" s="22">
        <f t="shared" si="325"/>
        <v>100291.97612000001</v>
      </c>
      <c r="AD209" s="22">
        <f t="shared" si="325"/>
        <v>0</v>
      </c>
      <c r="AE209" s="22">
        <f t="shared" si="325"/>
        <v>0</v>
      </c>
      <c r="AF209" s="22">
        <f t="shared" si="325"/>
        <v>0</v>
      </c>
      <c r="AG209" s="22">
        <f t="shared" si="325"/>
        <v>0</v>
      </c>
      <c r="AH209" s="22">
        <f t="shared" si="325"/>
        <v>0</v>
      </c>
      <c r="AI209" s="22">
        <f t="shared" si="325"/>
        <v>0</v>
      </c>
      <c r="AJ209" s="22">
        <f t="shared" si="325"/>
        <v>0</v>
      </c>
      <c r="AK209" s="22">
        <f t="shared" si="325"/>
        <v>0</v>
      </c>
      <c r="AL209" s="22">
        <f t="shared" si="325"/>
        <v>0</v>
      </c>
      <c r="AM209" s="22">
        <v>0</v>
      </c>
      <c r="AN209" s="22">
        <v>0</v>
      </c>
      <c r="AO209" s="404"/>
      <c r="AP209" s="99">
        <f t="shared" ref="AP209" si="326">AR209</f>
        <v>0</v>
      </c>
      <c r="AQ209" s="47">
        <f t="shared" ref="AQ209" si="327">AR209</f>
        <v>0</v>
      </c>
      <c r="AR209" s="47">
        <v>0</v>
      </c>
      <c r="AS209" s="99"/>
      <c r="AT209" s="99"/>
      <c r="AU209" s="99"/>
      <c r="AV209" s="99"/>
      <c r="AW209" s="47"/>
      <c r="AX209" s="47"/>
      <c r="AY209" s="99">
        <f t="shared" ref="AY209" si="328">AZ209</f>
        <v>11.1596666666667</v>
      </c>
      <c r="AZ209" s="99">
        <v>11.1596666666667</v>
      </c>
      <c r="BA209" s="99"/>
      <c r="BB209" s="99"/>
      <c r="BC209" s="99"/>
      <c r="BD209" s="99"/>
      <c r="BE209" s="99"/>
      <c r="BF209" s="99"/>
      <c r="BG209" s="99"/>
      <c r="BH209" s="318"/>
      <c r="BI209" s="125">
        <v>0</v>
      </c>
      <c r="BJ209" s="126">
        <v>0</v>
      </c>
      <c r="BK209" s="126">
        <v>0</v>
      </c>
      <c r="BL209" s="126">
        <v>0</v>
      </c>
      <c r="BM209" s="125">
        <v>0</v>
      </c>
      <c r="BN209" s="126">
        <v>0</v>
      </c>
      <c r="BO209" s="126">
        <v>0</v>
      </c>
      <c r="BP209" s="126">
        <v>0</v>
      </c>
    </row>
    <row r="210" spans="1:68" ht="25.5">
      <c r="A210" s="835"/>
      <c r="B210" s="895"/>
      <c r="C210" s="896"/>
      <c r="D210" s="896"/>
      <c r="E210" s="896"/>
      <c r="F210" s="896"/>
      <c r="G210" s="896"/>
      <c r="H210" s="897"/>
      <c r="I210" s="15" t="s">
        <v>9</v>
      </c>
      <c r="J210" s="733">
        <v>0</v>
      </c>
      <c r="K210" s="733">
        <v>0</v>
      </c>
      <c r="L210" s="22">
        <f t="shared" ref="L210" si="329">M210+N210+O210</f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  <c r="V210" s="22">
        <v>0</v>
      </c>
      <c r="W210" s="22">
        <v>0</v>
      </c>
      <c r="X210" s="22">
        <v>0</v>
      </c>
      <c r="Y210" s="22">
        <v>0</v>
      </c>
      <c r="Z210" s="22">
        <v>0</v>
      </c>
      <c r="AA210" s="22">
        <v>0</v>
      </c>
      <c r="AB210" s="22">
        <v>0</v>
      </c>
      <c r="AC210" s="22">
        <v>0</v>
      </c>
      <c r="AD210" s="22">
        <v>0</v>
      </c>
      <c r="AE210" s="22">
        <v>0</v>
      </c>
      <c r="AF210" s="22">
        <v>0</v>
      </c>
      <c r="AG210" s="22">
        <v>0</v>
      </c>
      <c r="AH210" s="22">
        <v>0</v>
      </c>
      <c r="AI210" s="22">
        <v>1</v>
      </c>
      <c r="AJ210" s="22">
        <v>0</v>
      </c>
      <c r="AK210" s="22">
        <v>0</v>
      </c>
      <c r="AL210" s="22">
        <v>0</v>
      </c>
      <c r="AM210" s="22">
        <v>0</v>
      </c>
      <c r="AN210" s="22">
        <v>0</v>
      </c>
      <c r="AO210" s="404"/>
      <c r="AP210" s="47">
        <v>0</v>
      </c>
      <c r="AQ210" s="47">
        <v>0</v>
      </c>
      <c r="AR210" s="47">
        <v>0</v>
      </c>
      <c r="AS210" s="47">
        <v>0</v>
      </c>
      <c r="AT210" s="47">
        <v>0</v>
      </c>
      <c r="AU210" s="47">
        <v>0</v>
      </c>
      <c r="AV210" s="47">
        <v>0</v>
      </c>
      <c r="AW210" s="47">
        <v>0</v>
      </c>
      <c r="AX210" s="47">
        <v>0</v>
      </c>
      <c r="AY210" s="47">
        <v>0</v>
      </c>
      <c r="AZ210" s="47">
        <v>0</v>
      </c>
      <c r="BA210" s="47">
        <v>0</v>
      </c>
      <c r="BB210" s="47">
        <v>0</v>
      </c>
      <c r="BC210" s="47">
        <v>0</v>
      </c>
      <c r="BD210" s="47">
        <v>0</v>
      </c>
      <c r="BE210" s="47">
        <v>0</v>
      </c>
      <c r="BF210" s="47">
        <v>0</v>
      </c>
      <c r="BG210" s="47">
        <v>0</v>
      </c>
      <c r="BH210" s="317"/>
      <c r="BI210" s="125">
        <v>0</v>
      </c>
      <c r="BJ210" s="126">
        <v>0</v>
      </c>
      <c r="BK210" s="126">
        <v>0</v>
      </c>
      <c r="BL210" s="126">
        <v>0</v>
      </c>
      <c r="BM210" s="125">
        <v>0</v>
      </c>
      <c r="BN210" s="126">
        <v>0</v>
      </c>
      <c r="BO210" s="126">
        <v>0</v>
      </c>
      <c r="BP210" s="126">
        <v>0</v>
      </c>
    </row>
    <row r="211" spans="1:68" ht="55.5" customHeight="1">
      <c r="A211" s="825" t="s">
        <v>189</v>
      </c>
      <c r="B211" s="80" t="s">
        <v>89</v>
      </c>
      <c r="C211" s="143"/>
      <c r="D211" s="143"/>
      <c r="E211" s="143"/>
      <c r="F211" s="143"/>
      <c r="G211" s="717"/>
      <c r="H211" s="717"/>
      <c r="I211" s="837" t="s">
        <v>20</v>
      </c>
      <c r="J211" s="727"/>
      <c r="K211" s="3"/>
      <c r="L211" s="82">
        <f>L212</f>
        <v>5195.03</v>
      </c>
      <c r="M211" s="82">
        <f>M212</f>
        <v>0</v>
      </c>
      <c r="N211" s="82">
        <f t="shared" ref="N211:AN212" si="330">N212</f>
        <v>5037.4399999999996</v>
      </c>
      <c r="O211" s="82">
        <f t="shared" si="330"/>
        <v>0</v>
      </c>
      <c r="P211" s="82">
        <f t="shared" si="330"/>
        <v>189.108</v>
      </c>
      <c r="Q211" s="82">
        <f t="shared" si="330"/>
        <v>1315.81</v>
      </c>
      <c r="R211" s="82">
        <f t="shared" si="330"/>
        <v>0</v>
      </c>
      <c r="S211" s="82">
        <f t="shared" si="330"/>
        <v>0</v>
      </c>
      <c r="T211" s="82">
        <f t="shared" si="330"/>
        <v>0</v>
      </c>
      <c r="U211" s="82">
        <f t="shared" si="330"/>
        <v>0</v>
      </c>
      <c r="V211" s="82">
        <f t="shared" si="330"/>
        <v>1315.81</v>
      </c>
      <c r="W211" s="82">
        <f t="shared" si="330"/>
        <v>1315.81</v>
      </c>
      <c r="X211" s="82">
        <f t="shared" si="330"/>
        <v>0</v>
      </c>
      <c r="Y211" s="82">
        <f t="shared" si="330"/>
        <v>0</v>
      </c>
      <c r="Z211" s="82">
        <f t="shared" si="330"/>
        <v>1315.81</v>
      </c>
      <c r="AA211" s="82">
        <f t="shared" si="330"/>
        <v>0</v>
      </c>
      <c r="AB211" s="82">
        <f t="shared" si="330"/>
        <v>0</v>
      </c>
      <c r="AC211" s="82">
        <f t="shared" si="330"/>
        <v>1315.81</v>
      </c>
      <c r="AD211" s="82">
        <f t="shared" si="330"/>
        <v>0</v>
      </c>
      <c r="AE211" s="82">
        <f t="shared" si="330"/>
        <v>0</v>
      </c>
      <c r="AF211" s="82">
        <f t="shared" si="330"/>
        <v>0</v>
      </c>
      <c r="AG211" s="82">
        <f t="shared" si="330"/>
        <v>0</v>
      </c>
      <c r="AH211" s="82">
        <f t="shared" si="330"/>
        <v>0</v>
      </c>
      <c r="AI211" s="82">
        <f t="shared" si="330"/>
        <v>0</v>
      </c>
      <c r="AJ211" s="82">
        <f t="shared" si="330"/>
        <v>0</v>
      </c>
      <c r="AK211" s="82">
        <f t="shared" si="330"/>
        <v>0</v>
      </c>
      <c r="AL211" s="82">
        <f t="shared" si="330"/>
        <v>0</v>
      </c>
      <c r="AM211" s="82">
        <f t="shared" si="330"/>
        <v>0</v>
      </c>
      <c r="AN211" s="82">
        <f t="shared" si="330"/>
        <v>0</v>
      </c>
      <c r="AO211" s="411"/>
      <c r="AP211" s="82">
        <f t="shared" ref="AP211:BG211" si="331">AP212</f>
        <v>42</v>
      </c>
      <c r="AQ211" s="82">
        <f t="shared" si="331"/>
        <v>0</v>
      </c>
      <c r="AR211" s="82">
        <f t="shared" si="331"/>
        <v>0</v>
      </c>
      <c r="AS211" s="82">
        <f t="shared" si="331"/>
        <v>0</v>
      </c>
      <c r="AT211" s="82">
        <f t="shared" si="331"/>
        <v>0</v>
      </c>
      <c r="AU211" s="82">
        <f t="shared" si="331"/>
        <v>0</v>
      </c>
      <c r="AV211" s="82">
        <f t="shared" si="331"/>
        <v>0</v>
      </c>
      <c r="AW211" s="82">
        <f t="shared" si="331"/>
        <v>42</v>
      </c>
      <c r="AX211" s="82">
        <f t="shared" si="331"/>
        <v>42</v>
      </c>
      <c r="AY211" s="82">
        <f t="shared" si="331"/>
        <v>0</v>
      </c>
      <c r="AZ211" s="82">
        <f t="shared" si="331"/>
        <v>0</v>
      </c>
      <c r="BA211" s="82">
        <f t="shared" si="331"/>
        <v>0</v>
      </c>
      <c r="BB211" s="82">
        <f t="shared" si="331"/>
        <v>0</v>
      </c>
      <c r="BC211" s="82">
        <f t="shared" si="331"/>
        <v>0</v>
      </c>
      <c r="BD211" s="82">
        <f t="shared" si="331"/>
        <v>0</v>
      </c>
      <c r="BE211" s="82">
        <f t="shared" si="331"/>
        <v>0</v>
      </c>
      <c r="BF211" s="82">
        <f t="shared" si="331"/>
        <v>0</v>
      </c>
      <c r="BG211" s="82">
        <f t="shared" si="331"/>
        <v>0</v>
      </c>
      <c r="BH211" s="316"/>
      <c r="BI211" s="81">
        <f t="shared" ref="BI211:BP211" si="332">BI212+BI213</f>
        <v>0</v>
      </c>
      <c r="BJ211" s="81">
        <f t="shared" si="332"/>
        <v>0</v>
      </c>
      <c r="BK211" s="81">
        <f t="shared" si="332"/>
        <v>0</v>
      </c>
      <c r="BL211" s="81">
        <f t="shared" si="332"/>
        <v>0</v>
      </c>
      <c r="BM211" s="81">
        <f t="shared" si="332"/>
        <v>0</v>
      </c>
      <c r="BN211" s="81">
        <f t="shared" si="332"/>
        <v>0</v>
      </c>
      <c r="BO211" s="81">
        <f t="shared" si="332"/>
        <v>0</v>
      </c>
      <c r="BP211" s="81">
        <f t="shared" si="332"/>
        <v>0</v>
      </c>
    </row>
    <row r="212" spans="1:68" ht="15.75" customHeight="1">
      <c r="A212" s="836"/>
      <c r="B212" s="47" t="s">
        <v>15</v>
      </c>
      <c r="C212" s="143"/>
      <c r="D212" s="143"/>
      <c r="E212" s="143"/>
      <c r="F212" s="143"/>
      <c r="G212" s="320"/>
      <c r="H212" s="321"/>
      <c r="I212" s="840"/>
      <c r="J212" s="727"/>
      <c r="K212" s="325"/>
      <c r="L212" s="47">
        <v>5195.03</v>
      </c>
      <c r="M212" s="50">
        <v>0</v>
      </c>
      <c r="N212" s="50">
        <v>5037.4399999999996</v>
      </c>
      <c r="O212" s="50">
        <v>0</v>
      </c>
      <c r="P212" s="50">
        <f>157.59*1.2</f>
        <v>189.108</v>
      </c>
      <c r="Q212" s="47">
        <f>Q213</f>
        <v>1315.81</v>
      </c>
      <c r="R212" s="50">
        <f t="shared" si="330"/>
        <v>0</v>
      </c>
      <c r="S212" s="50">
        <f t="shared" si="330"/>
        <v>0</v>
      </c>
      <c r="T212" s="50">
        <f t="shared" si="330"/>
        <v>0</v>
      </c>
      <c r="U212" s="50">
        <f t="shared" si="330"/>
        <v>0</v>
      </c>
      <c r="V212" s="47">
        <f t="shared" si="330"/>
        <v>1315.81</v>
      </c>
      <c r="W212" s="47">
        <f t="shared" si="330"/>
        <v>1315.81</v>
      </c>
      <c r="X212" s="50">
        <f t="shared" si="330"/>
        <v>0</v>
      </c>
      <c r="Y212" s="50">
        <f t="shared" si="330"/>
        <v>0</v>
      </c>
      <c r="Z212" s="47">
        <f t="shared" si="330"/>
        <v>1315.81</v>
      </c>
      <c r="AA212" s="50">
        <f t="shared" si="330"/>
        <v>0</v>
      </c>
      <c r="AB212" s="50">
        <f t="shared" si="330"/>
        <v>0</v>
      </c>
      <c r="AC212" s="47">
        <f t="shared" si="330"/>
        <v>1315.81</v>
      </c>
      <c r="AD212" s="50">
        <f t="shared" si="330"/>
        <v>0</v>
      </c>
      <c r="AE212" s="50">
        <f t="shared" si="330"/>
        <v>0</v>
      </c>
      <c r="AF212" s="50">
        <f t="shared" si="330"/>
        <v>0</v>
      </c>
      <c r="AG212" s="50">
        <f t="shared" si="330"/>
        <v>0</v>
      </c>
      <c r="AH212" s="50">
        <f t="shared" si="330"/>
        <v>0</v>
      </c>
      <c r="AI212" s="50">
        <v>0</v>
      </c>
      <c r="AJ212" s="50">
        <v>0</v>
      </c>
      <c r="AK212" s="50">
        <v>0</v>
      </c>
      <c r="AL212" s="50">
        <v>0</v>
      </c>
      <c r="AM212" s="50">
        <v>0</v>
      </c>
      <c r="AN212" s="50">
        <v>0</v>
      </c>
      <c r="AO212" s="420"/>
      <c r="AP212" s="99">
        <f>AR212+AX212</f>
        <v>42</v>
      </c>
      <c r="AQ212" s="47">
        <f t="shared" ref="AQ212" si="333">AR212</f>
        <v>0</v>
      </c>
      <c r="AR212" s="47">
        <v>0</v>
      </c>
      <c r="AS212" s="99"/>
      <c r="AT212" s="99"/>
      <c r="AU212" s="99"/>
      <c r="AV212" s="99"/>
      <c r="AW212" s="99">
        <f>AX212</f>
        <v>42</v>
      </c>
      <c r="AX212" s="99">
        <v>42</v>
      </c>
      <c r="AY212" s="99">
        <f t="shared" ref="AY212" si="334">AZ212</f>
        <v>0</v>
      </c>
      <c r="AZ212" s="99">
        <v>0</v>
      </c>
      <c r="BA212" s="99"/>
      <c r="BB212" s="99"/>
      <c r="BC212" s="99"/>
      <c r="BD212" s="99"/>
      <c r="BE212" s="99"/>
      <c r="BF212" s="99"/>
      <c r="BG212" s="99"/>
      <c r="BH212" s="318"/>
      <c r="BI212" s="125">
        <v>0</v>
      </c>
      <c r="BJ212" s="126">
        <v>0</v>
      </c>
      <c r="BK212" s="126">
        <v>0</v>
      </c>
      <c r="BL212" s="126">
        <v>0</v>
      </c>
      <c r="BM212" s="125">
        <v>0</v>
      </c>
      <c r="BN212" s="126">
        <v>0</v>
      </c>
      <c r="BO212" s="126">
        <v>0</v>
      </c>
      <c r="BP212" s="126">
        <v>0</v>
      </c>
    </row>
    <row r="213" spans="1:68" s="100" customFormat="1" ht="15.75" hidden="1" customHeight="1">
      <c r="A213" s="694"/>
      <c r="B213" s="99" t="s">
        <v>353</v>
      </c>
      <c r="C213" s="377"/>
      <c r="D213" s="377"/>
      <c r="E213" s="377"/>
      <c r="F213" s="377"/>
      <c r="G213" s="371"/>
      <c r="H213" s="372"/>
      <c r="I213" s="378"/>
      <c r="J213" s="379"/>
      <c r="K213" s="380"/>
      <c r="L213" s="99"/>
      <c r="M213" s="693"/>
      <c r="N213" s="693"/>
      <c r="O213" s="693"/>
      <c r="P213" s="693"/>
      <c r="Q213" s="693">
        <f>W213</f>
        <v>1315.81</v>
      </c>
      <c r="R213" s="693"/>
      <c r="S213" s="693"/>
      <c r="T213" s="693"/>
      <c r="U213" s="693"/>
      <c r="V213" s="693">
        <f>W213</f>
        <v>1315.81</v>
      </c>
      <c r="W213" s="693">
        <v>1315.81</v>
      </c>
      <c r="X213" s="693"/>
      <c r="Y213" s="693"/>
      <c r="Z213" s="693">
        <f>AC213</f>
        <v>1315.81</v>
      </c>
      <c r="AA213" s="693"/>
      <c r="AB213" s="693"/>
      <c r="AC213" s="693">
        <v>1315.81</v>
      </c>
      <c r="AD213" s="693"/>
      <c r="AE213" s="693"/>
      <c r="AF213" s="693"/>
      <c r="AG213" s="693"/>
      <c r="AH213" s="693"/>
      <c r="AI213" s="268"/>
      <c r="AJ213" s="268"/>
      <c r="AK213" s="268"/>
      <c r="AL213" s="268"/>
      <c r="AM213" s="268"/>
      <c r="AN213" s="268"/>
      <c r="AO213" s="421"/>
      <c r="AP213" s="47">
        <v>0</v>
      </c>
      <c r="AQ213" s="47">
        <v>0</v>
      </c>
      <c r="AR213" s="47">
        <v>0</v>
      </c>
      <c r="AS213" s="47">
        <v>0</v>
      </c>
      <c r="AT213" s="47">
        <v>0</v>
      </c>
      <c r="AU213" s="47">
        <v>0</v>
      </c>
      <c r="AV213" s="47">
        <v>0</v>
      </c>
      <c r="AW213" s="47">
        <v>0</v>
      </c>
      <c r="AX213" s="47">
        <v>0</v>
      </c>
      <c r="AY213" s="47">
        <v>0</v>
      </c>
      <c r="AZ213" s="47">
        <v>0</v>
      </c>
      <c r="BA213" s="47">
        <v>0</v>
      </c>
      <c r="BB213" s="47">
        <v>0</v>
      </c>
      <c r="BC213" s="47">
        <v>0</v>
      </c>
      <c r="BD213" s="47">
        <v>0</v>
      </c>
      <c r="BE213" s="47">
        <v>0</v>
      </c>
      <c r="BF213" s="47">
        <v>0</v>
      </c>
      <c r="BG213" s="47">
        <v>0</v>
      </c>
      <c r="BH213" s="317"/>
      <c r="BI213" s="125">
        <v>0</v>
      </c>
      <c r="BJ213" s="126">
        <v>0</v>
      </c>
      <c r="BK213" s="126">
        <v>0</v>
      </c>
      <c r="BL213" s="126">
        <v>0</v>
      </c>
      <c r="BM213" s="125">
        <v>0</v>
      </c>
      <c r="BN213" s="126">
        <v>0</v>
      </c>
      <c r="BO213" s="126">
        <v>0</v>
      </c>
      <c r="BP213" s="126">
        <v>0</v>
      </c>
    </row>
    <row r="214" spans="1:68" ht="81" customHeight="1">
      <c r="A214" s="825" t="s">
        <v>190</v>
      </c>
      <c r="B214" s="80" t="s">
        <v>192</v>
      </c>
      <c r="C214" s="143"/>
      <c r="D214" s="143"/>
      <c r="E214" s="143"/>
      <c r="F214" s="143"/>
      <c r="G214" s="717"/>
      <c r="H214" s="717"/>
      <c r="I214" s="837" t="s">
        <v>20</v>
      </c>
      <c r="J214" s="727"/>
      <c r="K214" s="3"/>
      <c r="L214" s="82">
        <f>L215+L218</f>
        <v>134036.41</v>
      </c>
      <c r="M214" s="82">
        <f t="shared" ref="M214:AN214" si="335">M215+M218</f>
        <v>1825.11</v>
      </c>
      <c r="N214" s="82">
        <f t="shared" si="335"/>
        <v>57476.200000000004</v>
      </c>
      <c r="O214" s="82">
        <f t="shared" si="335"/>
        <v>0</v>
      </c>
      <c r="P214" s="82">
        <f t="shared" si="335"/>
        <v>36007.116000000002</v>
      </c>
      <c r="Q214" s="82">
        <f t="shared" si="335"/>
        <v>0</v>
      </c>
      <c r="R214" s="82">
        <f t="shared" si="335"/>
        <v>0</v>
      </c>
      <c r="S214" s="82">
        <f t="shared" si="335"/>
        <v>0</v>
      </c>
      <c r="T214" s="82">
        <f t="shared" si="335"/>
        <v>0</v>
      </c>
      <c r="U214" s="82">
        <f t="shared" si="335"/>
        <v>0</v>
      </c>
      <c r="V214" s="82">
        <f t="shared" si="335"/>
        <v>0</v>
      </c>
      <c r="W214" s="82">
        <f t="shared" si="335"/>
        <v>0</v>
      </c>
      <c r="X214" s="82">
        <f t="shared" si="335"/>
        <v>0</v>
      </c>
      <c r="Y214" s="82">
        <f t="shared" si="335"/>
        <v>0</v>
      </c>
      <c r="Z214" s="82">
        <f>Z215+Z218</f>
        <v>0</v>
      </c>
      <c r="AA214" s="82">
        <f t="shared" si="335"/>
        <v>0</v>
      </c>
      <c r="AB214" s="82">
        <f t="shared" si="335"/>
        <v>0</v>
      </c>
      <c r="AC214" s="82">
        <f t="shared" si="335"/>
        <v>0</v>
      </c>
      <c r="AD214" s="82">
        <f t="shared" si="335"/>
        <v>0</v>
      </c>
      <c r="AE214" s="82">
        <f t="shared" si="335"/>
        <v>0</v>
      </c>
      <c r="AF214" s="82">
        <f t="shared" si="335"/>
        <v>0</v>
      </c>
      <c r="AG214" s="82">
        <f t="shared" si="335"/>
        <v>0</v>
      </c>
      <c r="AH214" s="82">
        <f t="shared" si="335"/>
        <v>0</v>
      </c>
      <c r="AI214" s="82">
        <f t="shared" si="335"/>
        <v>0</v>
      </c>
      <c r="AJ214" s="82">
        <f t="shared" si="335"/>
        <v>0</v>
      </c>
      <c r="AK214" s="82">
        <f t="shared" si="335"/>
        <v>0</v>
      </c>
      <c r="AL214" s="82">
        <f t="shared" si="335"/>
        <v>0</v>
      </c>
      <c r="AM214" s="82">
        <f t="shared" si="335"/>
        <v>0</v>
      </c>
      <c r="AN214" s="82">
        <f t="shared" si="335"/>
        <v>0</v>
      </c>
      <c r="AO214" s="411" t="s">
        <v>264</v>
      </c>
      <c r="AP214" s="111"/>
      <c r="AQ214" s="136"/>
      <c r="AR214" s="136"/>
      <c r="AS214" s="111"/>
      <c r="AT214" s="111"/>
      <c r="AU214" s="111"/>
      <c r="AV214" s="111"/>
      <c r="BI214" s="81">
        <f t="shared" ref="BI214:BP214" si="336">BI215+BI216</f>
        <v>0</v>
      </c>
      <c r="BJ214" s="81">
        <f t="shared" si="336"/>
        <v>0</v>
      </c>
      <c r="BK214" s="81">
        <f t="shared" si="336"/>
        <v>0</v>
      </c>
      <c r="BL214" s="81">
        <f t="shared" si="336"/>
        <v>0</v>
      </c>
      <c r="BM214" s="81">
        <f t="shared" si="336"/>
        <v>0</v>
      </c>
      <c r="BN214" s="81">
        <f t="shared" si="336"/>
        <v>0</v>
      </c>
      <c r="BO214" s="81">
        <f t="shared" si="336"/>
        <v>0</v>
      </c>
      <c r="BP214" s="81">
        <f t="shared" si="336"/>
        <v>0</v>
      </c>
    </row>
    <row r="215" spans="1:68" ht="15.75" customHeight="1">
      <c r="A215" s="902"/>
      <c r="B215" s="47" t="s">
        <v>15</v>
      </c>
      <c r="C215" s="143"/>
      <c r="D215" s="143"/>
      <c r="E215" s="143"/>
      <c r="F215" s="143"/>
      <c r="G215" s="320"/>
      <c r="H215" s="321"/>
      <c r="I215" s="838"/>
      <c r="J215" s="727"/>
      <c r="K215" s="325"/>
      <c r="L215" s="47">
        <v>2401.5100000000002</v>
      </c>
      <c r="M215" s="47">
        <v>1825.11</v>
      </c>
      <c r="N215" s="47">
        <v>576.4</v>
      </c>
      <c r="O215" s="47">
        <v>0</v>
      </c>
      <c r="P215" s="47">
        <v>0</v>
      </c>
      <c r="Q215" s="47">
        <f>SUM(Q216:Q217)</f>
        <v>0</v>
      </c>
      <c r="R215" s="50">
        <f>SUM(R216:R217)</f>
        <v>0</v>
      </c>
      <c r="S215" s="50">
        <f t="shared" ref="S215:Y215" si="337">SUM(S216:S217)</f>
        <v>0</v>
      </c>
      <c r="T215" s="50">
        <f t="shared" si="337"/>
        <v>0</v>
      </c>
      <c r="U215" s="50">
        <f t="shared" si="337"/>
        <v>0</v>
      </c>
      <c r="V215" s="50">
        <f t="shared" si="337"/>
        <v>0</v>
      </c>
      <c r="W215" s="50">
        <f t="shared" si="337"/>
        <v>0</v>
      </c>
      <c r="X215" s="460">
        <f t="shared" si="337"/>
        <v>0</v>
      </c>
      <c r="Y215" s="460">
        <f t="shared" si="337"/>
        <v>0</v>
      </c>
      <c r="Z215" s="460">
        <f>Z216+Z217</f>
        <v>0</v>
      </c>
      <c r="AA215" s="50">
        <f t="shared" ref="AA215:AC215" si="338">AA216+AA217</f>
        <v>0</v>
      </c>
      <c r="AB215" s="50">
        <f t="shared" si="338"/>
        <v>0</v>
      </c>
      <c r="AC215" s="50">
        <f t="shared" si="338"/>
        <v>0</v>
      </c>
      <c r="AD215" s="50">
        <f t="shared" ref="AD215" si="339">AD216</f>
        <v>0</v>
      </c>
      <c r="AE215" s="50">
        <v>0</v>
      </c>
      <c r="AF215" s="50">
        <v>0</v>
      </c>
      <c r="AG215" s="50">
        <v>0</v>
      </c>
      <c r="AH215" s="50">
        <v>0</v>
      </c>
      <c r="AI215" s="50">
        <v>0</v>
      </c>
      <c r="AJ215" s="50">
        <v>0</v>
      </c>
      <c r="AK215" s="50">
        <v>0</v>
      </c>
      <c r="AL215" s="50">
        <v>0</v>
      </c>
      <c r="AM215" s="50">
        <v>0</v>
      </c>
      <c r="AN215" s="50">
        <v>0</v>
      </c>
      <c r="AO215" s="420"/>
      <c r="AP215" s="111"/>
      <c r="AQ215" s="136"/>
      <c r="AR215" s="136"/>
      <c r="AS215" s="111"/>
      <c r="AT215" s="111"/>
      <c r="AU215" s="111" t="s">
        <v>97</v>
      </c>
      <c r="AV215" s="111"/>
      <c r="BI215" s="125">
        <v>0</v>
      </c>
      <c r="BJ215" s="126">
        <v>0</v>
      </c>
      <c r="BK215" s="126">
        <v>0</v>
      </c>
      <c r="BL215" s="126">
        <v>0</v>
      </c>
      <c r="BM215" s="125">
        <v>0</v>
      </c>
      <c r="BN215" s="126">
        <v>0</v>
      </c>
      <c r="BO215" s="126">
        <v>0</v>
      </c>
      <c r="BP215" s="126">
        <v>0</v>
      </c>
    </row>
    <row r="216" spans="1:68" s="100" customFormat="1" ht="15.75" hidden="1" customHeight="1">
      <c r="A216" s="902"/>
      <c r="B216" s="464" t="s">
        <v>275</v>
      </c>
      <c r="C216" s="377"/>
      <c r="D216" s="377"/>
      <c r="E216" s="377"/>
      <c r="F216" s="377"/>
      <c r="G216" s="465"/>
      <c r="H216" s="466"/>
      <c r="I216" s="838"/>
      <c r="J216" s="379"/>
      <c r="K216" s="380"/>
      <c r="L216" s="99"/>
      <c r="M216" s="275"/>
      <c r="N216" s="275"/>
      <c r="O216" s="275"/>
      <c r="P216" s="275">
        <f>Q216</f>
        <v>0</v>
      </c>
      <c r="Q216" s="467">
        <f>S216+U216+W216</f>
        <v>0</v>
      </c>
      <c r="R216" s="467"/>
      <c r="S216" s="467"/>
      <c r="T216" s="467">
        <v>0</v>
      </c>
      <c r="U216" s="467">
        <v>0</v>
      </c>
      <c r="V216" s="467"/>
      <c r="W216" s="467"/>
      <c r="X216" s="467"/>
      <c r="Y216" s="467"/>
      <c r="Z216" s="467">
        <f>SUM(AA216:AD216)</f>
        <v>0</v>
      </c>
      <c r="AA216" s="467"/>
      <c r="AB216" s="467">
        <v>0</v>
      </c>
      <c r="AC216" s="467">
        <v>0</v>
      </c>
      <c r="AD216" s="467"/>
      <c r="AE216" s="467"/>
      <c r="AF216" s="467"/>
      <c r="AG216" s="467"/>
      <c r="AH216" s="467"/>
      <c r="AI216" s="467"/>
      <c r="AJ216" s="467"/>
      <c r="AK216" s="467"/>
      <c r="AL216" s="467"/>
      <c r="AM216" s="467"/>
      <c r="AN216" s="467"/>
      <c r="AO216" s="468"/>
      <c r="AP216" s="111"/>
      <c r="AQ216" s="136"/>
      <c r="AR216" s="136"/>
      <c r="AS216" s="111"/>
      <c r="AT216" s="111"/>
      <c r="AU216" s="111"/>
      <c r="AV216" s="111"/>
      <c r="AY216" s="12"/>
      <c r="AZ216" s="12"/>
      <c r="BA216" s="12"/>
      <c r="BB216" s="12"/>
      <c r="BC216" s="12"/>
      <c r="BD216" s="12"/>
      <c r="BE216" s="12"/>
      <c r="BF216" s="12"/>
      <c r="BG216" s="12"/>
      <c r="BH216" s="312"/>
      <c r="BI216" s="125">
        <v>0</v>
      </c>
      <c r="BJ216" s="126">
        <v>0</v>
      </c>
      <c r="BK216" s="126">
        <v>0</v>
      </c>
      <c r="BL216" s="126">
        <v>0</v>
      </c>
      <c r="BM216" s="125">
        <v>0</v>
      </c>
      <c r="BN216" s="126">
        <v>0</v>
      </c>
      <c r="BO216" s="126">
        <v>0</v>
      </c>
      <c r="BP216" s="126">
        <v>0</v>
      </c>
    </row>
    <row r="217" spans="1:68" s="100" customFormat="1" ht="15.75" hidden="1" customHeight="1">
      <c r="A217" s="902"/>
      <c r="B217" s="464" t="s">
        <v>280</v>
      </c>
      <c r="C217" s="377"/>
      <c r="D217" s="377"/>
      <c r="E217" s="377"/>
      <c r="F217" s="377"/>
      <c r="G217" s="465"/>
      <c r="H217" s="466"/>
      <c r="I217" s="838"/>
      <c r="J217" s="379"/>
      <c r="K217" s="380"/>
      <c r="L217" s="99"/>
      <c r="M217" s="275"/>
      <c r="N217" s="275"/>
      <c r="O217" s="275"/>
      <c r="P217" s="275"/>
      <c r="Q217" s="510">
        <f>S217+U217+W217+Y217</f>
        <v>0</v>
      </c>
      <c r="R217" s="510"/>
      <c r="S217" s="510"/>
      <c r="T217" s="510"/>
      <c r="U217" s="510"/>
      <c r="V217" s="510">
        <f>W217</f>
        <v>0</v>
      </c>
      <c r="W217" s="510">
        <v>0</v>
      </c>
      <c r="X217" s="510">
        <f>Y217</f>
        <v>0</v>
      </c>
      <c r="Y217" s="510">
        <v>0</v>
      </c>
      <c r="Z217" s="510">
        <f>SUM(AA217:AD217)</f>
        <v>0</v>
      </c>
      <c r="AA217" s="510"/>
      <c r="AB217" s="510"/>
      <c r="AC217" s="510">
        <v>0</v>
      </c>
      <c r="AD217" s="467"/>
      <c r="AE217" s="467"/>
      <c r="AF217" s="467"/>
      <c r="AG217" s="467"/>
      <c r="AH217" s="467"/>
      <c r="AI217" s="467"/>
      <c r="AJ217" s="467"/>
      <c r="AK217" s="467"/>
      <c r="AL217" s="467"/>
      <c r="AM217" s="467"/>
      <c r="AN217" s="467"/>
      <c r="AO217" s="468"/>
      <c r="AP217" s="111"/>
      <c r="AQ217" s="136"/>
      <c r="AR217" s="136"/>
      <c r="AS217" s="111"/>
      <c r="AT217" s="111"/>
      <c r="AU217" s="111"/>
      <c r="AV217" s="111"/>
      <c r="AY217" s="12"/>
      <c r="AZ217" s="12"/>
      <c r="BA217" s="12"/>
      <c r="BB217" s="12"/>
      <c r="BC217" s="12"/>
      <c r="BD217" s="12"/>
      <c r="BE217" s="12"/>
      <c r="BF217" s="12"/>
      <c r="BG217" s="12"/>
      <c r="BH217" s="312"/>
      <c r="BI217" s="125">
        <v>0</v>
      </c>
      <c r="BJ217" s="126">
        <v>0</v>
      </c>
      <c r="BK217" s="126">
        <v>0</v>
      </c>
      <c r="BL217" s="126">
        <v>0</v>
      </c>
      <c r="BM217" s="125">
        <v>0</v>
      </c>
      <c r="BN217" s="126">
        <v>0</v>
      </c>
      <c r="BO217" s="126">
        <v>0</v>
      </c>
      <c r="BP217" s="126">
        <v>0</v>
      </c>
    </row>
    <row r="218" spans="1:68" ht="15.75" customHeight="1">
      <c r="A218" s="836"/>
      <c r="B218" s="348" t="s">
        <v>32</v>
      </c>
      <c r="C218" s="143"/>
      <c r="D218" s="143"/>
      <c r="E218" s="143"/>
      <c r="F218" s="143"/>
      <c r="G218" s="349"/>
      <c r="H218" s="350"/>
      <c r="I218" s="839"/>
      <c r="J218" s="727"/>
      <c r="K218" s="325"/>
      <c r="L218" s="47">
        <v>131634.9</v>
      </c>
      <c r="M218" s="351">
        <v>0</v>
      </c>
      <c r="N218" s="47">
        <v>56899.8</v>
      </c>
      <c r="O218" s="351">
        <v>0</v>
      </c>
      <c r="P218" s="47">
        <f>30005.93*1.2</f>
        <v>36007.116000000002</v>
      </c>
      <c r="Q218" s="47">
        <v>0</v>
      </c>
      <c r="R218" s="351">
        <v>0</v>
      </c>
      <c r="S218" s="351">
        <v>0</v>
      </c>
      <c r="T218" s="351">
        <v>0</v>
      </c>
      <c r="U218" s="351">
        <v>0</v>
      </c>
      <c r="V218" s="351">
        <v>0</v>
      </c>
      <c r="W218" s="351">
        <v>0</v>
      </c>
      <c r="X218" s="351">
        <v>0</v>
      </c>
      <c r="Y218" s="351">
        <v>0</v>
      </c>
      <c r="Z218" s="351">
        <v>0</v>
      </c>
      <c r="AA218" s="351">
        <v>0</v>
      </c>
      <c r="AB218" s="351">
        <v>0</v>
      </c>
      <c r="AC218" s="351">
        <v>0</v>
      </c>
      <c r="AD218" s="351">
        <v>0</v>
      </c>
      <c r="AE218" s="351">
        <v>0</v>
      </c>
      <c r="AF218" s="351">
        <v>0</v>
      </c>
      <c r="AG218" s="351">
        <v>0</v>
      </c>
      <c r="AH218" s="351">
        <v>0</v>
      </c>
      <c r="AI218" s="351">
        <v>0</v>
      </c>
      <c r="AJ218" s="351">
        <v>0</v>
      </c>
      <c r="AK218" s="351">
        <v>0</v>
      </c>
      <c r="AL218" s="351">
        <v>0</v>
      </c>
      <c r="AM218" s="351">
        <v>0</v>
      </c>
      <c r="AN218" s="351">
        <v>0</v>
      </c>
      <c r="AO218" s="423"/>
      <c r="AP218" s="111"/>
      <c r="AQ218" s="136"/>
      <c r="AR218" s="136"/>
      <c r="AS218" s="111"/>
      <c r="AT218" s="111"/>
      <c r="AU218" s="111" t="s">
        <v>99</v>
      </c>
      <c r="AV218" s="111"/>
      <c r="BI218" s="125">
        <v>0</v>
      </c>
      <c r="BJ218" s="126">
        <v>0</v>
      </c>
      <c r="BK218" s="126">
        <v>0</v>
      </c>
      <c r="BL218" s="126">
        <v>0</v>
      </c>
      <c r="BM218" s="125">
        <v>0</v>
      </c>
      <c r="BN218" s="126">
        <v>0</v>
      </c>
      <c r="BO218" s="126">
        <v>0</v>
      </c>
      <c r="BP218" s="126">
        <v>0</v>
      </c>
    </row>
    <row r="219" spans="1:68" ht="79.5" hidden="1" customHeight="1">
      <c r="A219" s="828" t="s">
        <v>191</v>
      </c>
      <c r="B219" s="80" t="s">
        <v>215</v>
      </c>
      <c r="C219" s="720"/>
      <c r="D219" s="720"/>
      <c r="E219" s="720">
        <v>300</v>
      </c>
      <c r="F219" s="720"/>
      <c r="G219" s="725">
        <v>2019</v>
      </c>
      <c r="H219" s="725">
        <v>2019</v>
      </c>
      <c r="I219" s="830" t="s">
        <v>20</v>
      </c>
      <c r="J219" s="53">
        <f>K219+L219</f>
        <v>27019.38</v>
      </c>
      <c r="K219" s="3">
        <v>0</v>
      </c>
      <c r="L219" s="82">
        <f>L220</f>
        <v>27019.38</v>
      </c>
      <c r="M219" s="82">
        <f>M220</f>
        <v>27019.38</v>
      </c>
      <c r="N219" s="79">
        <v>0</v>
      </c>
      <c r="O219" s="79">
        <v>0</v>
      </c>
      <c r="P219" s="79">
        <f>P220</f>
        <v>0</v>
      </c>
      <c r="Q219" s="79">
        <f>Q220</f>
        <v>0</v>
      </c>
      <c r="R219" s="79">
        <f t="shared" ref="R219:AN220" si="340">R220</f>
        <v>0</v>
      </c>
      <c r="S219" s="79">
        <f t="shared" si="340"/>
        <v>0</v>
      </c>
      <c r="T219" s="79">
        <f t="shared" si="340"/>
        <v>0</v>
      </c>
      <c r="U219" s="79">
        <f t="shared" si="340"/>
        <v>0</v>
      </c>
      <c r="V219" s="79">
        <f t="shared" si="340"/>
        <v>0</v>
      </c>
      <c r="W219" s="79">
        <f t="shared" si="340"/>
        <v>0</v>
      </c>
      <c r="X219" s="79">
        <f t="shared" si="340"/>
        <v>0</v>
      </c>
      <c r="Y219" s="79">
        <f t="shared" si="340"/>
        <v>0</v>
      </c>
      <c r="Z219" s="79">
        <f t="shared" si="340"/>
        <v>0</v>
      </c>
      <c r="AA219" s="79">
        <f t="shared" si="340"/>
        <v>0</v>
      </c>
      <c r="AB219" s="79">
        <f t="shared" si="340"/>
        <v>0</v>
      </c>
      <c r="AC219" s="79">
        <f t="shared" si="340"/>
        <v>0</v>
      </c>
      <c r="AD219" s="79">
        <f t="shared" si="340"/>
        <v>0</v>
      </c>
      <c r="AE219" s="79">
        <f t="shared" si="340"/>
        <v>0</v>
      </c>
      <c r="AF219" s="79">
        <f t="shared" si="340"/>
        <v>0</v>
      </c>
      <c r="AG219" s="79">
        <f t="shared" si="340"/>
        <v>0</v>
      </c>
      <c r="AH219" s="79">
        <f t="shared" si="340"/>
        <v>0</v>
      </c>
      <c r="AI219" s="79">
        <f t="shared" si="340"/>
        <v>0</v>
      </c>
      <c r="AJ219" s="79">
        <f t="shared" si="340"/>
        <v>0</v>
      </c>
      <c r="AK219" s="79">
        <f t="shared" si="340"/>
        <v>0</v>
      </c>
      <c r="AL219" s="79">
        <f t="shared" si="340"/>
        <v>0</v>
      </c>
      <c r="AM219" s="79">
        <f t="shared" si="340"/>
        <v>0</v>
      </c>
      <c r="AN219" s="79">
        <f t="shared" si="340"/>
        <v>0</v>
      </c>
      <c r="AO219" s="424" t="s">
        <v>282</v>
      </c>
      <c r="AP219" s="111"/>
      <c r="AQ219" s="136"/>
      <c r="AR219" s="136"/>
      <c r="AS219" s="111"/>
      <c r="AT219" s="111"/>
      <c r="AU219" s="111"/>
      <c r="AV219" s="111"/>
    </row>
    <row r="220" spans="1:68" s="292" customFormat="1" ht="19.5" hidden="1" customHeight="1">
      <c r="A220" s="829"/>
      <c r="B220" s="1" t="s">
        <v>216</v>
      </c>
      <c r="C220" s="725"/>
      <c r="D220" s="725"/>
      <c r="E220" s="725"/>
      <c r="F220" s="725"/>
      <c r="G220" s="725"/>
      <c r="H220" s="725"/>
      <c r="I220" s="831"/>
      <c r="J220" s="6"/>
      <c r="K220" s="47"/>
      <c r="L220" s="47">
        <v>27019.38</v>
      </c>
      <c r="M220" s="47">
        <v>27019.38</v>
      </c>
      <c r="N220" s="47">
        <v>0</v>
      </c>
      <c r="O220" s="47">
        <v>0</v>
      </c>
      <c r="P220" s="4">
        <v>0</v>
      </c>
      <c r="Q220" s="4">
        <f>Q221</f>
        <v>0</v>
      </c>
      <c r="R220" s="4">
        <f t="shared" si="340"/>
        <v>0</v>
      </c>
      <c r="S220" s="4">
        <f t="shared" si="340"/>
        <v>0</v>
      </c>
      <c r="T220" s="4">
        <f t="shared" si="340"/>
        <v>0</v>
      </c>
      <c r="U220" s="4">
        <f t="shared" si="340"/>
        <v>0</v>
      </c>
      <c r="V220" s="4">
        <f t="shared" si="340"/>
        <v>0</v>
      </c>
      <c r="W220" s="4">
        <f t="shared" si="340"/>
        <v>0</v>
      </c>
      <c r="X220" s="4">
        <v>0</v>
      </c>
      <c r="Y220" s="4">
        <f t="shared" si="340"/>
        <v>0</v>
      </c>
      <c r="Z220" s="4">
        <f t="shared" si="340"/>
        <v>0</v>
      </c>
      <c r="AA220" s="4">
        <f t="shared" si="340"/>
        <v>0</v>
      </c>
      <c r="AB220" s="4">
        <f t="shared" si="340"/>
        <v>0</v>
      </c>
      <c r="AC220" s="4">
        <f t="shared" si="340"/>
        <v>0</v>
      </c>
      <c r="AD220" s="4">
        <f t="shared" si="340"/>
        <v>0</v>
      </c>
      <c r="AE220" s="4">
        <f>AE221</f>
        <v>0</v>
      </c>
      <c r="AF220" s="4">
        <f t="shared" si="340"/>
        <v>0</v>
      </c>
      <c r="AG220" s="4">
        <f t="shared" si="340"/>
        <v>0</v>
      </c>
      <c r="AH220" s="4">
        <f t="shared" si="340"/>
        <v>0</v>
      </c>
      <c r="AI220" s="4">
        <f t="shared" si="340"/>
        <v>0</v>
      </c>
      <c r="AJ220" s="4">
        <f t="shared" si="340"/>
        <v>0</v>
      </c>
      <c r="AK220" s="4">
        <f t="shared" si="340"/>
        <v>0</v>
      </c>
      <c r="AL220" s="4">
        <f t="shared" si="340"/>
        <v>0</v>
      </c>
      <c r="AM220" s="4">
        <f t="shared" si="340"/>
        <v>0</v>
      </c>
      <c r="AN220" s="4">
        <f t="shared" si="340"/>
        <v>0</v>
      </c>
      <c r="AO220" s="425"/>
      <c r="AP220" s="111"/>
      <c r="AQ220" s="136"/>
      <c r="AR220" s="136"/>
      <c r="AS220" s="111"/>
      <c r="AT220" s="111"/>
      <c r="AU220" s="111" t="s">
        <v>101</v>
      </c>
      <c r="AV220" s="111"/>
      <c r="AW220" s="100"/>
      <c r="AX220" s="100"/>
      <c r="AY220" s="12"/>
      <c r="AZ220" s="12"/>
      <c r="BA220" s="12"/>
      <c r="BB220" s="12"/>
      <c r="BC220" s="12"/>
      <c r="BD220" s="12"/>
      <c r="BE220" s="12"/>
      <c r="BF220" s="12"/>
      <c r="BG220" s="12"/>
      <c r="BH220" s="312"/>
      <c r="BI220" s="114"/>
      <c r="BJ220" s="114"/>
      <c r="BK220" s="114"/>
      <c r="BL220" s="114"/>
      <c r="BM220"/>
      <c r="BN220"/>
      <c r="BO220"/>
      <c r="BP220"/>
    </row>
    <row r="221" spans="1:68" s="273" customFormat="1" ht="25.5" hidden="1">
      <c r="A221" s="274"/>
      <c r="B221" s="105" t="s">
        <v>261</v>
      </c>
      <c r="C221" s="107"/>
      <c r="D221" s="107"/>
      <c r="E221" s="107"/>
      <c r="F221" s="107"/>
      <c r="G221" s="107"/>
      <c r="H221" s="107"/>
      <c r="I221" s="105"/>
      <c r="J221" s="109"/>
      <c r="K221" s="99"/>
      <c r="L221" s="99"/>
      <c r="M221" s="275"/>
      <c r="N221" s="275"/>
      <c r="O221" s="275"/>
      <c r="P221" s="275">
        <f>Q221</f>
        <v>0</v>
      </c>
      <c r="Q221" s="275">
        <f>S221+U221+W221</f>
        <v>0</v>
      </c>
      <c r="R221" s="275">
        <f>S221</f>
        <v>0</v>
      </c>
      <c r="S221" s="275">
        <v>0</v>
      </c>
      <c r="T221" s="275">
        <v>0</v>
      </c>
      <c r="U221" s="275">
        <v>0</v>
      </c>
      <c r="V221" s="275">
        <f>W221</f>
        <v>0</v>
      </c>
      <c r="W221" s="275">
        <v>0</v>
      </c>
      <c r="X221" s="275">
        <v>0</v>
      </c>
      <c r="Y221" s="275">
        <v>0</v>
      </c>
      <c r="Z221" s="275">
        <f>SUM(AA221:AB221)</f>
        <v>0</v>
      </c>
      <c r="AA221" s="275">
        <v>0</v>
      </c>
      <c r="AB221" s="275">
        <v>0</v>
      </c>
      <c r="AC221" s="275">
        <v>0</v>
      </c>
      <c r="AD221" s="275"/>
      <c r="AE221" s="275">
        <f>SUM(AF221:AH221)</f>
        <v>0</v>
      </c>
      <c r="AF221" s="275"/>
      <c r="AG221" s="275">
        <v>0</v>
      </c>
      <c r="AH221" s="275">
        <v>0</v>
      </c>
      <c r="AI221" s="275"/>
      <c r="AJ221" s="99"/>
      <c r="AK221" s="99"/>
      <c r="AL221" s="99"/>
      <c r="AM221" s="275"/>
      <c r="AN221" s="275"/>
      <c r="AO221" s="426"/>
      <c r="AP221" s="12"/>
      <c r="AQ221" s="12"/>
      <c r="AR221" s="12"/>
      <c r="AS221" s="12"/>
      <c r="AT221" s="12"/>
      <c r="AU221" s="12"/>
      <c r="AV221" s="12"/>
      <c r="AW221" s="100"/>
      <c r="AX221" s="100"/>
      <c r="AY221" s="12"/>
      <c r="AZ221" s="12"/>
      <c r="BA221" s="12"/>
      <c r="BB221" s="12"/>
      <c r="BC221" s="12"/>
      <c r="BD221" s="12"/>
      <c r="BE221" s="12"/>
      <c r="BF221" s="12"/>
      <c r="BG221" s="12"/>
      <c r="BH221" s="312"/>
      <c r="BI221" s="114"/>
      <c r="BJ221" s="114"/>
      <c r="BK221" s="114"/>
      <c r="BL221" s="114"/>
      <c r="BM221"/>
      <c r="BN221"/>
      <c r="BO221"/>
      <c r="BP221"/>
    </row>
    <row r="222" spans="1:68" ht="91.5" customHeight="1">
      <c r="A222" s="14" t="s">
        <v>193</v>
      </c>
      <c r="B222" s="80" t="s">
        <v>366</v>
      </c>
      <c r="C222" s="354">
        <v>63</v>
      </c>
      <c r="D222" s="354">
        <v>250</v>
      </c>
      <c r="E222" s="354">
        <v>250</v>
      </c>
      <c r="F222" s="354"/>
      <c r="G222" s="355">
        <v>2019</v>
      </c>
      <c r="H222" s="355">
        <v>2019</v>
      </c>
      <c r="I222" s="1"/>
      <c r="J222" s="356">
        <f>K222+L222</f>
        <v>36691.870000000003</v>
      </c>
      <c r="K222" s="357">
        <v>0</v>
      </c>
      <c r="L222" s="82">
        <f>L223+L227+L228</f>
        <v>36691.870000000003</v>
      </c>
      <c r="M222" s="82">
        <f>M223+M227+M228</f>
        <v>31392.57</v>
      </c>
      <c r="N222" s="82">
        <f>N223+N227+N228</f>
        <v>33892.57</v>
      </c>
      <c r="O222" s="82">
        <f>O223+O227+O228</f>
        <v>33892.57</v>
      </c>
      <c r="P222" s="82">
        <f>P223+P227+P228</f>
        <v>3359.1600000000003</v>
      </c>
      <c r="Q222" s="82">
        <f t="shared" ref="Q222:Y222" si="341">Q223+Q228</f>
        <v>36928.548000000003</v>
      </c>
      <c r="R222" s="82">
        <f t="shared" si="341"/>
        <v>165.78200000000001</v>
      </c>
      <c r="S222" s="82">
        <f t="shared" si="341"/>
        <v>165.78200000000001</v>
      </c>
      <c r="T222" s="82">
        <f t="shared" si="341"/>
        <v>2350</v>
      </c>
      <c r="U222" s="82">
        <f t="shared" si="341"/>
        <v>2350</v>
      </c>
      <c r="V222" s="82">
        <f>V223+V228</f>
        <v>34412.766000000003</v>
      </c>
      <c r="W222" s="82">
        <f t="shared" si="341"/>
        <v>34412.766000000003</v>
      </c>
      <c r="X222" s="82">
        <f t="shared" si="341"/>
        <v>0</v>
      </c>
      <c r="Y222" s="82">
        <f t="shared" si="341"/>
        <v>0</v>
      </c>
      <c r="Z222" s="82">
        <f>Z223+Z228</f>
        <v>44327.347600000001</v>
      </c>
      <c r="AA222" s="82">
        <f t="shared" ref="AA222:AD222" si="342">AA223+AA228</f>
        <v>0</v>
      </c>
      <c r="AB222" s="82">
        <f t="shared" si="342"/>
        <v>20492.5</v>
      </c>
      <c r="AC222" s="82">
        <f t="shared" si="342"/>
        <v>23834.847600000001</v>
      </c>
      <c r="AD222" s="82">
        <f t="shared" si="342"/>
        <v>0</v>
      </c>
      <c r="AE222" s="82">
        <v>0</v>
      </c>
      <c r="AF222" s="82">
        <v>0</v>
      </c>
      <c r="AG222" s="82">
        <v>0</v>
      </c>
      <c r="AH222" s="82">
        <v>0</v>
      </c>
      <c r="AI222" s="82">
        <v>0</v>
      </c>
      <c r="AJ222" s="82">
        <f>P222-Q222</f>
        <v>-33569.387999999999</v>
      </c>
      <c r="AK222" s="82">
        <f>AJ222</f>
        <v>-33569.387999999999</v>
      </c>
      <c r="AL222" s="79">
        <f>ROUND((Q222*100%/P222*100),2)</f>
        <v>1099.3399999999999</v>
      </c>
      <c r="AM222" s="82">
        <v>0</v>
      </c>
      <c r="AN222" s="82">
        <v>0</v>
      </c>
      <c r="AO222" s="411"/>
      <c r="BI222" s="81">
        <f t="shared" ref="BI222:BP222" si="343">BI223+BI224</f>
        <v>0</v>
      </c>
      <c r="BJ222" s="81">
        <f t="shared" si="343"/>
        <v>0</v>
      </c>
      <c r="BK222" s="81">
        <f t="shared" si="343"/>
        <v>0</v>
      </c>
      <c r="BL222" s="81">
        <f t="shared" si="343"/>
        <v>0</v>
      </c>
      <c r="BM222" s="81">
        <f t="shared" si="343"/>
        <v>0</v>
      </c>
      <c r="BN222" s="81">
        <f t="shared" si="343"/>
        <v>0</v>
      </c>
      <c r="BO222" s="81">
        <f t="shared" si="343"/>
        <v>0</v>
      </c>
      <c r="BP222" s="81">
        <f t="shared" si="343"/>
        <v>0</v>
      </c>
    </row>
    <row r="223" spans="1:68" s="292" customFormat="1" ht="33.75">
      <c r="A223" s="716"/>
      <c r="B223" s="47" t="s">
        <v>15</v>
      </c>
      <c r="C223" s="725"/>
      <c r="D223" s="725"/>
      <c r="E223" s="725"/>
      <c r="F223" s="725"/>
      <c r="G223" s="725"/>
      <c r="H223" s="725"/>
      <c r="I223" s="501" t="s">
        <v>20</v>
      </c>
      <c r="J223" s="476"/>
      <c r="K223" s="47"/>
      <c r="L223" s="47">
        <v>2799.3</v>
      </c>
      <c r="M223" s="4"/>
      <c r="N223" s="4">
        <v>0</v>
      </c>
      <c r="O223" s="4"/>
      <c r="P223" s="4">
        <f>2799.3*1.2</f>
        <v>3359.1600000000003</v>
      </c>
      <c r="Q223" s="4">
        <f>SUM(Q224:Q226)</f>
        <v>2515.7820000000002</v>
      </c>
      <c r="R223" s="4">
        <f>SUM(R226:R226)</f>
        <v>165.78200000000001</v>
      </c>
      <c r="S223" s="4">
        <f>SUM(S226:S226)</f>
        <v>165.78200000000001</v>
      </c>
      <c r="T223" s="4">
        <f t="shared" ref="T223:AA223" si="344">SUM(T224:T226)</f>
        <v>2350</v>
      </c>
      <c r="U223" s="4">
        <f t="shared" si="344"/>
        <v>2350</v>
      </c>
      <c r="V223" s="4">
        <f t="shared" si="344"/>
        <v>0</v>
      </c>
      <c r="W223" s="4">
        <f t="shared" si="344"/>
        <v>0</v>
      </c>
      <c r="X223" s="4">
        <f t="shared" si="344"/>
        <v>0</v>
      </c>
      <c r="Y223" s="4">
        <f t="shared" si="344"/>
        <v>0</v>
      </c>
      <c r="Z223" s="4">
        <f>SUM(Z224:Z226)</f>
        <v>2515.7820000000002</v>
      </c>
      <c r="AA223" s="4">
        <f t="shared" si="344"/>
        <v>0</v>
      </c>
      <c r="AB223" s="4">
        <f>SUM(AB224:AB226)</f>
        <v>2515.7820000000002</v>
      </c>
      <c r="AC223" s="4">
        <f t="shared" ref="AC223:AI223" si="345">SUM(AC226:AC226)</f>
        <v>0</v>
      </c>
      <c r="AD223" s="4">
        <f t="shared" si="345"/>
        <v>0</v>
      </c>
      <c r="AE223" s="4">
        <f t="shared" si="345"/>
        <v>0</v>
      </c>
      <c r="AF223" s="4">
        <f t="shared" si="345"/>
        <v>0</v>
      </c>
      <c r="AG223" s="4">
        <f t="shared" si="345"/>
        <v>0</v>
      </c>
      <c r="AH223" s="4">
        <f t="shared" si="345"/>
        <v>0</v>
      </c>
      <c r="AI223" s="4">
        <f t="shared" si="345"/>
        <v>0</v>
      </c>
      <c r="AJ223" s="47"/>
      <c r="AK223" s="47"/>
      <c r="AL223" s="47"/>
      <c r="AM223" s="4"/>
      <c r="AN223" s="4"/>
      <c r="AO223" s="698"/>
      <c r="AP223" s="12"/>
      <c r="AQ223" s="12"/>
      <c r="AR223" s="12"/>
      <c r="AS223" s="12"/>
      <c r="AT223" s="12"/>
      <c r="AU223" s="12"/>
      <c r="AV223" s="12"/>
      <c r="AW223" s="100"/>
      <c r="AX223" s="100"/>
      <c r="AY223" s="12"/>
      <c r="AZ223" s="12"/>
      <c r="BA223" s="12"/>
      <c r="BB223" s="12"/>
      <c r="BC223" s="12"/>
      <c r="BD223" s="12"/>
      <c r="BE223" s="12"/>
      <c r="BF223" s="12"/>
      <c r="BG223" s="12"/>
      <c r="BH223" s="312"/>
      <c r="BI223" s="125">
        <v>0</v>
      </c>
      <c r="BJ223" s="126">
        <v>0</v>
      </c>
      <c r="BK223" s="126">
        <v>0</v>
      </c>
      <c r="BL223" s="126">
        <v>0</v>
      </c>
      <c r="BM223" s="125">
        <v>0</v>
      </c>
      <c r="BN223" s="126">
        <v>0</v>
      </c>
      <c r="BO223" s="126">
        <v>0</v>
      </c>
      <c r="BP223" s="126">
        <v>0</v>
      </c>
    </row>
    <row r="224" spans="1:68" s="273" customFormat="1" ht="15.75" hidden="1">
      <c r="A224" s="274"/>
      <c r="B224" s="105" t="s">
        <v>271</v>
      </c>
      <c r="C224" s="107"/>
      <c r="D224" s="107"/>
      <c r="E224" s="107"/>
      <c r="F224" s="107"/>
      <c r="G224" s="107"/>
      <c r="H224" s="107"/>
      <c r="I224" s="105"/>
      <c r="J224" s="109"/>
      <c r="K224" s="99"/>
      <c r="L224" s="99"/>
      <c r="M224" s="275"/>
      <c r="N224" s="275"/>
      <c r="O224" s="275"/>
      <c r="P224" s="275">
        <f>R224+T224</f>
        <v>0</v>
      </c>
      <c r="Q224" s="275">
        <f>Y224</f>
        <v>0</v>
      </c>
      <c r="R224" s="275"/>
      <c r="S224" s="275"/>
      <c r="T224" s="275">
        <f>U224</f>
        <v>0</v>
      </c>
      <c r="U224" s="275">
        <v>0</v>
      </c>
      <c r="V224" s="275"/>
      <c r="W224" s="275"/>
      <c r="X224" s="275"/>
      <c r="Y224" s="275">
        <v>0</v>
      </c>
      <c r="Z224" s="275">
        <f>AD224</f>
        <v>0</v>
      </c>
      <c r="AA224" s="275"/>
      <c r="AB224" s="275">
        <v>0</v>
      </c>
      <c r="AC224" s="275"/>
      <c r="AD224" s="275">
        <v>0</v>
      </c>
      <c r="AE224" s="275"/>
      <c r="AF224" s="275"/>
      <c r="AG224" s="275"/>
      <c r="AH224" s="275"/>
      <c r="AI224" s="275"/>
      <c r="AJ224" s="99"/>
      <c r="AK224" s="99"/>
      <c r="AL224" s="99"/>
      <c r="AM224" s="275"/>
      <c r="AN224" s="275"/>
      <c r="AO224" s="426"/>
      <c r="AP224" s="12"/>
      <c r="AQ224" s="12"/>
      <c r="AR224" s="12"/>
      <c r="AS224" s="12"/>
      <c r="AT224" s="12"/>
      <c r="AU224" s="12"/>
      <c r="AV224" s="12"/>
      <c r="AW224" s="100"/>
      <c r="AX224" s="100"/>
      <c r="AY224" s="12"/>
      <c r="AZ224" s="12"/>
      <c r="BA224" s="12"/>
      <c r="BB224" s="12"/>
      <c r="BC224" s="12"/>
      <c r="BD224" s="12"/>
      <c r="BE224" s="12"/>
      <c r="BF224" s="12"/>
      <c r="BG224" s="12"/>
      <c r="BH224" s="312"/>
      <c r="BI224" s="125">
        <v>0</v>
      </c>
      <c r="BJ224" s="126">
        <v>0</v>
      </c>
      <c r="BK224" s="126">
        <v>0</v>
      </c>
      <c r="BL224" s="126">
        <v>0</v>
      </c>
      <c r="BM224" s="125">
        <v>0</v>
      </c>
      <c r="BN224" s="126">
        <v>0</v>
      </c>
      <c r="BO224" s="126">
        <v>0</v>
      </c>
      <c r="BP224" s="126">
        <v>0</v>
      </c>
    </row>
    <row r="225" spans="1:68" s="273" customFormat="1" ht="15.75" hidden="1">
      <c r="A225" s="511"/>
      <c r="B225" s="105" t="s">
        <v>355</v>
      </c>
      <c r="C225" s="107"/>
      <c r="D225" s="107"/>
      <c r="E225" s="107"/>
      <c r="F225" s="107"/>
      <c r="G225" s="107"/>
      <c r="H225" s="107"/>
      <c r="I225" s="95"/>
      <c r="J225" s="455"/>
      <c r="K225" s="99"/>
      <c r="L225" s="99"/>
      <c r="M225" s="275"/>
      <c r="N225" s="275"/>
      <c r="O225" s="275"/>
      <c r="P225" s="275"/>
      <c r="Q225" s="275">
        <f>U225</f>
        <v>2350</v>
      </c>
      <c r="R225" s="275"/>
      <c r="S225" s="275"/>
      <c r="T225" s="275">
        <f>U225</f>
        <v>2350</v>
      </c>
      <c r="U225" s="275">
        <v>2350</v>
      </c>
      <c r="V225" s="275"/>
      <c r="W225" s="275"/>
      <c r="X225" s="275"/>
      <c r="Y225" s="275">
        <v>0</v>
      </c>
      <c r="Z225" s="275">
        <f>AB225</f>
        <v>2350</v>
      </c>
      <c r="AA225" s="275"/>
      <c r="AB225" s="275">
        <v>2350</v>
      </c>
      <c r="AC225" s="275"/>
      <c r="AD225" s="275">
        <v>0</v>
      </c>
      <c r="AE225" s="275"/>
      <c r="AF225" s="275"/>
      <c r="AG225" s="275"/>
      <c r="AH225" s="275"/>
      <c r="AI225" s="275"/>
      <c r="AJ225" s="99"/>
      <c r="AK225" s="99"/>
      <c r="AL225" s="99"/>
      <c r="AM225" s="275"/>
      <c r="AN225" s="275"/>
      <c r="AO225" s="426"/>
      <c r="AP225" s="12"/>
      <c r="AQ225" s="12"/>
      <c r="AR225" s="12"/>
      <c r="AS225" s="12"/>
      <c r="AT225" s="12"/>
      <c r="AU225" s="12"/>
      <c r="AV225" s="12"/>
      <c r="AW225" s="100"/>
      <c r="AX225" s="100"/>
      <c r="AY225" s="12"/>
      <c r="AZ225" s="12"/>
      <c r="BA225" s="12"/>
      <c r="BB225" s="12"/>
      <c r="BC225" s="12"/>
      <c r="BD225" s="12"/>
      <c r="BE225" s="12"/>
      <c r="BF225" s="12"/>
      <c r="BG225" s="12"/>
      <c r="BH225" s="312"/>
      <c r="BI225" s="125">
        <v>0</v>
      </c>
      <c r="BJ225" s="126">
        <v>0</v>
      </c>
      <c r="BK225" s="126">
        <v>0</v>
      </c>
      <c r="BL225" s="126">
        <v>0</v>
      </c>
      <c r="BM225" s="125">
        <v>0</v>
      </c>
      <c r="BN225" s="126">
        <v>0</v>
      </c>
      <c r="BO225" s="126">
        <v>0</v>
      </c>
      <c r="BP225" s="126">
        <v>0</v>
      </c>
    </row>
    <row r="226" spans="1:68" s="273" customFormat="1" ht="25.5" hidden="1">
      <c r="A226" s="511"/>
      <c r="B226" s="105" t="s">
        <v>337</v>
      </c>
      <c r="C226" s="107"/>
      <c r="D226" s="107"/>
      <c r="E226" s="107"/>
      <c r="F226" s="107"/>
      <c r="G226" s="107"/>
      <c r="H226" s="107"/>
      <c r="I226" s="95"/>
      <c r="J226" s="455"/>
      <c r="K226" s="99"/>
      <c r="L226" s="99"/>
      <c r="M226" s="275"/>
      <c r="N226" s="275"/>
      <c r="O226" s="275"/>
      <c r="P226" s="275"/>
      <c r="Q226" s="275">
        <f>S226</f>
        <v>165.78200000000001</v>
      </c>
      <c r="R226" s="275">
        <f>S226</f>
        <v>165.78200000000001</v>
      </c>
      <c r="S226" s="275">
        <v>165.78200000000001</v>
      </c>
      <c r="T226" s="275"/>
      <c r="U226" s="275"/>
      <c r="V226" s="275"/>
      <c r="W226" s="275"/>
      <c r="X226" s="275"/>
      <c r="Y226" s="275"/>
      <c r="Z226" s="275">
        <f>AB226</f>
        <v>165.78200000000001</v>
      </c>
      <c r="AA226" s="275">
        <v>0</v>
      </c>
      <c r="AB226" s="275">
        <v>165.78200000000001</v>
      </c>
      <c r="AC226" s="275"/>
      <c r="AD226" s="275"/>
      <c r="AE226" s="275"/>
      <c r="AF226" s="275"/>
      <c r="AG226" s="275"/>
      <c r="AH226" s="275"/>
      <c r="AI226" s="275"/>
      <c r="AJ226" s="99"/>
      <c r="AK226" s="99"/>
      <c r="AL226" s="99"/>
      <c r="AM226" s="275"/>
      <c r="AN226" s="275"/>
      <c r="AO226" s="426"/>
      <c r="AP226" s="12"/>
      <c r="AQ226" s="12"/>
      <c r="AR226" s="12"/>
      <c r="AS226" s="12"/>
      <c r="AT226" s="12"/>
      <c r="AU226" s="12"/>
      <c r="AV226" s="12"/>
      <c r="AW226" s="100"/>
      <c r="AX226" s="100"/>
      <c r="AY226" s="12"/>
      <c r="AZ226" s="12"/>
      <c r="BA226" s="12"/>
      <c r="BB226" s="12"/>
      <c r="BC226" s="12"/>
      <c r="BD226" s="12"/>
      <c r="BE226" s="12"/>
      <c r="BF226" s="12"/>
      <c r="BG226" s="12"/>
      <c r="BH226" s="312"/>
      <c r="BI226" s="125">
        <v>0</v>
      </c>
      <c r="BJ226" s="126">
        <v>0</v>
      </c>
      <c r="BK226" s="126">
        <v>0</v>
      </c>
      <c r="BL226" s="126">
        <v>0</v>
      </c>
      <c r="BM226" s="125">
        <v>0</v>
      </c>
      <c r="BN226" s="126">
        <v>0</v>
      </c>
      <c r="BO226" s="126">
        <v>0</v>
      </c>
      <c r="BP226" s="126">
        <v>0</v>
      </c>
    </row>
    <row r="227" spans="1:68" s="292" customFormat="1" ht="15.75">
      <c r="A227" s="716"/>
      <c r="B227" s="47" t="s">
        <v>15</v>
      </c>
      <c r="C227" s="725"/>
      <c r="D227" s="725"/>
      <c r="E227" s="725"/>
      <c r="F227" s="725"/>
      <c r="G227" s="725"/>
      <c r="H227" s="725"/>
      <c r="I227" s="830" t="s">
        <v>10</v>
      </c>
      <c r="J227" s="476"/>
      <c r="K227" s="47"/>
      <c r="L227" s="47">
        <v>2500</v>
      </c>
      <c r="M227" s="4"/>
      <c r="N227" s="4">
        <v>2500</v>
      </c>
      <c r="O227" s="4">
        <v>2500</v>
      </c>
      <c r="P227" s="4">
        <v>0</v>
      </c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7"/>
      <c r="AK227" s="47"/>
      <c r="AL227" s="47"/>
      <c r="AM227" s="4"/>
      <c r="AN227" s="4"/>
      <c r="AO227" s="425"/>
      <c r="AP227" s="12"/>
      <c r="AQ227" s="12"/>
      <c r="AR227" s="12"/>
      <c r="AS227" s="12"/>
      <c r="AT227" s="12"/>
      <c r="AU227" s="12"/>
      <c r="AV227" s="12"/>
      <c r="AW227" s="100"/>
      <c r="AX227" s="100"/>
      <c r="AY227" s="12"/>
      <c r="AZ227" s="12"/>
      <c r="BA227" s="12"/>
      <c r="BB227" s="12"/>
      <c r="BC227" s="12"/>
      <c r="BD227" s="12"/>
      <c r="BE227" s="12"/>
      <c r="BF227" s="12"/>
      <c r="BG227" s="12"/>
      <c r="BH227" s="312"/>
      <c r="BI227" s="125">
        <v>0</v>
      </c>
      <c r="BJ227" s="126">
        <v>0</v>
      </c>
      <c r="BK227" s="126">
        <v>0</v>
      </c>
      <c r="BL227" s="126">
        <v>0</v>
      </c>
      <c r="BM227" s="125">
        <v>0</v>
      </c>
      <c r="BN227" s="126">
        <v>0</v>
      </c>
      <c r="BO227" s="126">
        <v>0</v>
      </c>
      <c r="BP227" s="126">
        <v>0</v>
      </c>
    </row>
    <row r="228" spans="1:68" s="292" customFormat="1" ht="15.75">
      <c r="A228" s="716"/>
      <c r="B228" s="1" t="s">
        <v>16</v>
      </c>
      <c r="C228" s="725"/>
      <c r="D228" s="725"/>
      <c r="E228" s="725"/>
      <c r="F228" s="725"/>
      <c r="G228" s="725"/>
      <c r="H228" s="725"/>
      <c r="I228" s="991"/>
      <c r="J228" s="476"/>
      <c r="K228" s="47"/>
      <c r="L228" s="47">
        <v>31392.57</v>
      </c>
      <c r="M228" s="47">
        <v>31392.57</v>
      </c>
      <c r="N228" s="47">
        <v>31392.57</v>
      </c>
      <c r="O228" s="47">
        <v>31392.57</v>
      </c>
      <c r="P228" s="47">
        <v>0</v>
      </c>
      <c r="Q228" s="4">
        <f t="shared" ref="Q228:Y228" si="346">Q229</f>
        <v>34412.766000000003</v>
      </c>
      <c r="R228" s="4">
        <f t="shared" si="346"/>
        <v>0</v>
      </c>
      <c r="S228" s="4">
        <f t="shared" si="346"/>
        <v>0</v>
      </c>
      <c r="T228" s="4">
        <f t="shared" si="346"/>
        <v>0</v>
      </c>
      <c r="U228" s="4">
        <f t="shared" si="346"/>
        <v>0</v>
      </c>
      <c r="V228" s="4">
        <f t="shared" si="346"/>
        <v>34412.766000000003</v>
      </c>
      <c r="W228" s="4">
        <f t="shared" si="346"/>
        <v>34412.766000000003</v>
      </c>
      <c r="X228" s="4">
        <f t="shared" si="346"/>
        <v>0</v>
      </c>
      <c r="Y228" s="4">
        <f t="shared" si="346"/>
        <v>0</v>
      </c>
      <c r="Z228" s="4">
        <f>Z229</f>
        <v>41811.565600000002</v>
      </c>
      <c r="AA228" s="4">
        <f t="shared" ref="AA228:AH228" si="347">AA229</f>
        <v>0</v>
      </c>
      <c r="AB228" s="4">
        <f t="shared" si="347"/>
        <v>17976.718000000001</v>
      </c>
      <c r="AC228" s="4">
        <f t="shared" si="347"/>
        <v>23834.847600000001</v>
      </c>
      <c r="AD228" s="4">
        <f t="shared" si="347"/>
        <v>0</v>
      </c>
      <c r="AE228" s="4">
        <f t="shared" si="347"/>
        <v>0</v>
      </c>
      <c r="AF228" s="4">
        <f t="shared" si="347"/>
        <v>0</v>
      </c>
      <c r="AG228" s="4">
        <f t="shared" si="347"/>
        <v>0</v>
      </c>
      <c r="AH228" s="4">
        <f t="shared" si="347"/>
        <v>0</v>
      </c>
      <c r="AI228" s="4"/>
      <c r="AJ228" s="47"/>
      <c r="AK228" s="47"/>
      <c r="AL228" s="47"/>
      <c r="AM228" s="4"/>
      <c r="AN228" s="4"/>
      <c r="AO228" s="425"/>
      <c r="AP228" s="12"/>
      <c r="AQ228" s="12"/>
      <c r="AR228" s="12"/>
      <c r="AS228" s="12"/>
      <c r="AT228" s="12"/>
      <c r="AU228" s="12"/>
      <c r="AV228" s="12"/>
      <c r="AW228" s="100"/>
      <c r="AX228" s="100"/>
      <c r="AY228" s="12"/>
      <c r="AZ228" s="12"/>
      <c r="BA228" s="12"/>
      <c r="BB228" s="12"/>
      <c r="BC228" s="12"/>
      <c r="BD228" s="12"/>
      <c r="BE228" s="12"/>
      <c r="BF228" s="12"/>
      <c r="BG228" s="12"/>
      <c r="BH228" s="312"/>
      <c r="BI228" s="125">
        <v>0</v>
      </c>
      <c r="BJ228" s="126">
        <v>0</v>
      </c>
      <c r="BK228" s="126">
        <v>0</v>
      </c>
      <c r="BL228" s="126">
        <v>0</v>
      </c>
      <c r="BM228" s="125">
        <v>0</v>
      </c>
      <c r="BN228" s="126">
        <v>0</v>
      </c>
      <c r="BO228" s="126">
        <v>0</v>
      </c>
      <c r="BP228" s="126">
        <v>0</v>
      </c>
    </row>
    <row r="229" spans="1:68" s="273" customFormat="1" ht="25.5" hidden="1">
      <c r="A229" s="511"/>
      <c r="B229" s="105" t="s">
        <v>354</v>
      </c>
      <c r="C229" s="107"/>
      <c r="D229" s="107"/>
      <c r="E229" s="107"/>
      <c r="F229" s="107"/>
      <c r="G229" s="107"/>
      <c r="H229" s="107"/>
      <c r="I229" s="992"/>
      <c r="J229" s="455"/>
      <c r="K229" s="99"/>
      <c r="L229" s="99"/>
      <c r="M229" s="275"/>
      <c r="N229" s="275"/>
      <c r="O229" s="275"/>
      <c r="P229" s="275"/>
      <c r="Q229" s="275">
        <f>W229</f>
        <v>34412.766000000003</v>
      </c>
      <c r="R229" s="275"/>
      <c r="S229" s="275"/>
      <c r="T229" s="275"/>
      <c r="U229" s="275"/>
      <c r="V229" s="275">
        <f>W229</f>
        <v>34412.766000000003</v>
      </c>
      <c r="W229" s="275">
        <v>34412.766000000003</v>
      </c>
      <c r="X229" s="275"/>
      <c r="Y229" s="275"/>
      <c r="Z229" s="275">
        <f>AB229+AC229</f>
        <v>41811.565600000002</v>
      </c>
      <c r="AA229" s="275"/>
      <c r="AB229" s="275">
        <v>17976.718000000001</v>
      </c>
      <c r="AC229" s="275">
        <v>23834.847600000001</v>
      </c>
      <c r="AD229" s="275"/>
      <c r="AE229" s="275"/>
      <c r="AF229" s="275"/>
      <c r="AG229" s="275"/>
      <c r="AH229" s="275"/>
      <c r="AI229" s="275"/>
      <c r="AJ229" s="99"/>
      <c r="AK229" s="99"/>
      <c r="AL229" s="99"/>
      <c r="AM229" s="275"/>
      <c r="AN229" s="275"/>
      <c r="AO229" s="426"/>
      <c r="AP229" s="12"/>
      <c r="AQ229" s="12"/>
      <c r="AR229" s="12"/>
      <c r="AS229" s="12"/>
      <c r="AT229" s="12"/>
      <c r="AU229" s="12"/>
      <c r="AV229" s="12"/>
      <c r="AW229" s="100"/>
      <c r="AX229" s="100"/>
      <c r="AY229" s="12"/>
      <c r="AZ229" s="12"/>
      <c r="BA229" s="12"/>
      <c r="BB229" s="12"/>
      <c r="BC229" s="12"/>
      <c r="BD229" s="12"/>
      <c r="BE229" s="12"/>
      <c r="BF229" s="12"/>
      <c r="BG229" s="12"/>
      <c r="BH229" s="312"/>
      <c r="BI229" s="114"/>
      <c r="BJ229" s="114"/>
      <c r="BK229" s="114"/>
      <c r="BL229" s="114"/>
      <c r="BM229"/>
      <c r="BN229"/>
      <c r="BO229"/>
      <c r="BP229"/>
    </row>
    <row r="230" spans="1:68" ht="39.75" customHeight="1">
      <c r="A230" s="803" t="s">
        <v>194</v>
      </c>
      <c r="B230" s="80" t="s">
        <v>367</v>
      </c>
      <c r="C230" s="823">
        <v>500</v>
      </c>
      <c r="D230" s="823" t="s">
        <v>43</v>
      </c>
      <c r="E230" s="823">
        <v>850</v>
      </c>
      <c r="F230" s="824">
        <v>20400</v>
      </c>
      <c r="G230" s="52"/>
      <c r="H230" s="52"/>
      <c r="I230" s="820" t="s">
        <v>20</v>
      </c>
      <c r="J230" s="912">
        <v>6942.46</v>
      </c>
      <c r="K230" s="3">
        <v>0</v>
      </c>
      <c r="L230" s="82">
        <f>L231</f>
        <v>6462.97</v>
      </c>
      <c r="M230" s="79">
        <f>M231</f>
        <v>0</v>
      </c>
      <c r="N230" s="79">
        <f t="shared" ref="N230:O230" si="348">N231</f>
        <v>0</v>
      </c>
      <c r="O230" s="79">
        <f t="shared" si="348"/>
        <v>6942.46</v>
      </c>
      <c r="P230" s="79">
        <f>P231</f>
        <v>7755.5640000000003</v>
      </c>
      <c r="Q230" s="79">
        <v>0</v>
      </c>
      <c r="R230" s="79">
        <v>0</v>
      </c>
      <c r="S230" s="79">
        <v>0</v>
      </c>
      <c r="T230" s="79">
        <v>0</v>
      </c>
      <c r="U230" s="79">
        <v>0</v>
      </c>
      <c r="V230" s="79">
        <v>0</v>
      </c>
      <c r="W230" s="79">
        <v>0</v>
      </c>
      <c r="X230" s="79">
        <v>0</v>
      </c>
      <c r="Y230" s="79">
        <v>0</v>
      </c>
      <c r="Z230" s="79">
        <v>0</v>
      </c>
      <c r="AA230" s="79">
        <v>0</v>
      </c>
      <c r="AB230" s="79">
        <v>0</v>
      </c>
      <c r="AC230" s="79">
        <v>0</v>
      </c>
      <c r="AD230" s="79">
        <v>0</v>
      </c>
      <c r="AE230" s="79">
        <v>0</v>
      </c>
      <c r="AF230" s="79">
        <v>0</v>
      </c>
      <c r="AG230" s="79">
        <v>0</v>
      </c>
      <c r="AH230" s="79">
        <v>0</v>
      </c>
      <c r="AI230" s="79">
        <v>0</v>
      </c>
      <c r="AJ230" s="82">
        <f>P230-Q230</f>
        <v>7755.5640000000003</v>
      </c>
      <c r="AK230" s="82">
        <f>AJ230</f>
        <v>7755.5640000000003</v>
      </c>
      <c r="AL230" s="82">
        <v>0</v>
      </c>
      <c r="AM230" s="79">
        <v>0</v>
      </c>
      <c r="AN230" s="79">
        <v>0</v>
      </c>
      <c r="AO230" s="424"/>
      <c r="BI230" s="81">
        <f t="shared" ref="BI230:BP230" si="349">BI231+BI232</f>
        <v>0</v>
      </c>
      <c r="BJ230" s="81">
        <f t="shared" si="349"/>
        <v>0</v>
      </c>
      <c r="BK230" s="81">
        <f t="shared" si="349"/>
        <v>0</v>
      </c>
      <c r="BL230" s="81">
        <f t="shared" si="349"/>
        <v>0</v>
      </c>
      <c r="BM230" s="81">
        <f t="shared" si="349"/>
        <v>0</v>
      </c>
      <c r="BN230" s="81">
        <f t="shared" si="349"/>
        <v>0</v>
      </c>
      <c r="BO230" s="81">
        <f t="shared" si="349"/>
        <v>0</v>
      </c>
      <c r="BP230" s="81">
        <f t="shared" si="349"/>
        <v>0</v>
      </c>
    </row>
    <row r="231" spans="1:68" ht="15" customHeight="1">
      <c r="A231" s="805"/>
      <c r="B231" s="1" t="s">
        <v>15</v>
      </c>
      <c r="C231" s="823"/>
      <c r="D231" s="823"/>
      <c r="E231" s="823"/>
      <c r="F231" s="823"/>
      <c r="G231" s="725">
        <v>2021</v>
      </c>
      <c r="H231" s="725">
        <v>2021</v>
      </c>
      <c r="I231" s="821"/>
      <c r="J231" s="914"/>
      <c r="K231" s="3"/>
      <c r="L231" s="22">
        <v>6462.97</v>
      </c>
      <c r="M231" s="47">
        <v>0</v>
      </c>
      <c r="N231" s="47">
        <v>0</v>
      </c>
      <c r="O231" s="47">
        <v>6942.46</v>
      </c>
      <c r="P231" s="47">
        <f>6462.97*1.2</f>
        <v>7755.5640000000003</v>
      </c>
      <c r="Q231" s="47">
        <v>0</v>
      </c>
      <c r="R231" s="47">
        <v>0</v>
      </c>
      <c r="S231" s="47">
        <v>0</v>
      </c>
      <c r="T231" s="47">
        <v>0</v>
      </c>
      <c r="U231" s="47">
        <v>0</v>
      </c>
      <c r="V231" s="47">
        <v>0</v>
      </c>
      <c r="W231" s="47">
        <v>0</v>
      </c>
      <c r="X231" s="47">
        <v>0</v>
      </c>
      <c r="Y231" s="47">
        <v>0</v>
      </c>
      <c r="Z231" s="47">
        <v>0</v>
      </c>
      <c r="AA231" s="47">
        <v>0</v>
      </c>
      <c r="AB231" s="47">
        <v>0</v>
      </c>
      <c r="AC231" s="47">
        <v>0</v>
      </c>
      <c r="AD231" s="47">
        <v>0</v>
      </c>
      <c r="AE231" s="47">
        <v>0</v>
      </c>
      <c r="AF231" s="47">
        <v>0</v>
      </c>
      <c r="AG231" s="47">
        <v>0</v>
      </c>
      <c r="AH231" s="47">
        <v>0</v>
      </c>
      <c r="AI231" s="47">
        <v>0</v>
      </c>
      <c r="AJ231" s="47">
        <v>0</v>
      </c>
      <c r="AK231" s="47">
        <v>0</v>
      </c>
      <c r="AL231" s="47">
        <v>0</v>
      </c>
      <c r="AM231" s="47">
        <v>0</v>
      </c>
      <c r="AN231" s="47">
        <v>0</v>
      </c>
      <c r="AO231" s="427"/>
      <c r="BI231" s="125">
        <v>0</v>
      </c>
      <c r="BJ231" s="126">
        <v>0</v>
      </c>
      <c r="BK231" s="126">
        <v>0</v>
      </c>
      <c r="BL231" s="126">
        <v>0</v>
      </c>
      <c r="BM231" s="125">
        <v>0</v>
      </c>
      <c r="BN231" s="126">
        <v>0</v>
      </c>
      <c r="BO231" s="126">
        <v>0</v>
      </c>
      <c r="BP231" s="126">
        <v>0</v>
      </c>
    </row>
    <row r="232" spans="1:68" ht="78.75" customHeight="1">
      <c r="A232" s="803" t="s">
        <v>195</v>
      </c>
      <c r="B232" s="80" t="s">
        <v>368</v>
      </c>
      <c r="C232" s="824"/>
      <c r="D232" s="824"/>
      <c r="E232" s="824"/>
      <c r="F232" s="824">
        <v>80</v>
      </c>
      <c r="G232" s="52"/>
      <c r="H232" s="52"/>
      <c r="I232" s="820" t="s">
        <v>20</v>
      </c>
      <c r="J232" s="54">
        <f>L232</f>
        <v>45265.81</v>
      </c>
      <c r="K232" s="6"/>
      <c r="L232" s="82">
        <f>L233+L235</f>
        <v>45265.81</v>
      </c>
      <c r="M232" s="82">
        <f t="shared" ref="M232:P232" si="350">M233+M235</f>
        <v>33.479999999999997</v>
      </c>
      <c r="N232" s="82">
        <f t="shared" si="350"/>
        <v>7044.44</v>
      </c>
      <c r="O232" s="82">
        <f t="shared" si="350"/>
        <v>11467.37</v>
      </c>
      <c r="P232" s="82">
        <f t="shared" si="350"/>
        <v>0</v>
      </c>
      <c r="Q232" s="82">
        <f>Q233+Q235</f>
        <v>32.4</v>
      </c>
      <c r="R232" s="82">
        <f t="shared" ref="R232:AN232" si="351">R233+R235</f>
        <v>0</v>
      </c>
      <c r="S232" s="82">
        <f t="shared" si="351"/>
        <v>0</v>
      </c>
      <c r="T232" s="82">
        <f t="shared" si="351"/>
        <v>0</v>
      </c>
      <c r="U232" s="82">
        <f t="shared" si="351"/>
        <v>32.4</v>
      </c>
      <c r="V232" s="82">
        <f t="shared" si="351"/>
        <v>0</v>
      </c>
      <c r="W232" s="82">
        <f t="shared" si="351"/>
        <v>0</v>
      </c>
      <c r="X232" s="82">
        <f t="shared" si="351"/>
        <v>0</v>
      </c>
      <c r="Y232" s="82">
        <f t="shared" si="351"/>
        <v>0</v>
      </c>
      <c r="Z232" s="82">
        <f t="shared" si="351"/>
        <v>32.4</v>
      </c>
      <c r="AA232" s="82">
        <f>AA233+AA235</f>
        <v>0</v>
      </c>
      <c r="AB232" s="82">
        <f t="shared" ref="AB232:AD232" si="352">AB233+AB235</f>
        <v>0</v>
      </c>
      <c r="AC232" s="82">
        <f t="shared" si="352"/>
        <v>32.4</v>
      </c>
      <c r="AD232" s="82">
        <f t="shared" si="352"/>
        <v>0</v>
      </c>
      <c r="AE232" s="82">
        <f t="shared" si="351"/>
        <v>0</v>
      </c>
      <c r="AF232" s="82">
        <f t="shared" si="351"/>
        <v>0</v>
      </c>
      <c r="AG232" s="82">
        <f t="shared" si="351"/>
        <v>0</v>
      </c>
      <c r="AH232" s="82">
        <f t="shared" si="351"/>
        <v>0</v>
      </c>
      <c r="AI232" s="82">
        <f t="shared" si="351"/>
        <v>0</v>
      </c>
      <c r="AJ232" s="82">
        <f>P232-Q232</f>
        <v>-32.4</v>
      </c>
      <c r="AK232" s="82">
        <f>AJ232</f>
        <v>-32.4</v>
      </c>
      <c r="AL232" s="79">
        <v>0</v>
      </c>
      <c r="AM232" s="82">
        <f t="shared" si="351"/>
        <v>0</v>
      </c>
      <c r="AN232" s="82">
        <f t="shared" si="351"/>
        <v>0</v>
      </c>
      <c r="AO232" s="428"/>
      <c r="BI232" s="81">
        <f t="shared" ref="BI232:BP232" si="353">BI233+BI234</f>
        <v>0</v>
      </c>
      <c r="BJ232" s="81">
        <f t="shared" si="353"/>
        <v>0</v>
      </c>
      <c r="BK232" s="81">
        <f t="shared" si="353"/>
        <v>0</v>
      </c>
      <c r="BL232" s="81">
        <f t="shared" si="353"/>
        <v>0</v>
      </c>
      <c r="BM232" s="81">
        <f t="shared" si="353"/>
        <v>0</v>
      </c>
      <c r="BN232" s="81">
        <f t="shared" si="353"/>
        <v>0</v>
      </c>
      <c r="BO232" s="81">
        <f t="shared" si="353"/>
        <v>0</v>
      </c>
      <c r="BP232" s="81">
        <f t="shared" si="353"/>
        <v>0</v>
      </c>
    </row>
    <row r="233" spans="1:68" ht="17.25" customHeight="1">
      <c r="A233" s="804"/>
      <c r="B233" s="1" t="s">
        <v>15</v>
      </c>
      <c r="C233" s="823"/>
      <c r="D233" s="823"/>
      <c r="E233" s="823"/>
      <c r="F233" s="823"/>
      <c r="G233" s="725">
        <v>2019</v>
      </c>
      <c r="H233" s="725">
        <v>2019</v>
      </c>
      <c r="I233" s="822"/>
      <c r="J233" s="54">
        <f t="shared" ref="J233:J235" si="354">L233</f>
        <v>7077.92</v>
      </c>
      <c r="K233" s="6"/>
      <c r="L233" s="22">
        <v>7077.92</v>
      </c>
      <c r="M233" s="47">
        <v>33.479999999999997</v>
      </c>
      <c r="N233" s="47">
        <v>7044.44</v>
      </c>
      <c r="O233" s="47">
        <v>0</v>
      </c>
      <c r="P233" s="47">
        <v>0</v>
      </c>
      <c r="Q233" s="47">
        <f>SUM(Q234)</f>
        <v>32.4</v>
      </c>
      <c r="R233" s="47">
        <f t="shared" ref="R233:AG233" si="355">SUM(R234)</f>
        <v>0</v>
      </c>
      <c r="S233" s="47">
        <f t="shared" si="355"/>
        <v>0</v>
      </c>
      <c r="T233" s="47">
        <f t="shared" si="355"/>
        <v>0</v>
      </c>
      <c r="U233" s="47">
        <f t="shared" si="355"/>
        <v>32.4</v>
      </c>
      <c r="V233" s="47">
        <f t="shared" si="355"/>
        <v>0</v>
      </c>
      <c r="W233" s="47">
        <f t="shared" si="355"/>
        <v>0</v>
      </c>
      <c r="X233" s="47">
        <f t="shared" si="355"/>
        <v>0</v>
      </c>
      <c r="Y233" s="47">
        <f t="shared" si="355"/>
        <v>0</v>
      </c>
      <c r="Z233" s="47">
        <f t="shared" si="355"/>
        <v>32.4</v>
      </c>
      <c r="AA233" s="47">
        <f t="shared" si="355"/>
        <v>0</v>
      </c>
      <c r="AB233" s="47">
        <f t="shared" si="355"/>
        <v>0</v>
      </c>
      <c r="AC233" s="47">
        <f t="shared" si="355"/>
        <v>32.4</v>
      </c>
      <c r="AD233" s="47">
        <f t="shared" si="355"/>
        <v>0</v>
      </c>
      <c r="AE233" s="47">
        <f t="shared" si="355"/>
        <v>0</v>
      </c>
      <c r="AF233" s="47">
        <f t="shared" si="355"/>
        <v>0</v>
      </c>
      <c r="AG233" s="47">
        <f t="shared" si="355"/>
        <v>0</v>
      </c>
      <c r="AH233" s="47">
        <f t="shared" ref="AH233:AI233" si="356">AH234</f>
        <v>0</v>
      </c>
      <c r="AI233" s="47">
        <f t="shared" si="356"/>
        <v>0</v>
      </c>
      <c r="AJ233" s="47">
        <v>0</v>
      </c>
      <c r="AK233" s="47">
        <v>0</v>
      </c>
      <c r="AL233" s="47">
        <v>0</v>
      </c>
      <c r="AM233" s="47">
        <v>0</v>
      </c>
      <c r="AN233" s="47">
        <v>0</v>
      </c>
      <c r="AO233" s="427"/>
      <c r="BI233" s="125">
        <v>0</v>
      </c>
      <c r="BJ233" s="126">
        <v>0</v>
      </c>
      <c r="BK233" s="126">
        <v>0</v>
      </c>
      <c r="BL233" s="126">
        <v>0</v>
      </c>
      <c r="BM233" s="125">
        <v>0</v>
      </c>
      <c r="BN233" s="126">
        <v>0</v>
      </c>
      <c r="BO233" s="126">
        <v>0</v>
      </c>
      <c r="BP233" s="126">
        <v>0</v>
      </c>
    </row>
    <row r="234" spans="1:68" s="100" customFormat="1" ht="17.25" hidden="1" customHeight="1">
      <c r="A234" s="804"/>
      <c r="B234" s="105" t="s">
        <v>353</v>
      </c>
      <c r="C234" s="106"/>
      <c r="D234" s="106"/>
      <c r="E234" s="106"/>
      <c r="F234" s="106"/>
      <c r="G234" s="107"/>
      <c r="H234" s="107"/>
      <c r="I234" s="822"/>
      <c r="J234" s="108"/>
      <c r="K234" s="109"/>
      <c r="L234" s="178"/>
      <c r="M234" s="99"/>
      <c r="N234" s="99"/>
      <c r="O234" s="99"/>
      <c r="P234" s="99">
        <f>R234</f>
        <v>0</v>
      </c>
      <c r="Q234" s="99">
        <f>U234</f>
        <v>32.4</v>
      </c>
      <c r="R234" s="99">
        <v>0</v>
      </c>
      <c r="S234" s="99">
        <v>0</v>
      </c>
      <c r="T234" s="99"/>
      <c r="U234" s="99">
        <v>32.4</v>
      </c>
      <c r="V234" s="99"/>
      <c r="W234" s="99"/>
      <c r="X234" s="99"/>
      <c r="Y234" s="99"/>
      <c r="Z234" s="99">
        <f>AC234</f>
        <v>32.4</v>
      </c>
      <c r="AA234" s="99">
        <v>0</v>
      </c>
      <c r="AB234" s="99"/>
      <c r="AC234" s="99">
        <v>32.4</v>
      </c>
      <c r="AD234" s="99"/>
      <c r="AE234" s="99">
        <f>SUM(AF234:AF234)</f>
        <v>0</v>
      </c>
      <c r="AF234" s="99"/>
      <c r="AG234" s="99"/>
      <c r="AH234" s="99"/>
      <c r="AI234" s="99"/>
      <c r="AJ234" s="99"/>
      <c r="AK234" s="99"/>
      <c r="AL234" s="99"/>
      <c r="AM234" s="99"/>
      <c r="AN234" s="99"/>
      <c r="AO234" s="429"/>
      <c r="AP234" s="12"/>
      <c r="AQ234" s="12"/>
      <c r="AR234" s="12"/>
      <c r="AS234" s="12"/>
      <c r="AT234" s="12"/>
      <c r="AU234" s="12"/>
      <c r="AV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312"/>
      <c r="BI234" s="125">
        <v>0</v>
      </c>
      <c r="BJ234" s="126">
        <v>0</v>
      </c>
      <c r="BK234" s="126">
        <v>0</v>
      </c>
      <c r="BL234" s="126">
        <v>0</v>
      </c>
      <c r="BM234" s="125">
        <v>0</v>
      </c>
      <c r="BN234" s="126">
        <v>0</v>
      </c>
      <c r="BO234" s="126">
        <v>0</v>
      </c>
      <c r="BP234" s="126">
        <v>0</v>
      </c>
    </row>
    <row r="235" spans="1:68" ht="17.25" customHeight="1">
      <c r="A235" s="805"/>
      <c r="B235" s="1" t="s">
        <v>16</v>
      </c>
      <c r="C235" s="700"/>
      <c r="D235" s="700"/>
      <c r="E235" s="700"/>
      <c r="F235" s="700"/>
      <c r="G235" s="725">
        <v>2020</v>
      </c>
      <c r="H235" s="725">
        <v>2021</v>
      </c>
      <c r="I235" s="821"/>
      <c r="J235" s="54">
        <f t="shared" si="354"/>
        <v>38187.89</v>
      </c>
      <c r="K235" s="6"/>
      <c r="L235" s="22">
        <v>38187.89</v>
      </c>
      <c r="M235" s="47">
        <v>0</v>
      </c>
      <c r="N235" s="47">
        <v>0</v>
      </c>
      <c r="O235" s="47">
        <v>11467.37</v>
      </c>
      <c r="P235" s="47">
        <v>0</v>
      </c>
      <c r="Q235" s="47">
        <v>0</v>
      </c>
      <c r="R235" s="47">
        <v>0</v>
      </c>
      <c r="S235" s="47">
        <v>0</v>
      </c>
      <c r="T235" s="47">
        <v>0</v>
      </c>
      <c r="U235" s="47">
        <v>0</v>
      </c>
      <c r="V235" s="47">
        <v>0</v>
      </c>
      <c r="W235" s="47">
        <v>0</v>
      </c>
      <c r="X235" s="47">
        <v>0</v>
      </c>
      <c r="Y235" s="47">
        <v>0</v>
      </c>
      <c r="Z235" s="47">
        <v>0</v>
      </c>
      <c r="AA235" s="47">
        <v>0</v>
      </c>
      <c r="AB235" s="47">
        <v>0</v>
      </c>
      <c r="AC235" s="47">
        <v>0</v>
      </c>
      <c r="AD235" s="47">
        <v>0</v>
      </c>
      <c r="AE235" s="47">
        <v>0</v>
      </c>
      <c r="AF235" s="47">
        <v>0</v>
      </c>
      <c r="AG235" s="47">
        <v>0</v>
      </c>
      <c r="AH235" s="47">
        <v>0</v>
      </c>
      <c r="AI235" s="47">
        <v>0</v>
      </c>
      <c r="AJ235" s="47">
        <v>0</v>
      </c>
      <c r="AK235" s="47">
        <v>0</v>
      </c>
      <c r="AL235" s="47">
        <v>0</v>
      </c>
      <c r="AM235" s="47">
        <v>0</v>
      </c>
      <c r="AN235" s="47">
        <v>0</v>
      </c>
      <c r="AO235" s="427"/>
      <c r="BI235" s="125">
        <v>0</v>
      </c>
      <c r="BJ235" s="126">
        <v>0</v>
      </c>
      <c r="BK235" s="126">
        <v>0</v>
      </c>
      <c r="BL235" s="126">
        <v>0</v>
      </c>
      <c r="BM235" s="125">
        <v>0</v>
      </c>
      <c r="BN235" s="126">
        <v>0</v>
      </c>
      <c r="BO235" s="126">
        <v>0</v>
      </c>
      <c r="BP235" s="126">
        <v>0</v>
      </c>
    </row>
    <row r="236" spans="1:68" ht="94.5" customHeight="1">
      <c r="A236" s="803" t="s">
        <v>197</v>
      </c>
      <c r="B236" s="83" t="s">
        <v>171</v>
      </c>
      <c r="C236" s="824"/>
      <c r="D236" s="824"/>
      <c r="E236" s="824"/>
      <c r="F236" s="824">
        <v>80</v>
      </c>
      <c r="G236" s="52"/>
      <c r="H236" s="52"/>
      <c r="I236" s="820" t="s">
        <v>20</v>
      </c>
      <c r="J236" s="54">
        <f>L236</f>
        <v>94875.549999999988</v>
      </c>
      <c r="K236" s="6"/>
      <c r="L236" s="82">
        <f>L237+L240</f>
        <v>94875.549999999988</v>
      </c>
      <c r="M236" s="82">
        <f t="shared" ref="M236:P236" si="357">M237+M240</f>
        <v>2761.44</v>
      </c>
      <c r="N236" s="82">
        <f t="shared" si="357"/>
        <v>9629.68</v>
      </c>
      <c r="O236" s="82">
        <f t="shared" si="357"/>
        <v>22469.279999999999</v>
      </c>
      <c r="P236" s="82">
        <f t="shared" si="357"/>
        <v>3127.1879999999996</v>
      </c>
      <c r="Q236" s="82">
        <f>Q237+Q240</f>
        <v>1822.3920000000001</v>
      </c>
      <c r="R236" s="82">
        <f t="shared" ref="R236:Y236" si="358">R237+R240</f>
        <v>775.23199999999997</v>
      </c>
      <c r="S236" s="82">
        <f t="shared" si="358"/>
        <v>775.23199999999997</v>
      </c>
      <c r="T236" s="82">
        <f t="shared" si="358"/>
        <v>1047.1600000000001</v>
      </c>
      <c r="U236" s="82">
        <f t="shared" si="358"/>
        <v>1047.1600000000001</v>
      </c>
      <c r="V236" s="82">
        <f t="shared" si="358"/>
        <v>0</v>
      </c>
      <c r="W236" s="82">
        <f t="shared" si="358"/>
        <v>0</v>
      </c>
      <c r="X236" s="82">
        <f t="shared" si="358"/>
        <v>0</v>
      </c>
      <c r="Y236" s="82">
        <f t="shared" si="358"/>
        <v>0</v>
      </c>
      <c r="Z236" s="82">
        <f>Z237+Z240</f>
        <v>0</v>
      </c>
      <c r="AA236" s="82">
        <f>AA237+AA240</f>
        <v>0</v>
      </c>
      <c r="AB236" s="82">
        <f t="shared" ref="AB236:AI236" si="359">AB237+AB240</f>
        <v>0</v>
      </c>
      <c r="AC236" s="82">
        <f t="shared" si="359"/>
        <v>0</v>
      </c>
      <c r="AD236" s="82">
        <f t="shared" si="359"/>
        <v>0</v>
      </c>
      <c r="AE236" s="82">
        <f t="shared" si="359"/>
        <v>0</v>
      </c>
      <c r="AF236" s="82">
        <f t="shared" si="359"/>
        <v>0</v>
      </c>
      <c r="AG236" s="82">
        <f t="shared" si="359"/>
        <v>0</v>
      </c>
      <c r="AH236" s="82">
        <f t="shared" si="359"/>
        <v>0</v>
      </c>
      <c r="AI236" s="82">
        <f t="shared" si="359"/>
        <v>0</v>
      </c>
      <c r="AJ236" s="82">
        <f>P236-Q236</f>
        <v>1304.7959999999996</v>
      </c>
      <c r="AK236" s="82">
        <f>AJ236</f>
        <v>1304.7959999999996</v>
      </c>
      <c r="AL236" s="82">
        <f>ROUND((Q236*100%/P236*100),2)</f>
        <v>58.28</v>
      </c>
      <c r="AM236" s="82">
        <f t="shared" ref="AM236:AN236" si="360">AM237+AM240</f>
        <v>0</v>
      </c>
      <c r="AN236" s="82">
        <f t="shared" si="360"/>
        <v>0</v>
      </c>
      <c r="AO236" s="411" t="s">
        <v>264</v>
      </c>
      <c r="BI236" s="81">
        <f t="shared" ref="BI236:BP236" si="361">BI237+BI238</f>
        <v>0</v>
      </c>
      <c r="BJ236" s="81">
        <f t="shared" si="361"/>
        <v>0</v>
      </c>
      <c r="BK236" s="81">
        <f t="shared" si="361"/>
        <v>0</v>
      </c>
      <c r="BL236" s="81">
        <f t="shared" si="361"/>
        <v>0</v>
      </c>
      <c r="BM236" s="81">
        <f t="shared" si="361"/>
        <v>0</v>
      </c>
      <c r="BN236" s="81">
        <f t="shared" si="361"/>
        <v>0</v>
      </c>
      <c r="BO236" s="81">
        <f t="shared" si="361"/>
        <v>0</v>
      </c>
      <c r="BP236" s="81">
        <f t="shared" si="361"/>
        <v>0</v>
      </c>
    </row>
    <row r="237" spans="1:68" s="292" customFormat="1" ht="16.5" customHeight="1">
      <c r="A237" s="804"/>
      <c r="B237" s="42" t="s">
        <v>15</v>
      </c>
      <c r="C237" s="823"/>
      <c r="D237" s="823"/>
      <c r="E237" s="823"/>
      <c r="F237" s="823"/>
      <c r="G237" s="320"/>
      <c r="H237" s="321"/>
      <c r="I237" s="822"/>
      <c r="J237" s="75"/>
      <c r="K237" s="47"/>
      <c r="L237" s="47">
        <v>5734.87</v>
      </c>
      <c r="M237" s="47">
        <v>2761.44</v>
      </c>
      <c r="N237" s="47">
        <v>105.99</v>
      </c>
      <c r="O237" s="47">
        <v>0</v>
      </c>
      <c r="P237" s="47">
        <v>0</v>
      </c>
      <c r="Q237" s="47">
        <f>SUM(Q238:Q240)</f>
        <v>1822.3920000000001</v>
      </c>
      <c r="R237" s="47">
        <f t="shared" ref="R237:W237" si="362">SUM(R238:R240)</f>
        <v>775.23199999999997</v>
      </c>
      <c r="S237" s="47">
        <f t="shared" si="362"/>
        <v>775.23199999999997</v>
      </c>
      <c r="T237" s="47">
        <f t="shared" si="362"/>
        <v>1047.1600000000001</v>
      </c>
      <c r="U237" s="47">
        <f t="shared" si="362"/>
        <v>1047.1600000000001</v>
      </c>
      <c r="V237" s="47">
        <f t="shared" si="362"/>
        <v>0</v>
      </c>
      <c r="W237" s="47">
        <f t="shared" si="362"/>
        <v>0</v>
      </c>
      <c r="X237" s="22">
        <v>0</v>
      </c>
      <c r="Y237" s="47">
        <f t="shared" ref="Y237:AD237" si="363">SUM(Y238:Y240)</f>
        <v>0</v>
      </c>
      <c r="Z237" s="47">
        <f t="shared" si="363"/>
        <v>0</v>
      </c>
      <c r="AA237" s="47">
        <f t="shared" si="363"/>
        <v>0</v>
      </c>
      <c r="AB237" s="47">
        <f t="shared" si="363"/>
        <v>0</v>
      </c>
      <c r="AC237" s="47">
        <f t="shared" si="363"/>
        <v>0</v>
      </c>
      <c r="AD237" s="47">
        <f t="shared" si="363"/>
        <v>0</v>
      </c>
      <c r="AE237" s="47">
        <f>SUM(AE238)</f>
        <v>0</v>
      </c>
      <c r="AF237" s="47">
        <f t="shared" ref="AF237:AI237" si="364">SUM(AF238)</f>
        <v>0</v>
      </c>
      <c r="AG237" s="47">
        <f t="shared" si="364"/>
        <v>0</v>
      </c>
      <c r="AH237" s="47">
        <f t="shared" si="364"/>
        <v>0</v>
      </c>
      <c r="AI237" s="47">
        <f t="shared" si="364"/>
        <v>0</v>
      </c>
      <c r="AJ237" s="47">
        <v>0</v>
      </c>
      <c r="AK237" s="47">
        <v>0</v>
      </c>
      <c r="AL237" s="47">
        <v>0</v>
      </c>
      <c r="AM237" s="47">
        <v>0</v>
      </c>
      <c r="AN237" s="47">
        <v>0</v>
      </c>
      <c r="AO237" s="403"/>
      <c r="AP237" s="12"/>
      <c r="AQ237" s="12"/>
      <c r="AR237" s="12"/>
      <c r="AS237" s="12"/>
      <c r="AT237" s="12"/>
      <c r="AU237" s="12"/>
      <c r="AV237" s="12"/>
      <c r="AW237" s="100"/>
      <c r="AX237" s="100"/>
      <c r="AY237" s="12"/>
      <c r="AZ237" s="12"/>
      <c r="BA237" s="12"/>
      <c r="BB237" s="12"/>
      <c r="BC237" s="12"/>
      <c r="BD237" s="12"/>
      <c r="BE237" s="12"/>
      <c r="BF237" s="12"/>
      <c r="BG237" s="12"/>
      <c r="BH237" s="312"/>
      <c r="BI237" s="125">
        <v>0</v>
      </c>
      <c r="BJ237" s="126">
        <v>0</v>
      </c>
      <c r="BK237" s="126">
        <v>0</v>
      </c>
      <c r="BL237" s="126">
        <v>0</v>
      </c>
      <c r="BM237" s="125">
        <v>0</v>
      </c>
      <c r="BN237" s="126">
        <v>0</v>
      </c>
      <c r="BO237" s="126">
        <v>0</v>
      </c>
      <c r="BP237" s="126">
        <v>0</v>
      </c>
    </row>
    <row r="238" spans="1:68" s="273" customFormat="1" ht="16.5" hidden="1" customHeight="1">
      <c r="A238" s="804"/>
      <c r="B238" s="257" t="s">
        <v>233</v>
      </c>
      <c r="C238" s="371"/>
      <c r="D238" s="371"/>
      <c r="E238" s="371"/>
      <c r="F238" s="371"/>
      <c r="G238" s="371"/>
      <c r="H238" s="372"/>
      <c r="I238" s="822"/>
      <c r="J238" s="263"/>
      <c r="K238" s="99"/>
      <c r="L238" s="99"/>
      <c r="M238" s="99"/>
      <c r="N238" s="99"/>
      <c r="O238" s="99"/>
      <c r="P238" s="47"/>
      <c r="Q238" s="99">
        <f>S238+U238</f>
        <v>1822.3920000000001</v>
      </c>
      <c r="R238" s="99">
        <f>S238</f>
        <v>775.23199999999997</v>
      </c>
      <c r="S238" s="99">
        <v>775.23199999999997</v>
      </c>
      <c r="T238" s="99">
        <f>U238</f>
        <v>1047.1600000000001</v>
      </c>
      <c r="U238" s="99">
        <v>1047.1600000000001</v>
      </c>
      <c r="V238" s="99"/>
      <c r="W238" s="99"/>
      <c r="X238" s="99">
        <v>0</v>
      </c>
      <c r="Y238" s="99">
        <v>0</v>
      </c>
      <c r="Z238" s="99">
        <v>0</v>
      </c>
      <c r="AA238" s="99">
        <v>0</v>
      </c>
      <c r="AB238" s="99"/>
      <c r="AC238" s="99"/>
      <c r="AD238" s="99">
        <v>0</v>
      </c>
      <c r="AE238" s="99">
        <f>SUM(AF238:AF238)</f>
        <v>0</v>
      </c>
      <c r="AF238" s="99"/>
      <c r="AG238" s="99"/>
      <c r="AH238" s="99"/>
      <c r="AI238" s="99"/>
      <c r="AJ238" s="99">
        <v>0</v>
      </c>
      <c r="AK238" s="99">
        <v>0</v>
      </c>
      <c r="AL238" s="99">
        <v>0</v>
      </c>
      <c r="AM238" s="99">
        <v>0</v>
      </c>
      <c r="AN238" s="99">
        <v>0</v>
      </c>
      <c r="AO238" s="412"/>
      <c r="AP238" s="12"/>
      <c r="AQ238" s="12"/>
      <c r="AR238" s="12"/>
      <c r="AS238" s="12"/>
      <c r="AT238" s="12"/>
      <c r="AU238" s="12"/>
      <c r="AV238" s="12"/>
      <c r="AW238" s="100"/>
      <c r="AX238" s="100"/>
      <c r="AY238" s="12"/>
      <c r="AZ238" s="12"/>
      <c r="BA238" s="12"/>
      <c r="BB238" s="12"/>
      <c r="BC238" s="12"/>
      <c r="BD238" s="12"/>
      <c r="BE238" s="12"/>
      <c r="BF238" s="12"/>
      <c r="BG238" s="12"/>
      <c r="BH238" s="312"/>
      <c r="BI238" s="125">
        <v>0</v>
      </c>
      <c r="BJ238" s="126">
        <v>0</v>
      </c>
      <c r="BK238" s="126">
        <v>0</v>
      </c>
      <c r="BL238" s="126">
        <v>0</v>
      </c>
      <c r="BM238" s="125">
        <v>0</v>
      </c>
      <c r="BN238" s="126">
        <v>0</v>
      </c>
      <c r="BO238" s="126">
        <v>0</v>
      </c>
      <c r="BP238" s="126">
        <v>0</v>
      </c>
    </row>
    <row r="239" spans="1:68" s="273" customFormat="1" ht="16.5" hidden="1" customHeight="1">
      <c r="A239" s="804"/>
      <c r="B239" s="257" t="s">
        <v>275</v>
      </c>
      <c r="C239" s="371"/>
      <c r="D239" s="371"/>
      <c r="E239" s="371"/>
      <c r="F239" s="371"/>
      <c r="G239" s="371"/>
      <c r="H239" s="372"/>
      <c r="I239" s="822"/>
      <c r="J239" s="263"/>
      <c r="K239" s="99"/>
      <c r="L239" s="99"/>
      <c r="M239" s="99"/>
      <c r="N239" s="99"/>
      <c r="O239" s="99"/>
      <c r="P239" s="99">
        <f>R239+T239</f>
        <v>0</v>
      </c>
      <c r="Q239" s="99">
        <f>S239+U239</f>
        <v>0</v>
      </c>
      <c r="R239" s="99">
        <v>0</v>
      </c>
      <c r="S239" s="99">
        <v>0</v>
      </c>
      <c r="T239" s="99">
        <f>U239</f>
        <v>0</v>
      </c>
      <c r="U239" s="99">
        <v>0</v>
      </c>
      <c r="V239" s="99"/>
      <c r="W239" s="99"/>
      <c r="X239" s="99"/>
      <c r="Y239" s="99"/>
      <c r="Z239" s="99">
        <f>SUM(AA239:AC239)</f>
        <v>0</v>
      </c>
      <c r="AA239" s="99"/>
      <c r="AB239" s="99">
        <v>0</v>
      </c>
      <c r="AC239" s="99">
        <v>0</v>
      </c>
      <c r="AD239" s="99"/>
      <c r="AE239" s="99"/>
      <c r="AF239" s="99"/>
      <c r="AG239" s="99"/>
      <c r="AH239" s="99"/>
      <c r="AI239" s="99"/>
      <c r="AJ239" s="99"/>
      <c r="AK239" s="99"/>
      <c r="AL239" s="99"/>
      <c r="AM239" s="99"/>
      <c r="AN239" s="99"/>
      <c r="AO239" s="412"/>
      <c r="AP239" s="12"/>
      <c r="AQ239" s="12"/>
      <c r="AR239" s="12"/>
      <c r="AS239" s="12"/>
      <c r="AT239" s="12"/>
      <c r="AU239" s="12"/>
      <c r="AV239" s="12"/>
      <c r="AW239" s="100"/>
      <c r="AX239" s="100"/>
      <c r="AY239" s="12"/>
      <c r="AZ239" s="12"/>
      <c r="BA239" s="12"/>
      <c r="BB239" s="12"/>
      <c r="BC239" s="12"/>
      <c r="BD239" s="12"/>
      <c r="BE239" s="12"/>
      <c r="BF239" s="12"/>
      <c r="BG239" s="12"/>
      <c r="BH239" s="312"/>
      <c r="BI239" s="125">
        <v>0</v>
      </c>
      <c r="BJ239" s="126">
        <v>0</v>
      </c>
      <c r="BK239" s="126">
        <v>0</v>
      </c>
      <c r="BL239" s="126">
        <v>0</v>
      </c>
      <c r="BM239" s="125">
        <v>0</v>
      </c>
      <c r="BN239" s="126">
        <v>0</v>
      </c>
      <c r="BO239" s="126">
        <v>0</v>
      </c>
      <c r="BP239" s="126">
        <v>0</v>
      </c>
    </row>
    <row r="240" spans="1:68" ht="17.25" customHeight="1">
      <c r="A240" s="805"/>
      <c r="B240" s="1" t="s">
        <v>16</v>
      </c>
      <c r="C240" s="700"/>
      <c r="D240" s="700"/>
      <c r="E240" s="700"/>
      <c r="F240" s="700"/>
      <c r="G240" s="725">
        <v>2020</v>
      </c>
      <c r="H240" s="725">
        <v>2021</v>
      </c>
      <c r="I240" s="821"/>
      <c r="J240" s="54">
        <f t="shared" ref="J240" si="365">L240</f>
        <v>89140.68</v>
      </c>
      <c r="K240" s="6"/>
      <c r="L240" s="47">
        <v>89140.68</v>
      </c>
      <c r="M240" s="47">
        <v>0</v>
      </c>
      <c r="N240" s="47">
        <v>9523.69</v>
      </c>
      <c r="O240" s="47">
        <v>22469.279999999999</v>
      </c>
      <c r="P240" s="47">
        <f>2605.99*1.2</f>
        <v>3127.1879999999996</v>
      </c>
      <c r="Q240" s="47">
        <v>0</v>
      </c>
      <c r="R240" s="47">
        <v>0</v>
      </c>
      <c r="S240" s="47">
        <v>0</v>
      </c>
      <c r="T240" s="47">
        <v>0</v>
      </c>
      <c r="U240" s="47">
        <v>0</v>
      </c>
      <c r="V240" s="47">
        <v>0</v>
      </c>
      <c r="W240" s="47">
        <v>0</v>
      </c>
      <c r="X240" s="47">
        <v>0</v>
      </c>
      <c r="Y240" s="47">
        <v>0</v>
      </c>
      <c r="Z240" s="47">
        <v>0</v>
      </c>
      <c r="AA240" s="47">
        <v>0</v>
      </c>
      <c r="AB240" s="47">
        <v>0</v>
      </c>
      <c r="AC240" s="47">
        <v>0</v>
      </c>
      <c r="AD240" s="47">
        <v>0</v>
      </c>
      <c r="AE240" s="47">
        <v>0</v>
      </c>
      <c r="AF240" s="47">
        <v>0</v>
      </c>
      <c r="AG240" s="47">
        <v>0</v>
      </c>
      <c r="AH240" s="47">
        <v>0</v>
      </c>
      <c r="AI240" s="47">
        <v>0</v>
      </c>
      <c r="AJ240" s="47">
        <v>0</v>
      </c>
      <c r="AK240" s="47">
        <v>0</v>
      </c>
      <c r="AL240" s="47">
        <v>0</v>
      </c>
      <c r="AM240" s="47">
        <v>0</v>
      </c>
      <c r="AN240" s="47">
        <v>0</v>
      </c>
      <c r="AO240" s="427"/>
      <c r="BI240" s="125">
        <v>0</v>
      </c>
      <c r="BJ240" s="126">
        <v>0</v>
      </c>
      <c r="BK240" s="126">
        <v>0</v>
      </c>
      <c r="BL240" s="126">
        <v>0</v>
      </c>
      <c r="BM240" s="125">
        <v>0</v>
      </c>
      <c r="BN240" s="126">
        <v>0</v>
      </c>
      <c r="BO240" s="126">
        <v>0</v>
      </c>
      <c r="BP240" s="126">
        <v>0</v>
      </c>
    </row>
    <row r="241" spans="1:68" ht="90.75" hidden="1" customHeight="1">
      <c r="A241" s="803" t="s">
        <v>198</v>
      </c>
      <c r="B241" s="83" t="s">
        <v>168</v>
      </c>
      <c r="C241" s="824"/>
      <c r="D241" s="824"/>
      <c r="E241" s="824"/>
      <c r="F241" s="824">
        <v>81</v>
      </c>
      <c r="G241" s="52"/>
      <c r="H241" s="52"/>
      <c r="I241" s="820" t="s">
        <v>20</v>
      </c>
      <c r="J241" s="54">
        <f>L241</f>
        <v>5513.9</v>
      </c>
      <c r="K241" s="6"/>
      <c r="L241" s="82">
        <f>L242+L247</f>
        <v>5513.9</v>
      </c>
      <c r="M241" s="82">
        <f t="shared" ref="M241:P241" si="366">M242+M247</f>
        <v>297.18</v>
      </c>
      <c r="N241" s="82">
        <f t="shared" si="366"/>
        <v>1639.85</v>
      </c>
      <c r="O241" s="82">
        <f t="shared" si="366"/>
        <v>0</v>
      </c>
      <c r="P241" s="82">
        <f t="shared" si="366"/>
        <v>0</v>
      </c>
      <c r="Q241" s="82">
        <f>Q242+Q247</f>
        <v>0</v>
      </c>
      <c r="R241" s="82">
        <f t="shared" ref="R241:Z241" si="367">R242+R247</f>
        <v>0</v>
      </c>
      <c r="S241" s="82">
        <f t="shared" si="367"/>
        <v>0</v>
      </c>
      <c r="T241" s="82">
        <f t="shared" si="367"/>
        <v>0</v>
      </c>
      <c r="U241" s="82">
        <f t="shared" si="367"/>
        <v>0</v>
      </c>
      <c r="V241" s="82">
        <f t="shared" si="367"/>
        <v>0</v>
      </c>
      <c r="W241" s="82">
        <f t="shared" si="367"/>
        <v>0</v>
      </c>
      <c r="X241" s="82">
        <f t="shared" si="367"/>
        <v>0</v>
      </c>
      <c r="Y241" s="82">
        <f t="shared" si="367"/>
        <v>0</v>
      </c>
      <c r="Z241" s="82">
        <f t="shared" si="367"/>
        <v>0</v>
      </c>
      <c r="AA241" s="82">
        <f>AA242+AA247</f>
        <v>0</v>
      </c>
      <c r="AB241" s="82">
        <f t="shared" ref="AB241:AI241" si="368">AB242+AB247</f>
        <v>0</v>
      </c>
      <c r="AC241" s="82">
        <f t="shared" si="368"/>
        <v>0</v>
      </c>
      <c r="AD241" s="82">
        <f t="shared" si="368"/>
        <v>0</v>
      </c>
      <c r="AE241" s="82">
        <f t="shared" si="368"/>
        <v>0</v>
      </c>
      <c r="AF241" s="82">
        <f t="shared" si="368"/>
        <v>0</v>
      </c>
      <c r="AG241" s="82">
        <f t="shared" si="368"/>
        <v>0</v>
      </c>
      <c r="AH241" s="82">
        <f t="shared" si="368"/>
        <v>0</v>
      </c>
      <c r="AI241" s="82">
        <f t="shared" si="368"/>
        <v>0</v>
      </c>
      <c r="AJ241" s="82">
        <f>P241-Q241</f>
        <v>0</v>
      </c>
      <c r="AK241" s="82">
        <f>AJ241</f>
        <v>0</v>
      </c>
      <c r="AL241" s="82">
        <v>0</v>
      </c>
      <c r="AM241" s="82">
        <f t="shared" ref="AM241:AN241" si="369">AM242+AM247</f>
        <v>0</v>
      </c>
      <c r="AN241" s="82">
        <f t="shared" si="369"/>
        <v>0</v>
      </c>
      <c r="AO241" s="411" t="s">
        <v>264</v>
      </c>
    </row>
    <row r="242" spans="1:68" ht="17.25" hidden="1" customHeight="1">
      <c r="A242" s="804"/>
      <c r="B242" s="1" t="s">
        <v>15</v>
      </c>
      <c r="C242" s="823"/>
      <c r="D242" s="823"/>
      <c r="E242" s="823"/>
      <c r="F242" s="823"/>
      <c r="G242" s="725">
        <v>2021</v>
      </c>
      <c r="H242" s="725">
        <v>2023</v>
      </c>
      <c r="I242" s="822"/>
      <c r="J242" s="54">
        <f t="shared" ref="J242" si="370">L242</f>
        <v>594.36</v>
      </c>
      <c r="K242" s="6"/>
      <c r="L242" s="22">
        <v>594.36</v>
      </c>
      <c r="M242" s="22">
        <v>297.18</v>
      </c>
      <c r="N242" s="22">
        <v>0</v>
      </c>
      <c r="O242" s="22">
        <v>0</v>
      </c>
      <c r="P242" s="22">
        <v>0</v>
      </c>
      <c r="Q242" s="47">
        <f>SUM(Q244:Q246)</f>
        <v>0</v>
      </c>
      <c r="R242" s="47">
        <f t="shared" ref="R242:AD242" si="371">SUM(R244:R246)</f>
        <v>0</v>
      </c>
      <c r="S242" s="47">
        <f t="shared" si="371"/>
        <v>0</v>
      </c>
      <c r="T242" s="47">
        <f t="shared" si="371"/>
        <v>0</v>
      </c>
      <c r="U242" s="47">
        <f t="shared" si="371"/>
        <v>0</v>
      </c>
      <c r="V242" s="47">
        <f t="shared" si="371"/>
        <v>0</v>
      </c>
      <c r="W242" s="47">
        <f t="shared" si="371"/>
        <v>0</v>
      </c>
      <c r="X242" s="22">
        <v>0</v>
      </c>
      <c r="Y242" s="47">
        <f t="shared" si="371"/>
        <v>0</v>
      </c>
      <c r="Z242" s="47">
        <f t="shared" si="371"/>
        <v>0</v>
      </c>
      <c r="AA242" s="47">
        <f t="shared" si="371"/>
        <v>0</v>
      </c>
      <c r="AB242" s="47">
        <f t="shared" si="371"/>
        <v>0</v>
      </c>
      <c r="AC242" s="47">
        <f t="shared" si="371"/>
        <v>0</v>
      </c>
      <c r="AD242" s="47">
        <f t="shared" si="371"/>
        <v>0</v>
      </c>
      <c r="AE242" s="47">
        <f t="shared" ref="AE242:AI242" si="372">AE246</f>
        <v>0</v>
      </c>
      <c r="AF242" s="47">
        <f t="shared" si="372"/>
        <v>0</v>
      </c>
      <c r="AG242" s="47">
        <f t="shared" si="372"/>
        <v>0</v>
      </c>
      <c r="AH242" s="47">
        <f t="shared" si="372"/>
        <v>0</v>
      </c>
      <c r="AI242" s="47">
        <f t="shared" si="372"/>
        <v>0</v>
      </c>
      <c r="AJ242" s="47">
        <v>0</v>
      </c>
      <c r="AK242" s="47">
        <v>0</v>
      </c>
      <c r="AL242" s="47">
        <v>0</v>
      </c>
      <c r="AM242" s="47">
        <v>0</v>
      </c>
      <c r="AN242" s="47">
        <v>0</v>
      </c>
      <c r="AO242" s="427"/>
    </row>
    <row r="243" spans="1:68" s="100" customFormat="1" ht="17.25" hidden="1" customHeight="1">
      <c r="A243" s="804"/>
      <c r="B243" s="105" t="s">
        <v>93</v>
      </c>
      <c r="C243" s="106"/>
      <c r="D243" s="106"/>
      <c r="E243" s="106"/>
      <c r="F243" s="106"/>
      <c r="G243" s="107"/>
      <c r="H243" s="107"/>
      <c r="I243" s="822"/>
      <c r="J243" s="108"/>
      <c r="K243" s="109"/>
      <c r="L243" s="178"/>
      <c r="M243" s="99"/>
      <c r="N243" s="99"/>
      <c r="O243" s="99"/>
      <c r="P243" s="99">
        <f>R243</f>
        <v>0</v>
      </c>
      <c r="Q243" s="99">
        <f>S243</f>
        <v>0</v>
      </c>
      <c r="R243" s="99">
        <f>S243</f>
        <v>0</v>
      </c>
      <c r="S243" s="99">
        <v>0</v>
      </c>
      <c r="T243" s="99"/>
      <c r="U243" s="99"/>
      <c r="V243" s="99"/>
      <c r="W243" s="99"/>
      <c r="X243" s="99">
        <v>0</v>
      </c>
      <c r="Y243" s="99">
        <v>0</v>
      </c>
      <c r="Z243" s="99">
        <v>0</v>
      </c>
      <c r="AA243" s="99">
        <v>0</v>
      </c>
      <c r="AB243" s="99"/>
      <c r="AC243" s="99"/>
      <c r="AD243" s="99"/>
      <c r="AE243" s="99"/>
      <c r="AF243" s="99"/>
      <c r="AG243" s="99"/>
      <c r="AH243" s="99"/>
      <c r="AI243" s="99"/>
      <c r="AJ243" s="99"/>
      <c r="AK243" s="99"/>
      <c r="AL243" s="99"/>
      <c r="AM243" s="99"/>
      <c r="AN243" s="99"/>
      <c r="AO243" s="429"/>
      <c r="AP243" s="12"/>
      <c r="AQ243" s="12"/>
      <c r="AR243" s="12"/>
      <c r="AS243" s="12"/>
      <c r="AT243" s="12"/>
      <c r="AU243" s="12"/>
      <c r="AV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312"/>
      <c r="BI243" s="114"/>
      <c r="BJ243" s="114"/>
      <c r="BK243" s="114"/>
      <c r="BL243" s="114"/>
      <c r="BM243"/>
      <c r="BN243"/>
      <c r="BO243"/>
      <c r="BP243"/>
    </row>
    <row r="244" spans="1:68" s="273" customFormat="1" ht="17.25" hidden="1" customHeight="1">
      <c r="A244" s="804"/>
      <c r="B244" s="257" t="s">
        <v>230</v>
      </c>
      <c r="C244" s="371"/>
      <c r="D244" s="371"/>
      <c r="E244" s="371"/>
      <c r="F244" s="371"/>
      <c r="G244" s="371"/>
      <c r="H244" s="372"/>
      <c r="I244" s="822"/>
      <c r="J244" s="263"/>
      <c r="K244" s="99"/>
      <c r="L244" s="99"/>
      <c r="M244" s="99"/>
      <c r="N244" s="99"/>
      <c r="O244" s="99"/>
      <c r="P244" s="47"/>
      <c r="Q244" s="99">
        <f>Y244</f>
        <v>0</v>
      </c>
      <c r="R244" s="99"/>
      <c r="S244" s="99"/>
      <c r="T244" s="99"/>
      <c r="U244" s="99"/>
      <c r="V244" s="99"/>
      <c r="W244" s="99"/>
      <c r="X244" s="99">
        <v>0</v>
      </c>
      <c r="Y244" s="99">
        <v>0</v>
      </c>
      <c r="Z244" s="99">
        <v>0</v>
      </c>
      <c r="AA244" s="99">
        <v>0</v>
      </c>
      <c r="AB244" s="99"/>
      <c r="AC244" s="99"/>
      <c r="AD244" s="99"/>
      <c r="AE244" s="99"/>
      <c r="AF244" s="99"/>
      <c r="AG244" s="99"/>
      <c r="AH244" s="99"/>
      <c r="AI244" s="99"/>
      <c r="AJ244" s="99"/>
      <c r="AK244" s="99"/>
      <c r="AL244" s="99"/>
      <c r="AM244" s="99"/>
      <c r="AN244" s="99"/>
      <c r="AO244" s="412"/>
      <c r="AP244" s="12"/>
      <c r="AQ244" s="12"/>
      <c r="AR244" s="12"/>
      <c r="AS244" s="12"/>
      <c r="AT244" s="12"/>
      <c r="AU244" s="12"/>
      <c r="AV244" s="12"/>
      <c r="AW244" s="100"/>
      <c r="AX244" s="100"/>
      <c r="AY244" s="12"/>
      <c r="AZ244" s="12"/>
      <c r="BA244" s="12"/>
      <c r="BB244" s="12"/>
      <c r="BC244" s="12"/>
      <c r="BD244" s="12"/>
      <c r="BE244" s="12"/>
      <c r="BF244" s="12"/>
      <c r="BG244" s="12"/>
      <c r="BH244" s="312"/>
      <c r="BI244" s="114"/>
      <c r="BJ244" s="114"/>
      <c r="BK244" s="114"/>
      <c r="BL244" s="114"/>
      <c r="BM244"/>
      <c r="BN244"/>
      <c r="BO244"/>
      <c r="BP244"/>
    </row>
    <row r="245" spans="1:68" s="273" customFormat="1" ht="17.25" hidden="1" customHeight="1">
      <c r="A245" s="804"/>
      <c r="B245" s="257" t="s">
        <v>231</v>
      </c>
      <c r="C245" s="371"/>
      <c r="D245" s="371"/>
      <c r="E245" s="371"/>
      <c r="F245" s="371"/>
      <c r="G245" s="371"/>
      <c r="H245" s="372"/>
      <c r="I245" s="822"/>
      <c r="J245" s="263"/>
      <c r="K245" s="99"/>
      <c r="L245" s="99"/>
      <c r="M245" s="99"/>
      <c r="N245" s="99"/>
      <c r="O245" s="99"/>
      <c r="P245" s="47"/>
      <c r="Q245" s="99">
        <f>S245</f>
        <v>0</v>
      </c>
      <c r="R245" s="99">
        <f>S245</f>
        <v>0</v>
      </c>
      <c r="S245" s="99">
        <v>0</v>
      </c>
      <c r="T245" s="99"/>
      <c r="U245" s="99"/>
      <c r="V245" s="99"/>
      <c r="W245" s="99"/>
      <c r="X245" s="99">
        <v>0</v>
      </c>
      <c r="Y245" s="99">
        <v>0</v>
      </c>
      <c r="Z245" s="99">
        <f>AA245</f>
        <v>0</v>
      </c>
      <c r="AA245" s="99">
        <v>0</v>
      </c>
      <c r="AB245" s="99"/>
      <c r="AC245" s="99"/>
      <c r="AD245" s="99"/>
      <c r="AE245" s="99"/>
      <c r="AF245" s="99"/>
      <c r="AG245" s="99"/>
      <c r="AH245" s="99"/>
      <c r="AI245" s="99"/>
      <c r="AJ245" s="99"/>
      <c r="AK245" s="99"/>
      <c r="AL245" s="99"/>
      <c r="AM245" s="99"/>
      <c r="AN245" s="99"/>
      <c r="AO245" s="412"/>
      <c r="AP245" s="12"/>
      <c r="AQ245" s="12"/>
      <c r="AR245" s="12"/>
      <c r="AS245" s="12"/>
      <c r="AT245" s="12"/>
      <c r="AU245" s="12"/>
      <c r="AV245" s="12"/>
      <c r="AW245" s="100"/>
      <c r="AX245" s="100"/>
      <c r="AY245" s="12"/>
      <c r="AZ245" s="12"/>
      <c r="BA245" s="12"/>
      <c r="BB245" s="12"/>
      <c r="BC245" s="12"/>
      <c r="BD245" s="12"/>
      <c r="BE245" s="12"/>
      <c r="BF245" s="12"/>
      <c r="BG245" s="12"/>
      <c r="BH245" s="312"/>
      <c r="BI245" s="114"/>
      <c r="BJ245" s="114"/>
      <c r="BK245" s="114"/>
      <c r="BL245" s="114"/>
      <c r="BM245"/>
      <c r="BN245"/>
      <c r="BO245"/>
      <c r="BP245"/>
    </row>
    <row r="246" spans="1:68" s="273" customFormat="1" ht="17.25" hidden="1" customHeight="1">
      <c r="A246" s="804"/>
      <c r="B246" s="257" t="s">
        <v>232</v>
      </c>
      <c r="C246" s="371"/>
      <c r="D246" s="371"/>
      <c r="E246" s="371"/>
      <c r="F246" s="371"/>
      <c r="G246" s="371"/>
      <c r="H246" s="372"/>
      <c r="I246" s="822"/>
      <c r="J246" s="263"/>
      <c r="K246" s="99"/>
      <c r="L246" s="99"/>
      <c r="M246" s="99"/>
      <c r="N246" s="99"/>
      <c r="O246" s="99"/>
      <c r="P246" s="47"/>
      <c r="Q246" s="99">
        <f t="shared" ref="Q246" si="373">Y246</f>
        <v>0</v>
      </c>
      <c r="R246" s="99"/>
      <c r="S246" s="99"/>
      <c r="T246" s="99"/>
      <c r="U246" s="99"/>
      <c r="V246" s="99"/>
      <c r="W246" s="99"/>
      <c r="X246" s="99">
        <v>0</v>
      </c>
      <c r="Y246" s="99">
        <v>0</v>
      </c>
      <c r="Z246" s="99">
        <v>0</v>
      </c>
      <c r="AA246" s="99">
        <v>0</v>
      </c>
      <c r="AB246" s="99"/>
      <c r="AC246" s="99"/>
      <c r="AD246" s="99"/>
      <c r="AE246" s="99"/>
      <c r="AF246" s="99"/>
      <c r="AG246" s="99"/>
      <c r="AH246" s="99"/>
      <c r="AI246" s="99"/>
      <c r="AJ246" s="99"/>
      <c r="AK246" s="99"/>
      <c r="AL246" s="99"/>
      <c r="AM246" s="99"/>
      <c r="AN246" s="99"/>
      <c r="AO246" s="412"/>
      <c r="AP246" s="12"/>
      <c r="AQ246" s="12"/>
      <c r="AR246" s="12"/>
      <c r="AS246" s="12"/>
      <c r="AT246" s="12"/>
      <c r="AU246" s="12"/>
      <c r="AV246" s="12"/>
      <c r="AW246" s="100"/>
      <c r="AX246" s="100"/>
      <c r="AY246" s="12"/>
      <c r="AZ246" s="12"/>
      <c r="BA246" s="12"/>
      <c r="BB246" s="12"/>
      <c r="BC246" s="12"/>
      <c r="BD246" s="12"/>
      <c r="BE246" s="12"/>
      <c r="BF246" s="12"/>
      <c r="BG246" s="12"/>
      <c r="BH246" s="312"/>
      <c r="BI246" s="114"/>
      <c r="BJ246" s="114"/>
      <c r="BK246" s="114"/>
      <c r="BL246" s="114"/>
      <c r="BM246"/>
      <c r="BN246"/>
      <c r="BO246"/>
      <c r="BP246"/>
    </row>
    <row r="247" spans="1:68" ht="15.75" hidden="1" customHeight="1">
      <c r="A247" s="805"/>
      <c r="B247" s="1" t="s">
        <v>32</v>
      </c>
      <c r="C247" s="700"/>
      <c r="D247" s="700"/>
      <c r="E247" s="700"/>
      <c r="F247" s="700"/>
      <c r="G247" s="725">
        <v>2022</v>
      </c>
      <c r="H247" s="725">
        <v>2025</v>
      </c>
      <c r="I247" s="821"/>
      <c r="J247" s="54">
        <f t="shared" ref="J247:J248" si="374">L247</f>
        <v>4919.54</v>
      </c>
      <c r="K247" s="6"/>
      <c r="L247" s="22">
        <v>4919.54</v>
      </c>
      <c r="M247" s="47">
        <v>0</v>
      </c>
      <c r="N247" s="47">
        <v>1639.85</v>
      </c>
      <c r="O247" s="47">
        <v>0</v>
      </c>
      <c r="P247" s="47">
        <v>0</v>
      </c>
      <c r="Q247" s="47">
        <v>0</v>
      </c>
      <c r="R247" s="47">
        <v>0</v>
      </c>
      <c r="S247" s="47">
        <v>0</v>
      </c>
      <c r="T247" s="47">
        <v>0</v>
      </c>
      <c r="U247" s="47">
        <v>0</v>
      </c>
      <c r="V247" s="47">
        <v>0</v>
      </c>
      <c r="W247" s="47">
        <v>0</v>
      </c>
      <c r="X247" s="47">
        <v>0</v>
      </c>
      <c r="Y247" s="47">
        <v>0</v>
      </c>
      <c r="Z247" s="47">
        <v>0</v>
      </c>
      <c r="AA247" s="47">
        <v>0</v>
      </c>
      <c r="AB247" s="47">
        <v>0</v>
      </c>
      <c r="AC247" s="47">
        <v>0</v>
      </c>
      <c r="AD247" s="47">
        <v>0</v>
      </c>
      <c r="AE247" s="47">
        <v>0</v>
      </c>
      <c r="AF247" s="47">
        <v>0</v>
      </c>
      <c r="AG247" s="47">
        <v>0</v>
      </c>
      <c r="AH247" s="47">
        <v>0</v>
      </c>
      <c r="AI247" s="47">
        <v>0</v>
      </c>
      <c r="AJ247" s="47">
        <v>0</v>
      </c>
      <c r="AK247" s="47">
        <v>0</v>
      </c>
      <c r="AL247" s="47">
        <v>0</v>
      </c>
      <c r="AM247" s="47">
        <v>0</v>
      </c>
      <c r="AN247" s="47">
        <v>0</v>
      </c>
      <c r="AO247" s="427"/>
    </row>
    <row r="248" spans="1:68" ht="25.5" customHeight="1">
      <c r="A248" s="803" t="s">
        <v>199</v>
      </c>
      <c r="B248" s="80" t="s">
        <v>369</v>
      </c>
      <c r="C248" s="700"/>
      <c r="D248" s="700"/>
      <c r="E248" s="700"/>
      <c r="F248" s="700">
        <v>82</v>
      </c>
      <c r="G248" s="52"/>
      <c r="H248" s="52"/>
      <c r="I248" s="820" t="s">
        <v>20</v>
      </c>
      <c r="J248" s="54">
        <f t="shared" si="374"/>
        <v>12299.37</v>
      </c>
      <c r="K248" s="6"/>
      <c r="L248" s="82">
        <f>L250</f>
        <v>12299.37</v>
      </c>
      <c r="M248" s="82">
        <f t="shared" ref="M248:AN248" si="375">M250</f>
        <v>0</v>
      </c>
      <c r="N248" s="82">
        <f t="shared" si="375"/>
        <v>0</v>
      </c>
      <c r="O248" s="82">
        <f t="shared" si="375"/>
        <v>5371.98</v>
      </c>
      <c r="P248" s="82">
        <f t="shared" si="375"/>
        <v>3341.5919999999996</v>
      </c>
      <c r="Q248" s="82">
        <f t="shared" si="375"/>
        <v>0</v>
      </c>
      <c r="R248" s="82">
        <f t="shared" si="375"/>
        <v>0</v>
      </c>
      <c r="S248" s="82">
        <f t="shared" si="375"/>
        <v>0</v>
      </c>
      <c r="T248" s="82">
        <f t="shared" si="375"/>
        <v>0</v>
      </c>
      <c r="U248" s="82">
        <f t="shared" si="375"/>
        <v>0</v>
      </c>
      <c r="V248" s="82">
        <f t="shared" si="375"/>
        <v>0</v>
      </c>
      <c r="W248" s="82">
        <f t="shared" si="375"/>
        <v>0</v>
      </c>
      <c r="X248" s="82">
        <f t="shared" si="375"/>
        <v>0</v>
      </c>
      <c r="Y248" s="82">
        <f t="shared" si="375"/>
        <v>0</v>
      </c>
      <c r="Z248" s="82">
        <f t="shared" si="375"/>
        <v>0</v>
      </c>
      <c r="AA248" s="82">
        <f t="shared" si="375"/>
        <v>0</v>
      </c>
      <c r="AB248" s="82">
        <f t="shared" si="375"/>
        <v>0</v>
      </c>
      <c r="AC248" s="82">
        <f t="shared" si="375"/>
        <v>0</v>
      </c>
      <c r="AD248" s="82">
        <f t="shared" si="375"/>
        <v>0</v>
      </c>
      <c r="AE248" s="82">
        <f t="shared" si="375"/>
        <v>0</v>
      </c>
      <c r="AF248" s="82">
        <f t="shared" si="375"/>
        <v>0</v>
      </c>
      <c r="AG248" s="82">
        <f t="shared" si="375"/>
        <v>0</v>
      </c>
      <c r="AH248" s="82">
        <f t="shared" si="375"/>
        <v>0</v>
      </c>
      <c r="AI248" s="82">
        <f t="shared" si="375"/>
        <v>0</v>
      </c>
      <c r="AJ248" s="82">
        <f t="shared" si="375"/>
        <v>0</v>
      </c>
      <c r="AK248" s="82">
        <f t="shared" si="375"/>
        <v>0</v>
      </c>
      <c r="AL248" s="82">
        <f t="shared" si="375"/>
        <v>0</v>
      </c>
      <c r="AM248" s="82">
        <f t="shared" si="375"/>
        <v>0</v>
      </c>
      <c r="AN248" s="82">
        <f t="shared" si="375"/>
        <v>0</v>
      </c>
      <c r="AO248" s="428"/>
      <c r="BI248" s="81">
        <f t="shared" ref="BI248:BP248" si="376">BI249+BI250</f>
        <v>0</v>
      </c>
      <c r="BJ248" s="81">
        <f t="shared" si="376"/>
        <v>0</v>
      </c>
      <c r="BK248" s="81">
        <f t="shared" si="376"/>
        <v>0</v>
      </c>
      <c r="BL248" s="81">
        <f t="shared" si="376"/>
        <v>0</v>
      </c>
      <c r="BM248" s="81">
        <f t="shared" si="376"/>
        <v>0</v>
      </c>
      <c r="BN248" s="81">
        <f t="shared" si="376"/>
        <v>0</v>
      </c>
      <c r="BO248" s="81">
        <f t="shared" si="376"/>
        <v>0</v>
      </c>
      <c r="BP248" s="81">
        <f t="shared" si="376"/>
        <v>0</v>
      </c>
    </row>
    <row r="249" spans="1:68" ht="15.75" hidden="1" customHeight="1">
      <c r="A249" s="804"/>
      <c r="B249" s="105" t="s">
        <v>93</v>
      </c>
      <c r="C249" s="106"/>
      <c r="D249" s="106"/>
      <c r="E249" s="106"/>
      <c r="F249" s="106"/>
      <c r="G249" s="107"/>
      <c r="H249" s="107"/>
      <c r="I249" s="822"/>
      <c r="J249" s="108"/>
      <c r="K249" s="109"/>
      <c r="L249" s="178"/>
      <c r="M249" s="99"/>
      <c r="N249" s="99"/>
      <c r="O249" s="99"/>
      <c r="P249" s="47">
        <f t="shared" ref="P249:Q249" si="377">R249</f>
        <v>0</v>
      </c>
      <c r="Q249" s="99">
        <f t="shared" si="377"/>
        <v>0</v>
      </c>
      <c r="R249" s="47">
        <f t="shared" ref="R249" si="378">S249</f>
        <v>0</v>
      </c>
      <c r="S249" s="47">
        <v>0</v>
      </c>
      <c r="T249" s="99"/>
      <c r="U249" s="99"/>
      <c r="V249" s="99"/>
      <c r="W249" s="99"/>
      <c r="X249" s="47"/>
      <c r="Y249" s="47"/>
      <c r="Z249" s="99">
        <v>0</v>
      </c>
      <c r="AA249" s="99">
        <v>0</v>
      </c>
      <c r="AB249" s="99"/>
      <c r="AC249" s="99"/>
      <c r="AD249" s="99"/>
      <c r="AE249" s="99"/>
      <c r="AF249" s="99"/>
      <c r="AG249" s="99"/>
      <c r="AH249" s="99"/>
      <c r="AI249" s="99"/>
      <c r="AJ249" s="99"/>
      <c r="AK249" s="99"/>
      <c r="AL249" s="99"/>
      <c r="AM249" s="99"/>
      <c r="AN249" s="99"/>
      <c r="AO249" s="429"/>
      <c r="BI249" s="125">
        <v>0</v>
      </c>
      <c r="BJ249" s="126">
        <v>0</v>
      </c>
      <c r="BK249" s="126">
        <v>0</v>
      </c>
      <c r="BL249" s="126">
        <v>0</v>
      </c>
      <c r="BM249" s="125">
        <v>0</v>
      </c>
      <c r="BN249" s="126">
        <v>0</v>
      </c>
      <c r="BO249" s="126">
        <v>0</v>
      </c>
      <c r="BP249" s="126">
        <v>0</v>
      </c>
    </row>
    <row r="250" spans="1:68" ht="15" customHeight="1">
      <c r="A250" s="805"/>
      <c r="B250" s="1" t="s">
        <v>218</v>
      </c>
      <c r="C250" s="700"/>
      <c r="D250" s="700"/>
      <c r="E250" s="700"/>
      <c r="F250" s="700"/>
      <c r="G250" s="725">
        <v>2024</v>
      </c>
      <c r="H250" s="725">
        <v>2029</v>
      </c>
      <c r="I250" s="821"/>
      <c r="J250" s="54">
        <f t="shared" ref="J250:J252" si="379">L250</f>
        <v>12299.37</v>
      </c>
      <c r="K250" s="6"/>
      <c r="L250" s="22">
        <v>12299.37</v>
      </c>
      <c r="M250" s="47">
        <v>0</v>
      </c>
      <c r="N250" s="47">
        <v>0</v>
      </c>
      <c r="O250" s="47">
        <v>5371.98</v>
      </c>
      <c r="P250" s="47">
        <f>2784.66*1.2</f>
        <v>3341.5919999999996</v>
      </c>
      <c r="Q250" s="47">
        <v>0</v>
      </c>
      <c r="R250" s="47">
        <v>0</v>
      </c>
      <c r="S250" s="47">
        <v>0</v>
      </c>
      <c r="T250" s="47">
        <v>0</v>
      </c>
      <c r="U250" s="47">
        <v>0</v>
      </c>
      <c r="V250" s="47">
        <v>0</v>
      </c>
      <c r="W250" s="47">
        <v>0</v>
      </c>
      <c r="X250" s="47">
        <v>0</v>
      </c>
      <c r="Y250" s="47">
        <v>0</v>
      </c>
      <c r="Z250" s="47">
        <v>0</v>
      </c>
      <c r="AA250" s="47">
        <v>0</v>
      </c>
      <c r="AB250" s="47">
        <v>0</v>
      </c>
      <c r="AC250" s="47">
        <v>0</v>
      </c>
      <c r="AD250" s="47">
        <v>0</v>
      </c>
      <c r="AE250" s="47">
        <v>0</v>
      </c>
      <c r="AF250" s="47">
        <v>0</v>
      </c>
      <c r="AG250" s="47">
        <v>0</v>
      </c>
      <c r="AH250" s="47">
        <v>0</v>
      </c>
      <c r="AI250" s="47">
        <v>0</v>
      </c>
      <c r="AJ250" s="47">
        <v>0</v>
      </c>
      <c r="AK250" s="47">
        <v>0</v>
      </c>
      <c r="AL250" s="47">
        <v>0</v>
      </c>
      <c r="AM250" s="47">
        <v>0</v>
      </c>
      <c r="AN250" s="47">
        <v>0</v>
      </c>
      <c r="AO250" s="427"/>
      <c r="BI250" s="125">
        <v>0</v>
      </c>
      <c r="BJ250" s="126">
        <v>0</v>
      </c>
      <c r="BK250" s="126">
        <v>0</v>
      </c>
      <c r="BL250" s="126">
        <v>0</v>
      </c>
      <c r="BM250" s="125">
        <v>0</v>
      </c>
      <c r="BN250" s="126">
        <v>0</v>
      </c>
      <c r="BO250" s="126">
        <v>0</v>
      </c>
      <c r="BP250" s="126">
        <v>0</v>
      </c>
    </row>
    <row r="251" spans="1:68" ht="25.5" customHeight="1">
      <c r="A251" s="1012" t="s">
        <v>200</v>
      </c>
      <c r="B251" s="80" t="s">
        <v>370</v>
      </c>
      <c r="C251" s="700"/>
      <c r="D251" s="700"/>
      <c r="E251" s="700"/>
      <c r="F251" s="700">
        <v>83</v>
      </c>
      <c r="G251" s="52"/>
      <c r="H251" s="52"/>
      <c r="I251" s="725"/>
      <c r="J251" s="54">
        <f t="shared" si="379"/>
        <v>264150.86</v>
      </c>
      <c r="K251" s="6"/>
      <c r="L251" s="82">
        <f>L252+L256</f>
        <v>264150.86</v>
      </c>
      <c r="M251" s="82">
        <f t="shared" ref="M251:O251" si="380">M252+M256</f>
        <v>263850.07</v>
      </c>
      <c r="N251" s="82">
        <f t="shared" si="380"/>
        <v>263850.07</v>
      </c>
      <c r="O251" s="82">
        <f t="shared" si="380"/>
        <v>263850.07</v>
      </c>
      <c r="P251" s="82">
        <f>P252+P256</f>
        <v>360.94800000000004</v>
      </c>
      <c r="Q251" s="82">
        <f>Q252+Q256</f>
        <v>129830.52535</v>
      </c>
      <c r="R251" s="82">
        <f>R252+R256</f>
        <v>21023.332999999999</v>
      </c>
      <c r="S251" s="82">
        <f t="shared" ref="S251:AF251" si="381">S252+S256</f>
        <v>21023.332999999999</v>
      </c>
      <c r="T251" s="82">
        <f t="shared" si="381"/>
        <v>32333.282999999999</v>
      </c>
      <c r="U251" s="82">
        <f t="shared" si="381"/>
        <v>32333.282999999999</v>
      </c>
      <c r="V251" s="82">
        <f t="shared" si="381"/>
        <v>76473.909350000002</v>
      </c>
      <c r="W251" s="82">
        <f t="shared" si="381"/>
        <v>76473.909350000002</v>
      </c>
      <c r="X251" s="82">
        <f t="shared" si="381"/>
        <v>0</v>
      </c>
      <c r="Y251" s="82">
        <f t="shared" si="381"/>
        <v>0</v>
      </c>
      <c r="Z251" s="82">
        <f>Z252+Z256</f>
        <v>118012.37852</v>
      </c>
      <c r="AA251" s="82">
        <f t="shared" si="381"/>
        <v>21023.332999999999</v>
      </c>
      <c r="AB251" s="82">
        <f t="shared" si="381"/>
        <v>20531.917000000001</v>
      </c>
      <c r="AC251" s="82">
        <f>AC252+AC256</f>
        <v>76457.128519999998</v>
      </c>
      <c r="AD251" s="82">
        <f t="shared" si="381"/>
        <v>0</v>
      </c>
      <c r="AE251" s="82">
        <f t="shared" si="381"/>
        <v>0</v>
      </c>
      <c r="AF251" s="82">
        <f t="shared" si="381"/>
        <v>0</v>
      </c>
      <c r="AG251" s="82">
        <f t="shared" ref="AG251:AN251" si="382">AG252</f>
        <v>0</v>
      </c>
      <c r="AH251" s="82">
        <f t="shared" si="382"/>
        <v>0</v>
      </c>
      <c r="AI251" s="82">
        <f t="shared" si="382"/>
        <v>0</v>
      </c>
      <c r="AJ251" s="82">
        <f t="shared" si="382"/>
        <v>0</v>
      </c>
      <c r="AK251" s="82">
        <f t="shared" si="382"/>
        <v>0</v>
      </c>
      <c r="AL251" s="82">
        <v>7.79</v>
      </c>
      <c r="AM251" s="82">
        <f t="shared" si="382"/>
        <v>0</v>
      </c>
      <c r="AN251" s="82">
        <f t="shared" si="382"/>
        <v>0</v>
      </c>
      <c r="AO251" s="428"/>
      <c r="BI251" s="81">
        <f t="shared" ref="BI251:BP251" si="383">BI252+BI253</f>
        <v>0</v>
      </c>
      <c r="BJ251" s="81">
        <f t="shared" si="383"/>
        <v>0</v>
      </c>
      <c r="BK251" s="81">
        <f t="shared" si="383"/>
        <v>0</v>
      </c>
      <c r="BL251" s="81">
        <f t="shared" si="383"/>
        <v>0</v>
      </c>
      <c r="BM251" s="81">
        <f t="shared" si="383"/>
        <v>0</v>
      </c>
      <c r="BN251" s="81">
        <f t="shared" si="383"/>
        <v>0</v>
      </c>
      <c r="BO251" s="81">
        <f t="shared" si="383"/>
        <v>0</v>
      </c>
      <c r="BP251" s="81">
        <f t="shared" si="383"/>
        <v>0</v>
      </c>
    </row>
    <row r="252" spans="1:68" ht="37.5" customHeight="1">
      <c r="A252" s="1012"/>
      <c r="B252" s="1" t="s">
        <v>218</v>
      </c>
      <c r="C252" s="700"/>
      <c r="D252" s="700"/>
      <c r="E252" s="700"/>
      <c r="F252" s="700"/>
      <c r="G252" s="725">
        <v>2026</v>
      </c>
      <c r="H252" s="725">
        <v>2033</v>
      </c>
      <c r="I252" s="725" t="s">
        <v>20</v>
      </c>
      <c r="J252" s="54">
        <f t="shared" si="379"/>
        <v>300.79000000000002</v>
      </c>
      <c r="K252" s="6"/>
      <c r="L252" s="22">
        <v>300.79000000000002</v>
      </c>
      <c r="M252" s="47">
        <v>0</v>
      </c>
      <c r="N252" s="47">
        <v>0</v>
      </c>
      <c r="O252" s="47">
        <v>0</v>
      </c>
      <c r="P252" s="47">
        <f>300.79*1.2</f>
        <v>360.94800000000004</v>
      </c>
      <c r="Q252" s="47">
        <f>SUM(Q253:Q255)</f>
        <v>3.4</v>
      </c>
      <c r="R252" s="47">
        <f t="shared" ref="R252:AB252" si="384">SUM(R253:R254)</f>
        <v>0</v>
      </c>
      <c r="S252" s="47">
        <f t="shared" si="384"/>
        <v>0</v>
      </c>
      <c r="T252" s="47">
        <f t="shared" si="384"/>
        <v>3.4</v>
      </c>
      <c r="U252" s="47">
        <f t="shared" si="384"/>
        <v>3.4</v>
      </c>
      <c r="V252" s="47">
        <f t="shared" si="384"/>
        <v>0</v>
      </c>
      <c r="W252" s="47">
        <f t="shared" si="384"/>
        <v>0</v>
      </c>
      <c r="X252" s="47">
        <f t="shared" si="384"/>
        <v>0</v>
      </c>
      <c r="Y252" s="47">
        <f t="shared" si="384"/>
        <v>0</v>
      </c>
      <c r="Z252" s="47">
        <f t="shared" si="384"/>
        <v>3.4</v>
      </c>
      <c r="AA252" s="47">
        <f t="shared" si="384"/>
        <v>0</v>
      </c>
      <c r="AB252" s="47">
        <f t="shared" si="384"/>
        <v>3.4</v>
      </c>
      <c r="AC252" s="47">
        <f>SUM(AC253:AC255)</f>
        <v>0</v>
      </c>
      <c r="AD252" s="47">
        <f t="shared" ref="AD252" si="385">SUM(AD253:AD256)</f>
        <v>0</v>
      </c>
      <c r="AE252" s="47">
        <v>0</v>
      </c>
      <c r="AF252" s="47">
        <v>0</v>
      </c>
      <c r="AG252" s="47">
        <v>0</v>
      </c>
      <c r="AH252" s="47">
        <v>0</v>
      </c>
      <c r="AI252" s="47">
        <v>0</v>
      </c>
      <c r="AJ252" s="47">
        <v>0</v>
      </c>
      <c r="AK252" s="47">
        <v>0</v>
      </c>
      <c r="AL252" s="47">
        <v>0</v>
      </c>
      <c r="AM252" s="47">
        <v>0</v>
      </c>
      <c r="AN252" s="47">
        <v>0</v>
      </c>
      <c r="AO252" s="427"/>
      <c r="BI252" s="125">
        <v>0</v>
      </c>
      <c r="BJ252" s="126">
        <v>0</v>
      </c>
      <c r="BK252" s="126">
        <v>0</v>
      </c>
      <c r="BL252" s="126">
        <v>0</v>
      </c>
      <c r="BM252" s="125">
        <v>0</v>
      </c>
      <c r="BN252" s="126">
        <v>0</v>
      </c>
      <c r="BO252" s="126">
        <v>0</v>
      </c>
      <c r="BP252" s="126">
        <v>0</v>
      </c>
    </row>
    <row r="253" spans="1:68" s="100" customFormat="1" ht="30" hidden="1" customHeight="1">
      <c r="A253" s="1013"/>
      <c r="B253" s="105" t="s">
        <v>357</v>
      </c>
      <c r="C253" s="677"/>
      <c r="D253" s="677"/>
      <c r="E253" s="677"/>
      <c r="F253" s="677"/>
      <c r="G253" s="107"/>
      <c r="H253" s="107"/>
      <c r="I253" s="107"/>
      <c r="J253" s="108"/>
      <c r="K253" s="109"/>
      <c r="L253" s="178"/>
      <c r="M253" s="99"/>
      <c r="N253" s="99"/>
      <c r="O253" s="99"/>
      <c r="P253" s="99">
        <f>R253</f>
        <v>0</v>
      </c>
      <c r="Q253" s="99">
        <f>U253</f>
        <v>3.4</v>
      </c>
      <c r="R253" s="99">
        <f>S253</f>
        <v>0</v>
      </c>
      <c r="S253" s="99">
        <v>0</v>
      </c>
      <c r="T253" s="99">
        <f>U253</f>
        <v>3.4</v>
      </c>
      <c r="U253" s="99">
        <v>3.4</v>
      </c>
      <c r="V253" s="99"/>
      <c r="W253" s="99"/>
      <c r="X253" s="99"/>
      <c r="Y253" s="99"/>
      <c r="Z253" s="178">
        <f>AB253</f>
        <v>3.4</v>
      </c>
      <c r="AA253" s="99">
        <v>0</v>
      </c>
      <c r="AB253" s="99">
        <v>3.4</v>
      </c>
      <c r="AC253" s="99"/>
      <c r="AD253" s="99"/>
      <c r="AE253" s="99"/>
      <c r="AF253" s="99"/>
      <c r="AG253" s="99"/>
      <c r="AH253" s="99"/>
      <c r="AI253" s="99"/>
      <c r="AJ253" s="99"/>
      <c r="AK253" s="99"/>
      <c r="AL253" s="99"/>
      <c r="AM253" s="99"/>
      <c r="AN253" s="99"/>
      <c r="AO253" s="429"/>
      <c r="AP253" s="12"/>
      <c r="AQ253" s="12"/>
      <c r="AR253" s="12"/>
      <c r="AS253" s="12"/>
      <c r="AT253" s="12"/>
      <c r="AU253" s="12"/>
      <c r="AV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312"/>
      <c r="BI253" s="125">
        <v>0</v>
      </c>
      <c r="BJ253" s="126">
        <v>0</v>
      </c>
      <c r="BK253" s="126">
        <v>0</v>
      </c>
      <c r="BL253" s="126">
        <v>0</v>
      </c>
      <c r="BM253" s="125">
        <v>0</v>
      </c>
      <c r="BN253" s="126">
        <v>0</v>
      </c>
      <c r="BO253" s="126">
        <v>0</v>
      </c>
      <c r="BP253" s="126">
        <v>0</v>
      </c>
    </row>
    <row r="254" spans="1:68" s="52" customFormat="1" ht="25.5" hidden="1" customHeight="1">
      <c r="A254" s="1013"/>
      <c r="B254" s="105" t="s">
        <v>245</v>
      </c>
      <c r="C254" s="106"/>
      <c r="D254" s="106"/>
      <c r="E254" s="106"/>
      <c r="F254" s="106"/>
      <c r="G254" s="107"/>
      <c r="H254" s="107"/>
      <c r="I254" s="123"/>
      <c r="J254" s="108"/>
      <c r="K254" s="109"/>
      <c r="L254" s="178">
        <v>0</v>
      </c>
      <c r="M254" s="178">
        <v>0</v>
      </c>
      <c r="N254" s="178">
        <v>0</v>
      </c>
      <c r="O254" s="178">
        <v>0</v>
      </c>
      <c r="P254" s="178">
        <v>0</v>
      </c>
      <c r="Q254" s="178">
        <v>0</v>
      </c>
      <c r="R254" s="178">
        <v>0</v>
      </c>
      <c r="S254" s="178">
        <v>0</v>
      </c>
      <c r="T254" s="178">
        <v>0</v>
      </c>
      <c r="U254" s="178">
        <v>0</v>
      </c>
      <c r="V254" s="178">
        <v>0</v>
      </c>
      <c r="W254" s="178">
        <v>0</v>
      </c>
      <c r="X254" s="178">
        <v>0</v>
      </c>
      <c r="Y254" s="178">
        <v>0</v>
      </c>
      <c r="Z254" s="178">
        <f>AA254</f>
        <v>0</v>
      </c>
      <c r="AA254" s="178">
        <v>0</v>
      </c>
      <c r="AB254" s="178"/>
      <c r="AC254" s="178"/>
      <c r="AD254" s="178"/>
      <c r="AE254" s="178">
        <v>0</v>
      </c>
      <c r="AF254" s="178">
        <v>0</v>
      </c>
      <c r="AG254" s="178"/>
      <c r="AH254" s="178"/>
      <c r="AI254" s="178"/>
      <c r="AJ254" s="178">
        <v>0</v>
      </c>
      <c r="AK254" s="178">
        <v>0</v>
      </c>
      <c r="AL254" s="178">
        <v>0</v>
      </c>
      <c r="AM254" s="178">
        <v>0</v>
      </c>
      <c r="AN254" s="178">
        <v>0</v>
      </c>
      <c r="AO254" s="429"/>
      <c r="AP254" s="12"/>
      <c r="AQ254" s="12"/>
      <c r="AR254" s="12"/>
      <c r="AS254" s="12"/>
      <c r="AT254" s="12"/>
      <c r="AU254" s="12"/>
      <c r="AV254" s="12"/>
      <c r="AW254" s="100"/>
      <c r="AX254" s="100"/>
      <c r="AY254" s="12"/>
      <c r="AZ254" s="12"/>
      <c r="BA254" s="12"/>
      <c r="BB254" s="12"/>
      <c r="BC254" s="12"/>
      <c r="BD254" s="12"/>
      <c r="BE254" s="12"/>
      <c r="BF254" s="12"/>
      <c r="BG254" s="12"/>
      <c r="BH254" s="312"/>
      <c r="BI254" s="125">
        <v>0</v>
      </c>
      <c r="BJ254" s="126">
        <v>0</v>
      </c>
      <c r="BK254" s="126">
        <v>0</v>
      </c>
      <c r="BL254" s="126">
        <v>0</v>
      </c>
      <c r="BM254" s="125">
        <v>0</v>
      </c>
      <c r="BN254" s="126">
        <v>0</v>
      </c>
      <c r="BO254" s="126">
        <v>0</v>
      </c>
      <c r="BP254" s="126">
        <v>0</v>
      </c>
    </row>
    <row r="255" spans="1:68" s="557" customFormat="1" ht="25.5" hidden="1" customHeight="1">
      <c r="A255" s="1013"/>
      <c r="B255" s="105" t="s">
        <v>273</v>
      </c>
      <c r="C255" s="106"/>
      <c r="D255" s="106"/>
      <c r="E255" s="106"/>
      <c r="F255" s="106"/>
      <c r="G255" s="107"/>
      <c r="H255" s="107"/>
      <c r="I255" s="123"/>
      <c r="J255" s="108"/>
      <c r="K255" s="109"/>
      <c r="L255" s="178"/>
      <c r="M255" s="178"/>
      <c r="N255" s="178"/>
      <c r="O255" s="178"/>
      <c r="P255" s="178">
        <f>R255+T255</f>
        <v>0</v>
      </c>
      <c r="Q255" s="178">
        <f>S255+U255+W255+Y255</f>
        <v>0</v>
      </c>
      <c r="R255" s="178"/>
      <c r="S255" s="178"/>
      <c r="T255" s="178">
        <v>0</v>
      </c>
      <c r="U255" s="178">
        <v>0</v>
      </c>
      <c r="V255" s="178">
        <f>W255</f>
        <v>0</v>
      </c>
      <c r="W255" s="178">
        <v>0</v>
      </c>
      <c r="X255" s="178"/>
      <c r="Y255" s="178">
        <v>0</v>
      </c>
      <c r="Z255" s="178">
        <f>SUM(AA255:AD255)</f>
        <v>0</v>
      </c>
      <c r="AA255" s="178"/>
      <c r="AB255" s="178">
        <v>0</v>
      </c>
      <c r="AC255" s="178">
        <v>0</v>
      </c>
      <c r="AD255" s="178"/>
      <c r="AE255" s="178"/>
      <c r="AF255" s="178"/>
      <c r="AG255" s="178"/>
      <c r="AH255" s="178"/>
      <c r="AI255" s="178"/>
      <c r="AJ255" s="178"/>
      <c r="AK255" s="178"/>
      <c r="AL255" s="178"/>
      <c r="AM255" s="178"/>
      <c r="AN255" s="178"/>
      <c r="AO255" s="429"/>
      <c r="AP255" s="12"/>
      <c r="AQ255" s="12"/>
      <c r="AR255" s="12"/>
      <c r="AS255" s="12"/>
      <c r="AT255" s="12"/>
      <c r="AU255" s="12"/>
      <c r="AV255" s="12"/>
      <c r="AW255" s="100"/>
      <c r="AX255" s="100"/>
      <c r="AY255" s="12"/>
      <c r="AZ255" s="12"/>
      <c r="BA255" s="12"/>
      <c r="BB255" s="12"/>
      <c r="BC255" s="12"/>
      <c r="BD255" s="12"/>
      <c r="BE255" s="12"/>
      <c r="BF255" s="12"/>
      <c r="BG255" s="12"/>
      <c r="BH255" s="312"/>
      <c r="BI255" s="125">
        <v>0</v>
      </c>
      <c r="BJ255" s="126">
        <v>0</v>
      </c>
      <c r="BK255" s="126">
        <v>0</v>
      </c>
      <c r="BL255" s="126">
        <v>0</v>
      </c>
      <c r="BM255" s="125">
        <v>0</v>
      </c>
      <c r="BN255" s="126">
        <v>0</v>
      </c>
      <c r="BO255" s="126">
        <v>0</v>
      </c>
      <c r="BP255" s="126">
        <v>0</v>
      </c>
    </row>
    <row r="256" spans="1:68" s="26" customFormat="1" ht="15" customHeight="1">
      <c r="A256" s="1013"/>
      <c r="B256" s="1"/>
      <c r="C256" s="701"/>
      <c r="D256" s="701"/>
      <c r="E256" s="701"/>
      <c r="F256" s="701"/>
      <c r="G256" s="725"/>
      <c r="H256" s="725"/>
      <c r="I256" s="1" t="s">
        <v>10</v>
      </c>
      <c r="J256" s="54"/>
      <c r="K256" s="6"/>
      <c r="L256" s="22">
        <v>263850.07</v>
      </c>
      <c r="M256" s="22">
        <v>263850.07</v>
      </c>
      <c r="N256" s="22">
        <v>263850.07</v>
      </c>
      <c r="O256" s="22">
        <v>263850.07</v>
      </c>
      <c r="P256" s="22">
        <v>0</v>
      </c>
      <c r="Q256" s="22">
        <f t="shared" ref="Q256:AI256" si="386">SUM(Q257:Q259)</f>
        <v>129827.12535</v>
      </c>
      <c r="R256" s="22">
        <f t="shared" si="386"/>
        <v>21023.332999999999</v>
      </c>
      <c r="S256" s="22">
        <f t="shared" si="386"/>
        <v>21023.332999999999</v>
      </c>
      <c r="T256" s="22">
        <f t="shared" si="386"/>
        <v>32329.882999999998</v>
      </c>
      <c r="U256" s="22">
        <f t="shared" si="386"/>
        <v>32329.882999999998</v>
      </c>
      <c r="V256" s="22">
        <f t="shared" si="386"/>
        <v>76473.909350000002</v>
      </c>
      <c r="W256" s="22">
        <f t="shared" si="386"/>
        <v>76473.909350000002</v>
      </c>
      <c r="X256" s="22">
        <f t="shared" si="386"/>
        <v>0</v>
      </c>
      <c r="Y256" s="22">
        <f t="shared" si="386"/>
        <v>0</v>
      </c>
      <c r="Z256" s="22">
        <f t="shared" si="386"/>
        <v>118008.97852</v>
      </c>
      <c r="AA256" s="22">
        <f t="shared" si="386"/>
        <v>21023.332999999999</v>
      </c>
      <c r="AB256" s="22">
        <f t="shared" si="386"/>
        <v>20528.517</v>
      </c>
      <c r="AC256" s="22">
        <f t="shared" si="386"/>
        <v>76457.128519999998</v>
      </c>
      <c r="AD256" s="22">
        <f t="shared" si="386"/>
        <v>0</v>
      </c>
      <c r="AE256" s="22">
        <f t="shared" si="386"/>
        <v>0</v>
      </c>
      <c r="AF256" s="22">
        <f t="shared" si="386"/>
        <v>0</v>
      </c>
      <c r="AG256" s="22">
        <f t="shared" si="386"/>
        <v>0</v>
      </c>
      <c r="AH256" s="22">
        <f t="shared" si="386"/>
        <v>0</v>
      </c>
      <c r="AI256" s="22">
        <f t="shared" si="386"/>
        <v>0</v>
      </c>
      <c r="AJ256" s="47">
        <v>0</v>
      </c>
      <c r="AK256" s="47">
        <v>0</v>
      </c>
      <c r="AL256" s="47">
        <v>0</v>
      </c>
      <c r="AM256" s="47">
        <v>0</v>
      </c>
      <c r="AN256" s="47">
        <v>0</v>
      </c>
      <c r="AO256" s="427"/>
      <c r="AP256" s="12"/>
      <c r="AQ256" s="12"/>
      <c r="AR256" s="12"/>
      <c r="AS256" s="12"/>
      <c r="AT256" s="12"/>
      <c r="AU256" s="12"/>
      <c r="AV256" s="12"/>
      <c r="AW256" s="100"/>
      <c r="AX256" s="100"/>
      <c r="AY256" s="12"/>
      <c r="AZ256" s="12"/>
      <c r="BA256" s="12"/>
      <c r="BB256" s="12"/>
      <c r="BC256" s="12"/>
      <c r="BD256" s="12"/>
      <c r="BE256" s="12"/>
      <c r="BF256" s="12"/>
      <c r="BG256" s="12"/>
      <c r="BH256" s="312"/>
      <c r="BI256" s="125">
        <v>0</v>
      </c>
      <c r="BJ256" s="126">
        <v>0</v>
      </c>
      <c r="BK256" s="126">
        <v>0</v>
      </c>
      <c r="BL256" s="126">
        <v>0</v>
      </c>
      <c r="BM256" s="125">
        <v>0</v>
      </c>
      <c r="BN256" s="126">
        <v>0</v>
      </c>
      <c r="BO256" s="126">
        <v>0</v>
      </c>
      <c r="BP256" s="126">
        <v>0</v>
      </c>
    </row>
    <row r="257" spans="1:68" s="672" customFormat="1" ht="31.5" hidden="1" customHeight="1">
      <c r="A257" s="1013"/>
      <c r="B257" s="105" t="s">
        <v>338</v>
      </c>
      <c r="C257" s="106"/>
      <c r="D257" s="106"/>
      <c r="E257" s="106"/>
      <c r="F257" s="106"/>
      <c r="G257" s="107"/>
      <c r="H257" s="107"/>
      <c r="I257" s="1"/>
      <c r="J257" s="108"/>
      <c r="K257" s="109"/>
      <c r="L257" s="178"/>
      <c r="M257" s="178"/>
      <c r="N257" s="178"/>
      <c r="O257" s="178"/>
      <c r="P257" s="178"/>
      <c r="Q257" s="178">
        <f>S257+U257+W257</f>
        <v>117812.625</v>
      </c>
      <c r="R257" s="178">
        <f>S257</f>
        <v>21006.397999999997</v>
      </c>
      <c r="S257" s="178">
        <f>13479.106+2695.821+4026.226+805.245</f>
        <v>21006.397999999997</v>
      </c>
      <c r="T257" s="178">
        <f>U257</f>
        <v>20476.314999999999</v>
      </c>
      <c r="U257" s="178">
        <v>20476.314999999999</v>
      </c>
      <c r="V257" s="178">
        <f>W257</f>
        <v>76329.911999999997</v>
      </c>
      <c r="W257" s="178">
        <v>76329.911999999997</v>
      </c>
      <c r="X257" s="178"/>
      <c r="Y257" s="178"/>
      <c r="Z257" s="178">
        <f>AA257+AB257+AC257</f>
        <v>117812.625</v>
      </c>
      <c r="AA257" s="178">
        <f>13479.106+2695.821+4026.226+805.245</f>
        <v>21006.397999999997</v>
      </c>
      <c r="AB257" s="178">
        <v>20476.314999999999</v>
      </c>
      <c r="AC257" s="178">
        <f>76329.912</f>
        <v>76329.911999999997</v>
      </c>
      <c r="AD257" s="178"/>
      <c r="AE257" s="178"/>
      <c r="AF257" s="178"/>
      <c r="AG257" s="178"/>
      <c r="AH257" s="178"/>
      <c r="AI257" s="178"/>
      <c r="AJ257" s="178"/>
      <c r="AK257" s="178"/>
      <c r="AL257" s="178"/>
      <c r="AM257" s="178"/>
      <c r="AN257" s="178"/>
      <c r="AO257" s="429"/>
      <c r="AP257" s="12"/>
      <c r="AQ257" s="12"/>
      <c r="AR257" s="12"/>
      <c r="AS257" s="12"/>
      <c r="AT257" s="12"/>
      <c r="AU257" s="12"/>
      <c r="AV257" s="12"/>
      <c r="AW257" s="100"/>
      <c r="AX257" s="100"/>
      <c r="AY257" s="12"/>
      <c r="AZ257" s="12"/>
      <c r="BA257" s="12"/>
      <c r="BB257" s="12"/>
      <c r="BC257" s="12"/>
      <c r="BD257" s="12"/>
      <c r="BE257" s="12"/>
      <c r="BF257" s="12"/>
      <c r="BG257" s="12"/>
      <c r="BH257" s="312"/>
      <c r="BI257" s="114"/>
      <c r="BJ257" s="114"/>
      <c r="BK257" s="114"/>
      <c r="BL257" s="114"/>
      <c r="BM257"/>
      <c r="BN257"/>
      <c r="BO257"/>
      <c r="BP257"/>
    </row>
    <row r="258" spans="1:68" s="672" customFormat="1" ht="16.5" hidden="1" customHeight="1">
      <c r="A258" s="1013"/>
      <c r="B258" s="105" t="s">
        <v>356</v>
      </c>
      <c r="C258" s="106"/>
      <c r="D258" s="106"/>
      <c r="E258" s="106"/>
      <c r="F258" s="106"/>
      <c r="G258" s="107"/>
      <c r="H258" s="107"/>
      <c r="I258" s="1"/>
      <c r="J258" s="108"/>
      <c r="K258" s="109"/>
      <c r="L258" s="178"/>
      <c r="M258" s="178"/>
      <c r="N258" s="178"/>
      <c r="O258" s="178"/>
      <c r="P258" s="178"/>
      <c r="Q258" s="178">
        <f>U258</f>
        <v>11818.146000000001</v>
      </c>
      <c r="R258" s="178"/>
      <c r="S258" s="178"/>
      <c r="T258" s="178">
        <f t="shared" ref="T258:T259" si="387">U258</f>
        <v>11818.146000000001</v>
      </c>
      <c r="U258" s="178">
        <v>11818.146000000001</v>
      </c>
      <c r="V258" s="178"/>
      <c r="W258" s="178"/>
      <c r="X258" s="178"/>
      <c r="Y258" s="178"/>
      <c r="Z258" s="178"/>
      <c r="AA258" s="178"/>
      <c r="AB258" s="178"/>
      <c r="AC258" s="178"/>
      <c r="AD258" s="178"/>
      <c r="AE258" s="178"/>
      <c r="AF258" s="178"/>
      <c r="AG258" s="178"/>
      <c r="AH258" s="178"/>
      <c r="AI258" s="178"/>
      <c r="AJ258" s="178"/>
      <c r="AK258" s="178"/>
      <c r="AL258" s="178"/>
      <c r="AM258" s="178"/>
      <c r="AN258" s="178"/>
      <c r="AO258" s="429"/>
      <c r="AP258" s="12"/>
      <c r="AQ258" s="12"/>
      <c r="AR258" s="12"/>
      <c r="AS258" s="12"/>
      <c r="AT258" s="12"/>
      <c r="AU258" s="12"/>
      <c r="AV258" s="12"/>
      <c r="AW258" s="100"/>
      <c r="AX258" s="100"/>
      <c r="AY258" s="12"/>
      <c r="AZ258" s="12"/>
      <c r="BA258" s="12"/>
      <c r="BB258" s="12"/>
      <c r="BC258" s="12"/>
      <c r="BD258" s="12"/>
      <c r="BE258" s="12"/>
      <c r="BF258" s="12"/>
      <c r="BG258" s="12"/>
      <c r="BH258" s="312"/>
      <c r="BI258" s="114"/>
      <c r="BJ258" s="114"/>
      <c r="BK258" s="114"/>
      <c r="BL258" s="114"/>
      <c r="BM258"/>
      <c r="BN258"/>
      <c r="BO258"/>
      <c r="BP258"/>
    </row>
    <row r="259" spans="1:68" s="270" customFormat="1" ht="25.5" hidden="1" customHeight="1">
      <c r="A259" s="1013"/>
      <c r="B259" s="105" t="s">
        <v>341</v>
      </c>
      <c r="C259" s="106"/>
      <c r="D259" s="106"/>
      <c r="E259" s="106"/>
      <c r="F259" s="106"/>
      <c r="G259" s="107"/>
      <c r="H259" s="107"/>
      <c r="I259" s="1"/>
      <c r="J259" s="108"/>
      <c r="K259" s="109"/>
      <c r="L259" s="178"/>
      <c r="M259" s="178"/>
      <c r="N259" s="178"/>
      <c r="O259" s="178"/>
      <c r="P259" s="178"/>
      <c r="Q259" s="178">
        <f>S259+U259+W259</f>
        <v>196.35435000000001</v>
      </c>
      <c r="R259" s="178">
        <f>S259</f>
        <v>16.934999999999999</v>
      </c>
      <c r="S259" s="178">
        <f>13.04+3.895</f>
        <v>16.934999999999999</v>
      </c>
      <c r="T259" s="178">
        <f t="shared" si="387"/>
        <v>35.421999999999997</v>
      </c>
      <c r="U259" s="178">
        <v>35.421999999999997</v>
      </c>
      <c r="V259" s="178">
        <f>W259</f>
        <v>143.99735000000001</v>
      </c>
      <c r="W259" s="178">
        <f>127.21652+16.78083</f>
        <v>143.99735000000001</v>
      </c>
      <c r="X259" s="178"/>
      <c r="Y259" s="178"/>
      <c r="Z259" s="178">
        <f>AA259+AB259+AC259</f>
        <v>196.35352</v>
      </c>
      <c r="AA259" s="178">
        <f>13.04+3.895</f>
        <v>16.934999999999999</v>
      </c>
      <c r="AB259" s="178">
        <v>52.201999999999998</v>
      </c>
      <c r="AC259" s="178">
        <v>127.21652</v>
      </c>
      <c r="AD259" s="178"/>
      <c r="AE259" s="178"/>
      <c r="AF259" s="178"/>
      <c r="AG259" s="178"/>
      <c r="AH259" s="178"/>
      <c r="AI259" s="178"/>
      <c r="AJ259" s="178"/>
      <c r="AK259" s="178"/>
      <c r="AL259" s="178"/>
      <c r="AM259" s="178"/>
      <c r="AN259" s="178"/>
      <c r="AO259" s="429"/>
      <c r="AP259" s="12"/>
      <c r="AQ259" s="12"/>
      <c r="AR259" s="12"/>
      <c r="AS259" s="12"/>
      <c r="AT259" s="12"/>
      <c r="AU259" s="12"/>
      <c r="AV259" s="12"/>
      <c r="AW259" s="100"/>
      <c r="AX259" s="100"/>
      <c r="AY259" s="12"/>
      <c r="AZ259" s="12"/>
      <c r="BA259" s="12"/>
      <c r="BB259" s="12"/>
      <c r="BC259" s="12"/>
      <c r="BD259" s="12"/>
      <c r="BE259" s="12"/>
      <c r="BF259" s="12"/>
      <c r="BG259" s="12"/>
      <c r="BH259" s="312"/>
      <c r="BI259" s="114"/>
      <c r="BJ259" s="114"/>
      <c r="BK259" s="114"/>
      <c r="BL259" s="114"/>
      <c r="BM259"/>
      <c r="BN259"/>
      <c r="BO259"/>
      <c r="BP259"/>
    </row>
    <row r="260" spans="1:68" ht="15.75">
      <c r="A260" s="692"/>
      <c r="B260" s="111"/>
      <c r="C260" s="111"/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  <c r="O260" s="111"/>
      <c r="P260" s="136"/>
      <c r="Q260" s="111"/>
      <c r="R260" s="136"/>
      <c r="S260" s="136"/>
      <c r="T260" s="111"/>
      <c r="U260" s="111"/>
      <c r="V260" s="111"/>
      <c r="W260" s="111"/>
    </row>
    <row r="261" spans="1:68" ht="15.75">
      <c r="B261" s="111"/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1"/>
      <c r="P261" s="136"/>
      <c r="Q261" s="111"/>
      <c r="R261" s="136"/>
      <c r="S261" s="136"/>
      <c r="T261" s="111"/>
      <c r="U261" s="111"/>
      <c r="V261" s="111"/>
      <c r="W261" s="111"/>
    </row>
    <row r="262" spans="1:68" ht="15.75">
      <c r="B262" s="111" t="s">
        <v>94</v>
      </c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136"/>
      <c r="Q262" s="111"/>
      <c r="S262" s="111"/>
      <c r="T262" s="111"/>
      <c r="W262" s="111"/>
      <c r="AE262" s="136" t="s">
        <v>95</v>
      </c>
      <c r="AI262" s="111"/>
      <c r="BL262" s="114" t="s">
        <v>95</v>
      </c>
    </row>
    <row r="264" spans="1:68" ht="15.75">
      <c r="W264" s="111"/>
      <c r="AI264" s="111"/>
    </row>
    <row r="265" spans="1:68" s="209" customFormat="1" ht="15.75">
      <c r="B265" s="111" t="s">
        <v>98</v>
      </c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36"/>
      <c r="P265" s="111"/>
      <c r="Q265" s="111" t="s">
        <v>99</v>
      </c>
      <c r="R265" s="111" t="s">
        <v>99</v>
      </c>
      <c r="S265" s="111"/>
      <c r="T265" s="136" t="s">
        <v>99</v>
      </c>
      <c r="U265" s="12"/>
      <c r="V265" s="111"/>
      <c r="W265" s="100"/>
      <c r="X265" s="100"/>
      <c r="Y265" s="12"/>
      <c r="Z265" s="12"/>
      <c r="AA265" s="12"/>
      <c r="AB265" s="12"/>
      <c r="AC265" s="12"/>
      <c r="AD265" s="136"/>
      <c r="AE265" s="12"/>
      <c r="AF265" s="12"/>
      <c r="AG265" s="12"/>
      <c r="AH265" s="111"/>
      <c r="AI265" s="12"/>
      <c r="AJ265" s="111"/>
      <c r="AK265" s="12"/>
      <c r="AL265" s="12"/>
      <c r="AM265" s="12"/>
      <c r="AN265" s="12"/>
      <c r="AO265" s="422"/>
      <c r="AP265" s="12"/>
      <c r="AQ265" s="12"/>
      <c r="AR265" s="12"/>
      <c r="AS265" s="12"/>
      <c r="AT265" s="12"/>
      <c r="AU265" s="12"/>
      <c r="AV265" s="12"/>
      <c r="AW265" s="100"/>
      <c r="AX265" s="100"/>
      <c r="AY265" s="12"/>
      <c r="AZ265" s="12"/>
      <c r="BA265" s="12"/>
      <c r="BB265" s="12"/>
      <c r="BC265" s="12"/>
      <c r="BD265" s="12"/>
      <c r="BE265" s="12"/>
      <c r="BF265" s="12"/>
      <c r="BG265" s="12"/>
      <c r="BH265" s="312"/>
      <c r="BI265" s="114"/>
      <c r="BJ265" s="114"/>
      <c r="BK265" s="114"/>
      <c r="BL265" s="114" t="s">
        <v>99</v>
      </c>
      <c r="BM265"/>
      <c r="BN265"/>
      <c r="BO265"/>
      <c r="BP265"/>
    </row>
    <row r="267" spans="1:68" ht="15.75">
      <c r="A267" s="111"/>
    </row>
    <row r="268" spans="1:68" ht="15.75">
      <c r="V268" s="111"/>
      <c r="W268" s="100"/>
      <c r="Y268" s="12"/>
      <c r="AH268" s="111"/>
    </row>
    <row r="269" spans="1:68" ht="15.75">
      <c r="V269" s="111"/>
      <c r="W269" s="100"/>
      <c r="Y269" s="12"/>
      <c r="AH269" s="111"/>
    </row>
    <row r="270" spans="1:68">
      <c r="S270" s="209"/>
      <c r="T270" s="209"/>
      <c r="U270" s="209"/>
      <c r="V270" s="209"/>
      <c r="W270" s="398"/>
      <c r="X270" s="398"/>
      <c r="Y270" s="209"/>
      <c r="Z270" s="209"/>
      <c r="AA270" s="209"/>
      <c r="AB270" s="209"/>
      <c r="AC270" s="209"/>
      <c r="AD270" s="209"/>
      <c r="AE270" s="209"/>
      <c r="AF270" s="209"/>
      <c r="AG270" s="209"/>
      <c r="AH270" s="209"/>
      <c r="AI270" s="209"/>
    </row>
  </sheetData>
  <mergeCells count="224">
    <mergeCell ref="BH26:BH35"/>
    <mergeCell ref="A1:BP1"/>
    <mergeCell ref="BH7:BH9"/>
    <mergeCell ref="BI7:BL7"/>
    <mergeCell ref="BM7:BP7"/>
    <mergeCell ref="BD8:BD9"/>
    <mergeCell ref="BE8:BE9"/>
    <mergeCell ref="BF8:BG8"/>
    <mergeCell ref="BI8:BJ8"/>
    <mergeCell ref="BK8:BL8"/>
    <mergeCell ref="BM8:BN8"/>
    <mergeCell ref="BO8:BP8"/>
    <mergeCell ref="AU7:AV8"/>
    <mergeCell ref="AW7:AX8"/>
    <mergeCell ref="AY7:AZ8"/>
    <mergeCell ref="BA7:BB8"/>
    <mergeCell ref="BC7:BC9"/>
    <mergeCell ref="BD7:BG7"/>
    <mergeCell ref="B11:F11"/>
    <mergeCell ref="A12:H15"/>
    <mergeCell ref="A16:H16"/>
    <mergeCell ref="A17:H21"/>
    <mergeCell ref="A22:A25"/>
    <mergeCell ref="B22:H25"/>
    <mergeCell ref="A248:A250"/>
    <mergeCell ref="I248:I250"/>
    <mergeCell ref="A251:A259"/>
    <mergeCell ref="AP7:AP8"/>
    <mergeCell ref="AQ7:AR8"/>
    <mergeCell ref="AS7:AT8"/>
    <mergeCell ref="A241:A247"/>
    <mergeCell ref="C241:C242"/>
    <mergeCell ref="D241:D242"/>
    <mergeCell ref="E241:E242"/>
    <mergeCell ref="F241:F242"/>
    <mergeCell ref="I241:I247"/>
    <mergeCell ref="A236:A240"/>
    <mergeCell ref="C236:C237"/>
    <mergeCell ref="D236:D237"/>
    <mergeCell ref="E236:E237"/>
    <mergeCell ref="F236:F237"/>
    <mergeCell ref="I236:I240"/>
    <mergeCell ref="I230:I231"/>
    <mergeCell ref="J230:J231"/>
    <mergeCell ref="A232:A235"/>
    <mergeCell ref="C232:C233"/>
    <mergeCell ref="D232:D233"/>
    <mergeCell ref="E232:E233"/>
    <mergeCell ref="F232:F233"/>
    <mergeCell ref="I232:I235"/>
    <mergeCell ref="A214:A218"/>
    <mergeCell ref="I214:I218"/>
    <mergeCell ref="A219:A220"/>
    <mergeCell ref="I219:I220"/>
    <mergeCell ref="I227:I229"/>
    <mergeCell ref="A230:A231"/>
    <mergeCell ref="C230:C231"/>
    <mergeCell ref="D230:D231"/>
    <mergeCell ref="E230:E231"/>
    <mergeCell ref="F230:F231"/>
    <mergeCell ref="I203:I206"/>
    <mergeCell ref="J203:J206"/>
    <mergeCell ref="A207:A210"/>
    <mergeCell ref="B207:H210"/>
    <mergeCell ref="A211:A212"/>
    <mergeCell ref="I211:I212"/>
    <mergeCell ref="A199:A202"/>
    <mergeCell ref="B199:H202"/>
    <mergeCell ref="A203:A206"/>
    <mergeCell ref="C203:C206"/>
    <mergeCell ref="D203:D206"/>
    <mergeCell ref="E203:E206"/>
    <mergeCell ref="F203:F206"/>
    <mergeCell ref="G203:G206"/>
    <mergeCell ref="H203:H206"/>
    <mergeCell ref="J178:J182"/>
    <mergeCell ref="A183:A184"/>
    <mergeCell ref="I183:I184"/>
    <mergeCell ref="I189:I190"/>
    <mergeCell ref="I195:I196"/>
    <mergeCell ref="I197:I198"/>
    <mergeCell ref="A178:A182"/>
    <mergeCell ref="C178:C182"/>
    <mergeCell ref="D178:D182"/>
    <mergeCell ref="E178:E182"/>
    <mergeCell ref="F178:F182"/>
    <mergeCell ref="I178:I182"/>
    <mergeCell ref="A162:A163"/>
    <mergeCell ref="I162:I163"/>
    <mergeCell ref="A165:A166"/>
    <mergeCell ref="I165:I166"/>
    <mergeCell ref="A174:A177"/>
    <mergeCell ref="B174:H177"/>
    <mergeCell ref="H149:H150"/>
    <mergeCell ref="I149:I150"/>
    <mergeCell ref="J149:J150"/>
    <mergeCell ref="K149:K150"/>
    <mergeCell ref="A158:A159"/>
    <mergeCell ref="I158:I159"/>
    <mergeCell ref="A149:A150"/>
    <mergeCell ref="C149:C150"/>
    <mergeCell ref="D149:D150"/>
    <mergeCell ref="E149:E150"/>
    <mergeCell ref="F149:F150"/>
    <mergeCell ref="G149:G150"/>
    <mergeCell ref="H141:H142"/>
    <mergeCell ref="I141:I142"/>
    <mergeCell ref="J141:J142"/>
    <mergeCell ref="K141:K142"/>
    <mergeCell ref="A145:A148"/>
    <mergeCell ref="F145:F148"/>
    <mergeCell ref="I145:I148"/>
    <mergeCell ref="A141:A142"/>
    <mergeCell ref="C141:C142"/>
    <mergeCell ref="D141:D142"/>
    <mergeCell ref="E141:E142"/>
    <mergeCell ref="F141:F142"/>
    <mergeCell ref="G141:G142"/>
    <mergeCell ref="A126:A130"/>
    <mergeCell ref="I126:I130"/>
    <mergeCell ref="J126:J130"/>
    <mergeCell ref="A132:H136"/>
    <mergeCell ref="A137:A140"/>
    <mergeCell ref="B137:H140"/>
    <mergeCell ref="A114:A118"/>
    <mergeCell ref="I114:I118"/>
    <mergeCell ref="A119:A120"/>
    <mergeCell ref="I119:I120"/>
    <mergeCell ref="A122:A125"/>
    <mergeCell ref="B122:H125"/>
    <mergeCell ref="A102:A106"/>
    <mergeCell ref="I102:I106"/>
    <mergeCell ref="A107:A108"/>
    <mergeCell ref="I107:I108"/>
    <mergeCell ref="A110:A113"/>
    <mergeCell ref="I110:I113"/>
    <mergeCell ref="A90:A91"/>
    <mergeCell ref="I90:I91"/>
    <mergeCell ref="A93:A94"/>
    <mergeCell ref="I93:I94"/>
    <mergeCell ref="A96:A101"/>
    <mergeCell ref="I96:I101"/>
    <mergeCell ref="C80:C85"/>
    <mergeCell ref="D80:D85"/>
    <mergeCell ref="E80:E85"/>
    <mergeCell ref="F80:F85"/>
    <mergeCell ref="I80:I85"/>
    <mergeCell ref="I87:I88"/>
    <mergeCell ref="I68:I71"/>
    <mergeCell ref="J68:J71"/>
    <mergeCell ref="A72:A75"/>
    <mergeCell ref="B72:H75"/>
    <mergeCell ref="A76:A77"/>
    <mergeCell ref="I76:I77"/>
    <mergeCell ref="A65:A67"/>
    <mergeCell ref="B65:H67"/>
    <mergeCell ref="A68:A71"/>
    <mergeCell ref="C68:C71"/>
    <mergeCell ref="D68:D71"/>
    <mergeCell ref="E68:E71"/>
    <mergeCell ref="F68:F71"/>
    <mergeCell ref="I58:I60"/>
    <mergeCell ref="A61:A64"/>
    <mergeCell ref="C61:C64"/>
    <mergeCell ref="D61:D64"/>
    <mergeCell ref="E61:E64"/>
    <mergeCell ref="F61:F64"/>
    <mergeCell ref="I61:I64"/>
    <mergeCell ref="A55:A57"/>
    <mergeCell ref="B55:H57"/>
    <mergeCell ref="A58:A60"/>
    <mergeCell ref="C58:C60"/>
    <mergeCell ref="D58:D60"/>
    <mergeCell ref="E58:E60"/>
    <mergeCell ref="F58:F60"/>
    <mergeCell ref="A43:A46"/>
    <mergeCell ref="I43:I46"/>
    <mergeCell ref="K43:K46"/>
    <mergeCell ref="A47:A50"/>
    <mergeCell ref="B47:H50"/>
    <mergeCell ref="A51:A54"/>
    <mergeCell ref="I51:I54"/>
    <mergeCell ref="J51:J54"/>
    <mergeCell ref="K51:K54"/>
    <mergeCell ref="H26:H27"/>
    <mergeCell ref="AO27:AO37"/>
    <mergeCell ref="A40:A42"/>
    <mergeCell ref="I40:I42"/>
    <mergeCell ref="J40:J42"/>
    <mergeCell ref="K40:K42"/>
    <mergeCell ref="AO41:AO42"/>
    <mergeCell ref="A26:A35"/>
    <mergeCell ref="C26:C27"/>
    <mergeCell ref="D26:D27"/>
    <mergeCell ref="E26:E27"/>
    <mergeCell ref="F26:F27"/>
    <mergeCell ref="G26:G27"/>
    <mergeCell ref="AO7:AO9"/>
    <mergeCell ref="N8:N9"/>
    <mergeCell ref="O8:O9"/>
    <mergeCell ref="AK8:AK9"/>
    <mergeCell ref="AL8:AL9"/>
    <mergeCell ref="AM8:AN8"/>
    <mergeCell ref="V7:W8"/>
    <mergeCell ref="X7:Y8"/>
    <mergeCell ref="Z7:AD8"/>
    <mergeCell ref="AE7:AI8"/>
    <mergeCell ref="AJ7:AJ9"/>
    <mergeCell ref="AK7:AN7"/>
    <mergeCell ref="K7:K9"/>
    <mergeCell ref="L7:L9"/>
    <mergeCell ref="M7:O7"/>
    <mergeCell ref="P7:Q8"/>
    <mergeCell ref="R7:S8"/>
    <mergeCell ref="T7:U8"/>
    <mergeCell ref="A7:A9"/>
    <mergeCell ref="B7:B9"/>
    <mergeCell ref="C7:C9"/>
    <mergeCell ref="D7:D9"/>
    <mergeCell ref="E7:F8"/>
    <mergeCell ref="G7:G9"/>
    <mergeCell ref="H7:H9"/>
    <mergeCell ref="I7:I9"/>
    <mergeCell ref="J7:J9"/>
  </mergeCells>
  <pageMargins left="0" right="0" top="0.19685039370078741" bottom="0" header="0.31496062992125984" footer="0.31496062992125984"/>
  <pageSetup paperSize="9" scale="92" fitToHeight="13" orientation="landscape" r:id="rId1"/>
  <rowBreaks count="3" manualBreakCount="3">
    <brk id="50" max="16383" man="1"/>
    <brk id="161" max="16383" man="1"/>
    <brk id="21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33"/>
  <sheetViews>
    <sheetView topLeftCell="A28" zoomScale="140" zoomScaleNormal="140" workbookViewId="0">
      <selection activeCell="L18" sqref="L18"/>
    </sheetView>
  </sheetViews>
  <sheetFormatPr defaultRowHeight="15"/>
  <cols>
    <col min="1" max="1" width="8.28515625" style="131" customWidth="1"/>
    <col min="2" max="2" width="44.42578125" style="131" customWidth="1"/>
    <col min="3" max="3" width="15.85546875" style="131" customWidth="1"/>
    <col min="4" max="4" width="12.28515625" style="131" customWidth="1"/>
    <col min="5" max="5" width="12.28515625" style="131" hidden="1" customWidth="1"/>
    <col min="6" max="6" width="11.85546875" style="131" hidden="1" customWidth="1"/>
    <col min="7" max="9" width="10.7109375" style="131" hidden="1" customWidth="1"/>
    <col min="10" max="10" width="12.85546875" style="131" hidden="1" customWidth="1"/>
    <col min="11" max="11" width="12.5703125" style="131" customWidth="1"/>
    <col min="12" max="12" width="12.42578125" style="131" customWidth="1"/>
    <col min="13" max="13" width="26.28515625" style="131" customWidth="1"/>
    <col min="14" max="14" width="13.28515625" style="131" customWidth="1"/>
    <col min="15" max="15" width="11.28515625" style="131" customWidth="1"/>
    <col min="16" max="16" width="11" style="131" customWidth="1"/>
    <col min="17" max="16384" width="9.140625" style="131"/>
  </cols>
  <sheetData>
    <row r="1" spans="1:18" ht="42" customHeight="1">
      <c r="A1" s="1034" t="s">
        <v>346</v>
      </c>
      <c r="B1" s="1034"/>
      <c r="C1" s="1034"/>
      <c r="D1" s="1034"/>
      <c r="E1" s="1034"/>
      <c r="F1" s="1034"/>
      <c r="G1" s="1034"/>
      <c r="H1" s="1034"/>
      <c r="I1" s="1034"/>
      <c r="J1" s="1034"/>
      <c r="K1" s="1034"/>
      <c r="L1" s="1034"/>
      <c r="M1" s="1034"/>
      <c r="N1" s="147"/>
    </row>
    <row r="2" spans="1:18" ht="18.75">
      <c r="A2" s="1034" t="s">
        <v>439</v>
      </c>
      <c r="B2" s="1034"/>
      <c r="C2" s="1034"/>
      <c r="D2" s="1034"/>
      <c r="E2" s="1034"/>
      <c r="F2" s="1034"/>
      <c r="G2" s="1034"/>
      <c r="H2" s="1034"/>
      <c r="I2" s="1034"/>
      <c r="J2" s="1034"/>
      <c r="K2" s="1034"/>
      <c r="L2" s="1034"/>
      <c r="M2" s="1034"/>
      <c r="N2" s="147"/>
    </row>
    <row r="3" spans="1:18" ht="18.75">
      <c r="A3" s="671"/>
      <c r="B3" s="671"/>
      <c r="C3" s="671"/>
      <c r="D3" s="671"/>
      <c r="E3" s="671"/>
      <c r="F3" s="671"/>
      <c r="G3" s="671"/>
      <c r="H3" s="671"/>
      <c r="I3" s="671"/>
      <c r="J3" s="671"/>
      <c r="K3" s="671"/>
      <c r="L3" s="671"/>
      <c r="M3" s="671"/>
      <c r="N3" s="147"/>
    </row>
    <row r="4" spans="1:18" ht="18.75">
      <c r="A4" s="147"/>
      <c r="B4" s="147"/>
      <c r="C4" s="147"/>
      <c r="E4" s="654"/>
      <c r="G4" s="654"/>
      <c r="H4" s="654"/>
      <c r="I4" s="654"/>
      <c r="J4" s="654"/>
      <c r="K4" s="654"/>
      <c r="L4" s="654"/>
      <c r="M4" s="679" t="s">
        <v>246</v>
      </c>
      <c r="N4" s="147"/>
    </row>
    <row r="5" spans="1:18" ht="18.75">
      <c r="A5" s="147"/>
      <c r="B5" s="147"/>
      <c r="C5" s="147"/>
      <c r="E5" s="656"/>
      <c r="G5" s="656"/>
      <c r="H5" s="656"/>
      <c r="I5" s="656"/>
      <c r="J5" s="656"/>
      <c r="K5" s="656"/>
      <c r="L5" s="656"/>
      <c r="M5" s="680" t="s">
        <v>331</v>
      </c>
      <c r="N5" s="147"/>
    </row>
    <row r="6" spans="1:18" ht="18.75">
      <c r="A6" s="147"/>
      <c r="B6" s="147"/>
      <c r="C6" s="147"/>
      <c r="D6" s="391"/>
      <c r="E6" s="391"/>
      <c r="G6" s="653"/>
      <c r="H6" s="653"/>
      <c r="I6" s="653"/>
      <c r="J6" s="653"/>
      <c r="K6" s="653"/>
      <c r="L6" s="653"/>
      <c r="M6" s="679" t="s">
        <v>440</v>
      </c>
      <c r="N6" s="147"/>
    </row>
    <row r="7" spans="1:18" ht="18.75">
      <c r="A7" s="147"/>
      <c r="B7" s="147"/>
      <c r="C7" s="147"/>
      <c r="D7" s="671"/>
      <c r="E7" s="671"/>
      <c r="G7" s="653"/>
      <c r="H7" s="653"/>
      <c r="I7" s="653"/>
      <c r="J7" s="653"/>
      <c r="K7" s="653"/>
      <c r="L7" s="653"/>
      <c r="M7" s="678" t="s">
        <v>92</v>
      </c>
      <c r="N7" s="147"/>
    </row>
    <row r="8" spans="1:18" s="118" customFormat="1" ht="19.5" thickBot="1">
      <c r="A8" s="1050" t="s">
        <v>266</v>
      </c>
      <c r="B8" s="1050"/>
      <c r="D8" s="396">
        <f>C18-D18</f>
        <v>-81690.158640000009</v>
      </c>
      <c r="E8" s="397"/>
      <c r="F8" s="655"/>
      <c r="G8" s="655"/>
      <c r="H8" s="655"/>
      <c r="I8" s="655"/>
      <c r="J8" s="655"/>
      <c r="K8" s="655"/>
      <c r="L8" s="655"/>
      <c r="M8" s="655"/>
    </row>
    <row r="9" spans="1:18" s="151" customFormat="1">
      <c r="A9" s="1042" t="s">
        <v>110</v>
      </c>
      <c r="B9" s="1045" t="s">
        <v>0</v>
      </c>
      <c r="C9" s="1048" t="s">
        <v>332</v>
      </c>
      <c r="D9" s="1048"/>
      <c r="E9" s="1048"/>
      <c r="F9" s="1048"/>
      <c r="G9" s="1048"/>
      <c r="H9" s="1048"/>
      <c r="I9" s="1048"/>
      <c r="J9" s="1048"/>
      <c r="K9" s="1048"/>
      <c r="L9" s="1049"/>
      <c r="M9" s="1035" t="s">
        <v>75</v>
      </c>
      <c r="N9" s="148"/>
      <c r="O9" s="149"/>
      <c r="P9" s="150"/>
    </row>
    <row r="10" spans="1:18">
      <c r="A10" s="1043"/>
      <c r="B10" s="1046"/>
      <c r="C10" s="1038" t="s">
        <v>21</v>
      </c>
      <c r="D10" s="1039"/>
      <c r="E10" s="1038" t="s">
        <v>345</v>
      </c>
      <c r="F10" s="1039"/>
      <c r="G10" s="1038" t="s">
        <v>111</v>
      </c>
      <c r="H10" s="1039"/>
      <c r="I10" s="1038" t="s">
        <v>112</v>
      </c>
      <c r="J10" s="1039"/>
      <c r="K10" s="1040" t="s">
        <v>113</v>
      </c>
      <c r="L10" s="1041"/>
      <c r="M10" s="1036"/>
      <c r="N10" s="148"/>
      <c r="O10" s="149"/>
      <c r="P10" s="150"/>
      <c r="Q10" s="151"/>
    </row>
    <row r="11" spans="1:18" ht="15.75" thickBot="1">
      <c r="A11" s="1044"/>
      <c r="B11" s="1047"/>
      <c r="C11" s="152" t="s">
        <v>104</v>
      </c>
      <c r="D11" s="152" t="s">
        <v>80</v>
      </c>
      <c r="E11" s="152" t="s">
        <v>81</v>
      </c>
      <c r="F11" s="152" t="s">
        <v>82</v>
      </c>
      <c r="G11" s="152" t="s">
        <v>81</v>
      </c>
      <c r="H11" s="152" t="s">
        <v>82</v>
      </c>
      <c r="I11" s="152" t="s">
        <v>81</v>
      </c>
      <c r="J11" s="152" t="s">
        <v>82</v>
      </c>
      <c r="K11" s="153" t="s">
        <v>81</v>
      </c>
      <c r="L11" s="793" t="s">
        <v>82</v>
      </c>
      <c r="M11" s="1037"/>
      <c r="N11" s="148"/>
      <c r="O11" s="149"/>
      <c r="P11" s="150"/>
      <c r="Q11" s="151"/>
    </row>
    <row r="12" spans="1:18" s="162" customFormat="1">
      <c r="A12" s="154" t="s">
        <v>114</v>
      </c>
      <c r="B12" s="155" t="s">
        <v>115</v>
      </c>
      <c r="C12" s="156">
        <f>C13+C20+C24+C25+C27</f>
        <v>167554.31</v>
      </c>
      <c r="D12" s="156">
        <f>D13+D20+D24+D25+D27</f>
        <v>249244.46664</v>
      </c>
      <c r="E12" s="156">
        <f>E13+E20+E24+E25+E27</f>
        <v>44246.398000000001</v>
      </c>
      <c r="F12" s="156">
        <f t="shared" ref="F12:L12" si="0">F13+F20+F24+F25+F27</f>
        <v>44246.398000000001</v>
      </c>
      <c r="G12" s="156">
        <f t="shared" si="0"/>
        <v>36476.936000000002</v>
      </c>
      <c r="H12" s="156">
        <f t="shared" si="0"/>
        <v>36476.936000000002</v>
      </c>
      <c r="I12" s="156">
        <f t="shared" si="0"/>
        <v>71101</v>
      </c>
      <c r="J12" s="156">
        <f>J13+J20+J24+J25+J27</f>
        <v>71100.909639999998</v>
      </c>
      <c r="K12" s="156">
        <f>K13+K20+K24+K25+K27</f>
        <v>15729.970000000001</v>
      </c>
      <c r="L12" s="156">
        <f t="shared" si="0"/>
        <v>97420.222999999998</v>
      </c>
      <c r="M12" s="157">
        <f>F12+H12+J12+L12</f>
        <v>249244.46664</v>
      </c>
      <c r="N12" s="158"/>
      <c r="O12" s="159"/>
      <c r="P12" s="160"/>
      <c r="Q12" s="161"/>
    </row>
    <row r="13" spans="1:18" s="100" customFormat="1">
      <c r="A13" s="163" t="s">
        <v>25</v>
      </c>
      <c r="B13" s="164" t="s">
        <v>116</v>
      </c>
      <c r="C13" s="787">
        <f>SUM(C14:C19)</f>
        <v>129338.56</v>
      </c>
      <c r="D13" s="787">
        <f>SUM(D14:D19)</f>
        <v>211028.71864000001</v>
      </c>
      <c r="E13" s="787">
        <f>SUM(E14:E19)</f>
        <v>34692.44</v>
      </c>
      <c r="F13" s="787">
        <f t="shared" ref="F13:L13" si="1">SUM(F14:F19)</f>
        <v>34692.44</v>
      </c>
      <c r="G13" s="787">
        <f t="shared" si="1"/>
        <v>26476.936000000002</v>
      </c>
      <c r="H13" s="787">
        <f t="shared" si="1"/>
        <v>26476.936000000002</v>
      </c>
      <c r="I13" s="787">
        <f t="shared" si="1"/>
        <v>61101</v>
      </c>
      <c r="J13" s="787">
        <f t="shared" si="1"/>
        <v>61100.909639999998</v>
      </c>
      <c r="K13" s="787">
        <f t="shared" si="1"/>
        <v>7068.18</v>
      </c>
      <c r="L13" s="787">
        <f t="shared" si="1"/>
        <v>88758.433000000005</v>
      </c>
      <c r="M13" s="165"/>
      <c r="N13" s="166"/>
      <c r="O13" s="166"/>
      <c r="P13" s="166"/>
      <c r="Q13" s="167"/>
      <c r="R13" s="100" t="s">
        <v>117</v>
      </c>
    </row>
    <row r="14" spans="1:18">
      <c r="A14" s="168" t="s">
        <v>26</v>
      </c>
      <c r="B14" s="169" t="s">
        <v>118</v>
      </c>
      <c r="C14" s="170">
        <f>E14+G14+I14+K14</f>
        <v>0</v>
      </c>
      <c r="D14" s="170">
        <f>F14+H14+J14+L14</f>
        <v>0</v>
      </c>
      <c r="E14" s="170">
        <f t="shared" ref="E14:F17" si="2">G14+I14+K14+M14</f>
        <v>0</v>
      </c>
      <c r="F14" s="170">
        <f t="shared" si="2"/>
        <v>0</v>
      </c>
      <c r="G14" s="170">
        <f t="shared" ref="G14:G15" si="3">I14+K14+M14+O14</f>
        <v>0</v>
      </c>
      <c r="H14" s="170">
        <f t="shared" ref="H14:H15" si="4">J14+L14+N14+P14</f>
        <v>0</v>
      </c>
      <c r="I14" s="170">
        <f t="shared" ref="I14:I17" si="5">K14+M14+O14+Q14</f>
        <v>0</v>
      </c>
      <c r="J14" s="170">
        <f t="shared" ref="J14:J17" si="6">L14+N14+P14+R14</f>
        <v>0</v>
      </c>
      <c r="K14" s="170">
        <f t="shared" ref="K14:K17" si="7">M14+O14+Q14+S14</f>
        <v>0</v>
      </c>
      <c r="L14" s="170">
        <f t="shared" ref="L14:L17" si="8">N14+P14+R14+T14</f>
        <v>0</v>
      </c>
      <c r="M14" s="165"/>
      <c r="N14" s="171"/>
      <c r="O14" s="171"/>
      <c r="P14" s="171"/>
      <c r="Q14" s="151"/>
    </row>
    <row r="15" spans="1:18">
      <c r="A15" s="168" t="s">
        <v>33</v>
      </c>
      <c r="B15" s="169" t="s">
        <v>119</v>
      </c>
      <c r="C15" s="170">
        <f t="shared" ref="C15:D17" si="9">E15+G15+I15+K15</f>
        <v>0</v>
      </c>
      <c r="D15" s="170">
        <f t="shared" si="9"/>
        <v>0</v>
      </c>
      <c r="E15" s="170">
        <f t="shared" si="2"/>
        <v>0</v>
      </c>
      <c r="F15" s="170">
        <f t="shared" si="2"/>
        <v>0</v>
      </c>
      <c r="G15" s="170">
        <f t="shared" si="3"/>
        <v>0</v>
      </c>
      <c r="H15" s="170">
        <f t="shared" si="4"/>
        <v>0</v>
      </c>
      <c r="I15" s="170">
        <f t="shared" si="5"/>
        <v>0</v>
      </c>
      <c r="J15" s="170">
        <f t="shared" si="6"/>
        <v>0</v>
      </c>
      <c r="K15" s="170">
        <f t="shared" si="7"/>
        <v>0</v>
      </c>
      <c r="L15" s="170">
        <f t="shared" si="8"/>
        <v>0</v>
      </c>
      <c r="M15" s="165"/>
      <c r="N15" s="171"/>
      <c r="O15" s="171"/>
      <c r="P15" s="171"/>
      <c r="Q15" s="151"/>
    </row>
    <row r="16" spans="1:18" ht="30">
      <c r="A16" s="168" t="s">
        <v>37</v>
      </c>
      <c r="B16" s="169" t="s">
        <v>120</v>
      </c>
      <c r="C16" s="170">
        <f>E16+G16+I16+K16</f>
        <v>0</v>
      </c>
      <c r="D16" s="170">
        <f>F16+H16+J16+L16</f>
        <v>0</v>
      </c>
      <c r="E16" s="170">
        <v>0</v>
      </c>
      <c r="F16" s="170">
        <v>0</v>
      </c>
      <c r="G16" s="170">
        <f t="shared" ref="G16" si="10">I16+K16+M16+O16</f>
        <v>0</v>
      </c>
      <c r="H16" s="170">
        <f t="shared" ref="H16" si="11">J16+L16+N16+P16</f>
        <v>0</v>
      </c>
      <c r="I16" s="170">
        <f t="shared" si="5"/>
        <v>0</v>
      </c>
      <c r="J16" s="170">
        <f t="shared" si="6"/>
        <v>0</v>
      </c>
      <c r="K16" s="170">
        <f t="shared" si="7"/>
        <v>0</v>
      </c>
      <c r="L16" s="170">
        <f t="shared" si="8"/>
        <v>0</v>
      </c>
      <c r="M16" s="172"/>
      <c r="N16" s="173"/>
      <c r="O16" s="171"/>
      <c r="P16" s="171"/>
      <c r="Q16" s="151"/>
    </row>
    <row r="17" spans="1:17" ht="30">
      <c r="A17" s="168" t="s">
        <v>121</v>
      </c>
      <c r="B17" s="169" t="s">
        <v>122</v>
      </c>
      <c r="C17" s="170">
        <f t="shared" si="9"/>
        <v>0</v>
      </c>
      <c r="D17" s="170">
        <f t="shared" si="9"/>
        <v>0</v>
      </c>
      <c r="E17" s="170">
        <f t="shared" si="2"/>
        <v>0</v>
      </c>
      <c r="F17" s="170">
        <f t="shared" si="2"/>
        <v>0</v>
      </c>
      <c r="G17" s="170">
        <f t="shared" ref="G17" si="12">I17+K17+M17+O17</f>
        <v>0</v>
      </c>
      <c r="H17" s="170">
        <f t="shared" ref="H17" si="13">J17+L17+N17+P17</f>
        <v>0</v>
      </c>
      <c r="I17" s="170">
        <f t="shared" si="5"/>
        <v>0</v>
      </c>
      <c r="J17" s="170">
        <f t="shared" si="6"/>
        <v>0</v>
      </c>
      <c r="K17" s="170">
        <f t="shared" si="7"/>
        <v>0</v>
      </c>
      <c r="L17" s="170">
        <f t="shared" si="8"/>
        <v>0</v>
      </c>
      <c r="M17" s="165"/>
      <c r="N17" s="171"/>
      <c r="O17" s="171"/>
      <c r="P17" s="171"/>
      <c r="Q17" s="151"/>
    </row>
    <row r="18" spans="1:17" ht="30">
      <c r="A18" s="168" t="s">
        <v>123</v>
      </c>
      <c r="B18" s="174" t="s">
        <v>124</v>
      </c>
      <c r="C18" s="788">
        <v>129338.56</v>
      </c>
      <c r="D18" s="176">
        <f>F18+H18+J18+L18</f>
        <v>211028.71864000001</v>
      </c>
      <c r="E18" s="788">
        <f>F18</f>
        <v>34692.44</v>
      </c>
      <c r="F18" s="788">
        <v>34692.44</v>
      </c>
      <c r="G18" s="788">
        <v>26476.936000000002</v>
      </c>
      <c r="H18" s="788">
        <v>26476.936000000002</v>
      </c>
      <c r="I18" s="788">
        <v>61101</v>
      </c>
      <c r="J18" s="788">
        <v>61100.909639999998</v>
      </c>
      <c r="K18" s="788">
        <v>7068.18</v>
      </c>
      <c r="L18" s="788">
        <v>88758.433000000005</v>
      </c>
      <c r="M18" s="277"/>
      <c r="N18" s="393">
        <f>E18+G18+I18+K18</f>
        <v>129338.55600000001</v>
      </c>
      <c r="O18" s="393">
        <f>C18-N18</f>
        <v>3.999999986262992E-3</v>
      </c>
      <c r="P18" s="171"/>
      <c r="Q18" s="151"/>
    </row>
    <row r="19" spans="1:17">
      <c r="A19" s="168" t="s">
        <v>125</v>
      </c>
      <c r="B19" s="169" t="s">
        <v>126</v>
      </c>
      <c r="C19" s="789">
        <v>0</v>
      </c>
      <c r="D19" s="170">
        <f>F19+H19+J19+L19</f>
        <v>0</v>
      </c>
      <c r="E19" s="789">
        <v>0</v>
      </c>
      <c r="F19" s="789">
        <v>0</v>
      </c>
      <c r="G19" s="789">
        <v>0</v>
      </c>
      <c r="H19" s="789">
        <v>0</v>
      </c>
      <c r="I19" s="789">
        <v>0</v>
      </c>
      <c r="J19" s="789">
        <v>0</v>
      </c>
      <c r="K19" s="789">
        <v>0</v>
      </c>
      <c r="L19" s="789">
        <v>0</v>
      </c>
      <c r="M19" s="172"/>
      <c r="N19" s="171"/>
      <c r="O19" s="171"/>
      <c r="P19" s="171"/>
      <c r="Q19" s="151"/>
    </row>
    <row r="20" spans="1:17" s="100" customFormat="1">
      <c r="A20" s="163" t="s">
        <v>22</v>
      </c>
      <c r="B20" s="177" t="s">
        <v>127</v>
      </c>
      <c r="C20" s="787">
        <f>SUM(C21:C23)</f>
        <v>38215.75</v>
      </c>
      <c r="D20" s="787">
        <f t="shared" ref="D20:L20" si="14">SUM(D21:D23)</f>
        <v>38215.748</v>
      </c>
      <c r="E20" s="787">
        <f t="shared" si="14"/>
        <v>9553.9580000000005</v>
      </c>
      <c r="F20" s="787">
        <f t="shared" si="14"/>
        <v>9553.9580000000005</v>
      </c>
      <c r="G20" s="787">
        <f t="shared" si="14"/>
        <v>10000</v>
      </c>
      <c r="H20" s="787">
        <f>SUM(H21:H23)</f>
        <v>10000</v>
      </c>
      <c r="I20" s="787">
        <v>10000</v>
      </c>
      <c r="J20" s="787">
        <f>SUM(J21:J23)</f>
        <v>10000</v>
      </c>
      <c r="K20" s="787">
        <f t="shared" si="14"/>
        <v>8661.7900000000009</v>
      </c>
      <c r="L20" s="787">
        <f t="shared" si="14"/>
        <v>8661.7900000000009</v>
      </c>
      <c r="M20" s="172"/>
      <c r="N20" s="166"/>
      <c r="O20" s="166"/>
      <c r="P20" s="166"/>
      <c r="Q20" s="167"/>
    </row>
    <row r="21" spans="1:17">
      <c r="A21" s="168" t="s">
        <v>23</v>
      </c>
      <c r="B21" s="174" t="s">
        <v>128</v>
      </c>
      <c r="C21" s="790">
        <v>38215.75</v>
      </c>
      <c r="D21" s="176">
        <f>F21+H21+J21+L21</f>
        <v>38215.748</v>
      </c>
      <c r="E21" s="790">
        <f>F21</f>
        <v>9553.9580000000005</v>
      </c>
      <c r="F21" s="790">
        <v>9553.9580000000005</v>
      </c>
      <c r="G21" s="790">
        <v>10000</v>
      </c>
      <c r="H21" s="790">
        <v>10000</v>
      </c>
      <c r="I21" s="790">
        <v>10000</v>
      </c>
      <c r="J21" s="790">
        <v>10000</v>
      </c>
      <c r="K21" s="790">
        <v>8661.7900000000009</v>
      </c>
      <c r="L21" s="790">
        <v>8661.7900000000009</v>
      </c>
      <c r="M21" s="277"/>
      <c r="N21" s="393">
        <f>C21-O21</f>
        <v>2.0000000004074536E-3</v>
      </c>
      <c r="O21" s="393">
        <f>I21+E21+G21+K21</f>
        <v>38215.748</v>
      </c>
      <c r="P21" s="171"/>
      <c r="Q21" s="151"/>
    </row>
    <row r="22" spans="1:17">
      <c r="A22" s="168" t="s">
        <v>107</v>
      </c>
      <c r="B22" s="169" t="s">
        <v>129</v>
      </c>
      <c r="C22" s="789">
        <v>0</v>
      </c>
      <c r="D22" s="170">
        <f t="shared" ref="D22:D27" si="15">F22+H22+J22+L22</f>
        <v>0</v>
      </c>
      <c r="E22" s="789">
        <v>0</v>
      </c>
      <c r="F22" s="789">
        <v>0</v>
      </c>
      <c r="G22" s="789">
        <v>0</v>
      </c>
      <c r="H22" s="789">
        <v>0</v>
      </c>
      <c r="I22" s="789">
        <v>0</v>
      </c>
      <c r="J22" s="789">
        <v>0</v>
      </c>
      <c r="K22" s="789">
        <v>0</v>
      </c>
      <c r="L22" s="789">
        <v>0</v>
      </c>
      <c r="M22" s="172"/>
      <c r="N22" s="171"/>
      <c r="O22" s="171"/>
      <c r="P22" s="171"/>
      <c r="Q22" s="151"/>
    </row>
    <row r="23" spans="1:17" ht="30">
      <c r="A23" s="168" t="s">
        <v>108</v>
      </c>
      <c r="B23" s="169" t="s">
        <v>130</v>
      </c>
      <c r="C23" s="789">
        <v>0</v>
      </c>
      <c r="D23" s="170">
        <f t="shared" si="15"/>
        <v>0</v>
      </c>
      <c r="E23" s="789">
        <v>0</v>
      </c>
      <c r="F23" s="789">
        <v>0</v>
      </c>
      <c r="G23" s="789">
        <v>0</v>
      </c>
      <c r="H23" s="789">
        <v>0</v>
      </c>
      <c r="I23" s="789">
        <v>0</v>
      </c>
      <c r="J23" s="789">
        <v>0</v>
      </c>
      <c r="K23" s="789">
        <v>0</v>
      </c>
      <c r="L23" s="789">
        <v>0</v>
      </c>
      <c r="M23" s="165"/>
      <c r="N23" s="171"/>
      <c r="O23" s="171"/>
      <c r="P23" s="171"/>
      <c r="Q23" s="151"/>
    </row>
    <row r="24" spans="1:17" s="100" customFormat="1">
      <c r="A24" s="163" t="s">
        <v>29</v>
      </c>
      <c r="B24" s="177" t="s">
        <v>131</v>
      </c>
      <c r="C24" s="791">
        <v>0</v>
      </c>
      <c r="D24" s="179">
        <f t="shared" si="15"/>
        <v>0</v>
      </c>
      <c r="E24" s="791">
        <v>0</v>
      </c>
      <c r="F24" s="791">
        <v>0</v>
      </c>
      <c r="G24" s="791">
        <v>0</v>
      </c>
      <c r="H24" s="791">
        <v>0</v>
      </c>
      <c r="I24" s="791">
        <v>0</v>
      </c>
      <c r="J24" s="791">
        <v>0</v>
      </c>
      <c r="K24" s="791">
        <v>0</v>
      </c>
      <c r="L24" s="791">
        <v>0</v>
      </c>
      <c r="M24" s="165"/>
      <c r="N24" s="166"/>
      <c r="O24" s="166"/>
      <c r="P24" s="166"/>
      <c r="Q24" s="167"/>
    </row>
    <row r="25" spans="1:17" s="100" customFormat="1">
      <c r="A25" s="163" t="s">
        <v>47</v>
      </c>
      <c r="B25" s="177" t="s">
        <v>132</v>
      </c>
      <c r="C25" s="791">
        <v>0</v>
      </c>
      <c r="D25" s="179">
        <f t="shared" si="15"/>
        <v>0</v>
      </c>
      <c r="E25" s="791">
        <v>0</v>
      </c>
      <c r="F25" s="791">
        <v>0</v>
      </c>
      <c r="G25" s="791">
        <v>0</v>
      </c>
      <c r="H25" s="791">
        <v>0</v>
      </c>
      <c r="I25" s="791">
        <v>0</v>
      </c>
      <c r="J25" s="791">
        <v>0</v>
      </c>
      <c r="K25" s="791">
        <v>0</v>
      </c>
      <c r="L25" s="791">
        <v>0</v>
      </c>
      <c r="M25" s="165"/>
      <c r="N25" s="166"/>
      <c r="O25" s="166"/>
      <c r="P25" s="166"/>
      <c r="Q25" s="167"/>
    </row>
    <row r="26" spans="1:17">
      <c r="A26" s="168" t="s">
        <v>48</v>
      </c>
      <c r="B26" s="169" t="s">
        <v>133</v>
      </c>
      <c r="C26" s="789">
        <v>0</v>
      </c>
      <c r="D26" s="170">
        <f t="shared" si="15"/>
        <v>0</v>
      </c>
      <c r="E26" s="789">
        <v>0</v>
      </c>
      <c r="F26" s="789">
        <v>0</v>
      </c>
      <c r="G26" s="789">
        <v>0</v>
      </c>
      <c r="H26" s="789">
        <v>0</v>
      </c>
      <c r="I26" s="789">
        <v>0</v>
      </c>
      <c r="J26" s="789">
        <v>0</v>
      </c>
      <c r="K26" s="789">
        <v>0</v>
      </c>
      <c r="L26" s="789">
        <v>0</v>
      </c>
      <c r="M26" s="165"/>
      <c r="N26" s="171"/>
      <c r="O26" s="171"/>
      <c r="P26" s="171"/>
      <c r="Q26" s="151"/>
    </row>
    <row r="27" spans="1:17" s="100" customFormat="1" ht="15.75" thickBot="1">
      <c r="A27" s="163" t="s">
        <v>56</v>
      </c>
      <c r="B27" s="177" t="s">
        <v>134</v>
      </c>
      <c r="C27" s="180"/>
      <c r="D27" s="179">
        <f t="shared" si="15"/>
        <v>0</v>
      </c>
      <c r="E27" s="180"/>
      <c r="F27" s="180"/>
      <c r="G27" s="180"/>
      <c r="H27" s="180"/>
      <c r="I27" s="180"/>
      <c r="J27" s="180"/>
      <c r="K27" s="180"/>
      <c r="L27" s="180"/>
      <c r="M27" s="181"/>
      <c r="N27" s="166"/>
      <c r="O27" s="166"/>
      <c r="P27" s="166"/>
      <c r="Q27" s="167"/>
    </row>
    <row r="28" spans="1:17" s="189" customFormat="1">
      <c r="A28" s="182" t="s">
        <v>13</v>
      </c>
      <c r="B28" s="183" t="s">
        <v>135</v>
      </c>
      <c r="C28" s="184">
        <f>SUM(C29:C35)</f>
        <v>0</v>
      </c>
      <c r="D28" s="184">
        <f>F28+H28+J28+L28</f>
        <v>64161.04</v>
      </c>
      <c r="E28" s="184">
        <f t="shared" ref="E28:L28" si="16">SUM(E29:E35)</f>
        <v>0</v>
      </c>
      <c r="F28" s="184">
        <f>SUM(F29:F35)</f>
        <v>0</v>
      </c>
      <c r="G28" s="184">
        <f t="shared" si="16"/>
        <v>0</v>
      </c>
      <c r="H28" s="184">
        <f t="shared" si="16"/>
        <v>0</v>
      </c>
      <c r="I28" s="184">
        <f t="shared" si="16"/>
        <v>0</v>
      </c>
      <c r="J28" s="184">
        <f t="shared" si="16"/>
        <v>64161.04</v>
      </c>
      <c r="K28" s="184">
        <f t="shared" si="16"/>
        <v>0</v>
      </c>
      <c r="L28" s="184">
        <f t="shared" si="16"/>
        <v>0</v>
      </c>
      <c r="M28" s="185"/>
      <c r="N28" s="186"/>
      <c r="O28" s="187"/>
      <c r="P28" s="187"/>
      <c r="Q28" s="188"/>
    </row>
    <row r="29" spans="1:17">
      <c r="A29" s="168" t="s">
        <v>27</v>
      </c>
      <c r="B29" s="169" t="s">
        <v>136</v>
      </c>
      <c r="C29" s="789">
        <v>0</v>
      </c>
      <c r="D29" s="170">
        <f>F29+H29+J29+L29</f>
        <v>0</v>
      </c>
      <c r="E29" s="789">
        <v>0</v>
      </c>
      <c r="F29" s="789">
        <v>0</v>
      </c>
      <c r="G29" s="789">
        <v>0</v>
      </c>
      <c r="H29" s="789">
        <v>0</v>
      </c>
      <c r="I29" s="789">
        <v>0</v>
      </c>
      <c r="J29" s="789">
        <v>0</v>
      </c>
      <c r="K29" s="789">
        <v>0</v>
      </c>
      <c r="L29" s="789">
        <v>0</v>
      </c>
      <c r="M29" s="190"/>
      <c r="N29" s="171"/>
      <c r="O29" s="171"/>
      <c r="P29" s="171"/>
      <c r="Q29" s="151"/>
    </row>
    <row r="30" spans="1:17">
      <c r="A30" s="168" t="s">
        <v>24</v>
      </c>
      <c r="B30" s="169" t="s">
        <v>137</v>
      </c>
      <c r="C30" s="789">
        <v>0</v>
      </c>
      <c r="D30" s="170">
        <v>0</v>
      </c>
      <c r="E30" s="789">
        <v>0</v>
      </c>
      <c r="F30" s="789">
        <v>0</v>
      </c>
      <c r="G30" s="789">
        <v>0</v>
      </c>
      <c r="H30" s="789">
        <v>0</v>
      </c>
      <c r="I30" s="789">
        <v>0</v>
      </c>
      <c r="J30" s="789">
        <v>0</v>
      </c>
      <c r="K30" s="789">
        <v>0</v>
      </c>
      <c r="L30" s="789">
        <v>0</v>
      </c>
      <c r="M30" s="190"/>
      <c r="N30" s="171"/>
      <c r="O30" s="171"/>
      <c r="P30" s="171"/>
      <c r="Q30" s="151"/>
    </row>
    <row r="31" spans="1:17">
      <c r="A31" s="168" t="s">
        <v>31</v>
      </c>
      <c r="B31" s="169" t="s">
        <v>138</v>
      </c>
      <c r="C31" s="789">
        <v>0</v>
      </c>
      <c r="D31" s="170">
        <f t="shared" ref="D31:D35" si="17">F31+H31+J31+L31</f>
        <v>0</v>
      </c>
      <c r="E31" s="789">
        <v>0</v>
      </c>
      <c r="F31" s="789">
        <v>0</v>
      </c>
      <c r="G31" s="789">
        <v>0</v>
      </c>
      <c r="H31" s="789">
        <v>0</v>
      </c>
      <c r="I31" s="789">
        <v>0</v>
      </c>
      <c r="J31" s="789">
        <v>0</v>
      </c>
      <c r="K31" s="789">
        <v>0</v>
      </c>
      <c r="L31" s="789">
        <v>0</v>
      </c>
      <c r="M31" s="190"/>
      <c r="N31" s="171"/>
      <c r="O31" s="171"/>
      <c r="P31" s="171"/>
      <c r="Q31" s="151"/>
    </row>
    <row r="32" spans="1:17">
      <c r="A32" s="168" t="s">
        <v>139</v>
      </c>
      <c r="B32" s="169" t="s">
        <v>140</v>
      </c>
      <c r="C32" s="191">
        <v>0</v>
      </c>
      <c r="D32" s="170">
        <f>F32+H32+J32+L32</f>
        <v>64161.04</v>
      </c>
      <c r="E32" s="789">
        <v>0</v>
      </c>
      <c r="F32" s="792">
        <v>0</v>
      </c>
      <c r="G32" s="789">
        <v>0</v>
      </c>
      <c r="H32" s="789">
        <v>0</v>
      </c>
      <c r="I32" s="789">
        <v>0</v>
      </c>
      <c r="J32" s="789">
        <v>64161.04</v>
      </c>
      <c r="K32" s="789">
        <v>0</v>
      </c>
      <c r="L32" s="789">
        <v>0</v>
      </c>
      <c r="M32" s="190"/>
      <c r="N32" s="171"/>
      <c r="O32" s="171"/>
      <c r="P32" s="171"/>
      <c r="Q32" s="151"/>
    </row>
    <row r="33" spans="1:24">
      <c r="A33" s="168" t="s">
        <v>141</v>
      </c>
      <c r="B33" s="169" t="s">
        <v>142</v>
      </c>
      <c r="C33" s="789">
        <v>0</v>
      </c>
      <c r="D33" s="170">
        <f t="shared" si="17"/>
        <v>0</v>
      </c>
      <c r="E33" s="789">
        <v>0</v>
      </c>
      <c r="F33" s="789">
        <v>0</v>
      </c>
      <c r="G33" s="789">
        <v>0</v>
      </c>
      <c r="H33" s="789">
        <v>0</v>
      </c>
      <c r="I33" s="789">
        <v>0</v>
      </c>
      <c r="J33" s="789">
        <v>0</v>
      </c>
      <c r="K33" s="789">
        <v>0</v>
      </c>
      <c r="L33" s="789">
        <v>0</v>
      </c>
      <c r="M33" s="190"/>
      <c r="N33" s="171"/>
      <c r="O33" s="171"/>
      <c r="P33" s="171"/>
      <c r="Q33" s="151"/>
    </row>
    <row r="34" spans="1:24">
      <c r="A34" s="168" t="s">
        <v>143</v>
      </c>
      <c r="B34" s="169" t="s">
        <v>144</v>
      </c>
      <c r="C34" s="789">
        <v>0</v>
      </c>
      <c r="D34" s="170">
        <f t="shared" si="17"/>
        <v>0</v>
      </c>
      <c r="E34" s="789">
        <v>0</v>
      </c>
      <c r="F34" s="789">
        <v>0</v>
      </c>
      <c r="G34" s="789">
        <v>0</v>
      </c>
      <c r="H34" s="789">
        <v>0</v>
      </c>
      <c r="I34" s="789">
        <v>0</v>
      </c>
      <c r="J34" s="789">
        <v>0</v>
      </c>
      <c r="K34" s="789">
        <v>0</v>
      </c>
      <c r="L34" s="789">
        <v>0</v>
      </c>
      <c r="M34" s="190"/>
      <c r="N34" s="171"/>
      <c r="O34" s="171"/>
      <c r="P34" s="171"/>
      <c r="Q34" s="151"/>
    </row>
    <row r="35" spans="1:24" ht="15.75" thickBot="1">
      <c r="A35" s="168" t="s">
        <v>145</v>
      </c>
      <c r="B35" s="169" t="s">
        <v>146</v>
      </c>
      <c r="C35" s="191">
        <v>0</v>
      </c>
      <c r="D35" s="192">
        <f t="shared" si="17"/>
        <v>0</v>
      </c>
      <c r="E35" s="789">
        <v>0</v>
      </c>
      <c r="F35" s="789">
        <v>0</v>
      </c>
      <c r="G35" s="789">
        <v>0</v>
      </c>
      <c r="H35" s="789">
        <v>0</v>
      </c>
      <c r="I35" s="789">
        <v>0</v>
      </c>
      <c r="J35" s="789">
        <v>0</v>
      </c>
      <c r="K35" s="789">
        <v>0</v>
      </c>
      <c r="L35" s="789">
        <v>0</v>
      </c>
      <c r="M35" s="190"/>
      <c r="N35" s="393">
        <f>C35-E35</f>
        <v>0</v>
      </c>
      <c r="O35" s="171"/>
      <c r="P35" s="171"/>
      <c r="Q35" s="151"/>
    </row>
    <row r="36" spans="1:24" s="200" customFormat="1" ht="15.75" thickBot="1">
      <c r="A36" s="193"/>
      <c r="B36" s="194" t="s">
        <v>147</v>
      </c>
      <c r="C36" s="195">
        <f t="shared" ref="C36:L36" si="18">C28+C12</f>
        <v>167554.31</v>
      </c>
      <c r="D36" s="195">
        <f t="shared" si="18"/>
        <v>313405.50663999998</v>
      </c>
      <c r="E36" s="195">
        <f t="shared" si="18"/>
        <v>44246.398000000001</v>
      </c>
      <c r="F36" s="195">
        <f t="shared" si="18"/>
        <v>44246.398000000001</v>
      </c>
      <c r="G36" s="195">
        <f t="shared" si="18"/>
        <v>36476.936000000002</v>
      </c>
      <c r="H36" s="195">
        <f t="shared" si="18"/>
        <v>36476.936000000002</v>
      </c>
      <c r="I36" s="195">
        <f t="shared" si="18"/>
        <v>71101</v>
      </c>
      <c r="J36" s="195">
        <f t="shared" si="18"/>
        <v>135261.94964000001</v>
      </c>
      <c r="K36" s="195">
        <f t="shared" si="18"/>
        <v>15729.970000000001</v>
      </c>
      <c r="L36" s="195">
        <f t="shared" si="18"/>
        <v>97420.222999999998</v>
      </c>
      <c r="M36" s="196"/>
      <c r="N36" s="197"/>
      <c r="O36" s="198"/>
      <c r="P36" s="198"/>
      <c r="Q36" s="199"/>
    </row>
    <row r="37" spans="1:24">
      <c r="A37" s="201"/>
      <c r="B37" s="202"/>
      <c r="C37" s="394"/>
      <c r="D37" s="202"/>
      <c r="E37" s="202"/>
      <c r="F37" s="202"/>
      <c r="G37" s="202"/>
      <c r="H37" s="202"/>
      <c r="I37" s="203"/>
      <c r="J37" s="204"/>
      <c r="K37" s="204"/>
      <c r="L37" s="204"/>
      <c r="M37" s="204"/>
      <c r="N37" s="205"/>
      <c r="O37" s="206"/>
      <c r="P37" s="206"/>
      <c r="Q37" s="151"/>
    </row>
    <row r="38" spans="1:24" ht="18.75">
      <c r="A38" s="201"/>
      <c r="B38" s="207" t="s">
        <v>148</v>
      </c>
      <c r="C38" s="208"/>
      <c r="D38" s="208"/>
      <c r="E38" s="209"/>
      <c r="F38" s="209"/>
      <c r="G38" s="209"/>
      <c r="H38" s="209"/>
      <c r="I38" s="209"/>
      <c r="J38" s="210"/>
      <c r="K38" s="211"/>
      <c r="M38" s="134"/>
      <c r="N38" s="135"/>
      <c r="O38" s="134"/>
      <c r="Q38" s="134"/>
      <c r="R38" s="134"/>
      <c r="S38" s="134"/>
      <c r="T38" s="133"/>
      <c r="U38" s="133"/>
      <c r="V38" s="135"/>
      <c r="W38" s="133"/>
      <c r="X38"/>
    </row>
    <row r="39" spans="1:24">
      <c r="A39" s="201"/>
      <c r="B39" s="207" t="s">
        <v>149</v>
      </c>
      <c r="C39" s="208"/>
      <c r="D39" s="208"/>
      <c r="M39" s="204"/>
      <c r="N39" s="205"/>
      <c r="O39" s="206"/>
      <c r="P39" s="206"/>
    </row>
    <row r="40" spans="1:24">
      <c r="A40" s="201"/>
      <c r="B40" s="202"/>
      <c r="C40" s="202"/>
      <c r="D40" s="202"/>
      <c r="E40"/>
      <c r="K40"/>
      <c r="M40" s="204"/>
      <c r="N40" s="205"/>
      <c r="O40" s="206"/>
      <c r="P40" s="206"/>
    </row>
    <row r="41" spans="1:24" ht="15.75" hidden="1">
      <c r="A41" s="201"/>
      <c r="B41" s="136" t="s">
        <v>151</v>
      </c>
      <c r="C41" s="212"/>
      <c r="D41" s="212"/>
      <c r="E41" s="212"/>
      <c r="F41" s="212"/>
      <c r="G41" s="212"/>
      <c r="H41" s="212"/>
      <c r="I41" s="213"/>
      <c r="J41" s="214"/>
      <c r="K41" s="214"/>
      <c r="L41" s="214"/>
      <c r="M41" s="136"/>
      <c r="N41" s="215"/>
      <c r="O41" s="206"/>
      <c r="P41" s="206"/>
    </row>
    <row r="42" spans="1:24" ht="15.75" hidden="1">
      <c r="A42" s="201"/>
      <c r="B42" s="136" t="s">
        <v>152</v>
      </c>
      <c r="C42" s="212"/>
      <c r="D42" s="212"/>
      <c r="F42" s="136" t="s">
        <v>153</v>
      </c>
      <c r="H42" s="212"/>
      <c r="I42" s="213"/>
      <c r="J42" s="214"/>
      <c r="K42" s="214"/>
      <c r="L42" s="214"/>
      <c r="N42" s="215"/>
      <c r="O42" s="206"/>
      <c r="P42" s="206"/>
    </row>
    <row r="43" spans="1:24" ht="18.75">
      <c r="A43" s="201"/>
      <c r="B43" s="136"/>
      <c r="C43" s="139"/>
      <c r="D43" s="139"/>
      <c r="F43" s="136"/>
      <c r="H43" s="136"/>
      <c r="I43" s="136"/>
      <c r="J43" s="137"/>
      <c r="K43" s="138"/>
      <c r="L43" s="137"/>
      <c r="M43" s="111"/>
      <c r="N43" s="135"/>
      <c r="O43" s="134"/>
      <c r="P43" s="135"/>
      <c r="Q43" s="134"/>
      <c r="R43" s="134"/>
      <c r="S43" s="134"/>
      <c r="T43" s="133"/>
      <c r="U43" s="133"/>
      <c r="W43" s="133"/>
    </row>
    <row r="44" spans="1:24" ht="32.25">
      <c r="A44" s="201"/>
      <c r="B44" s="216" t="s">
        <v>109</v>
      </c>
      <c r="C44" s="139"/>
      <c r="D44" s="139"/>
      <c r="F44" s="217" t="s">
        <v>97</v>
      </c>
      <c r="H44" s="136"/>
      <c r="I44" s="136"/>
      <c r="J44" s="136"/>
      <c r="K44" s="136"/>
      <c r="L44" s="136"/>
      <c r="M44" s="216" t="s">
        <v>97</v>
      </c>
      <c r="N44" s="132"/>
      <c r="O44" s="132"/>
      <c r="P44" s="132"/>
      <c r="Q44" s="132"/>
      <c r="R44" s="132"/>
      <c r="S44" s="132"/>
      <c r="T44" s="132"/>
      <c r="U44" s="133"/>
      <c r="V44" s="132"/>
      <c r="W44" s="133"/>
    </row>
    <row r="45" spans="1:24" ht="18.75">
      <c r="A45" s="201"/>
      <c r="B45" s="216"/>
      <c r="C45" s="139"/>
      <c r="D45" s="139"/>
      <c r="F45" s="136"/>
      <c r="H45" s="136"/>
      <c r="I45" s="136"/>
      <c r="J45" s="136"/>
      <c r="K45" s="136"/>
      <c r="L45" s="136"/>
      <c r="M45" s="216"/>
      <c r="N45" s="132"/>
      <c r="O45" s="132"/>
      <c r="P45" s="132"/>
      <c r="Q45" s="132"/>
      <c r="R45" s="132"/>
      <c r="S45" s="132"/>
      <c r="T45" s="132"/>
      <c r="U45" s="133"/>
      <c r="V45" s="132"/>
      <c r="W45" s="133"/>
    </row>
    <row r="46" spans="1:24" ht="15.75">
      <c r="A46" s="201"/>
      <c r="B46" s="136" t="s">
        <v>94</v>
      </c>
      <c r="C46" s="212"/>
      <c r="D46" s="212"/>
      <c r="F46" s="136" t="s">
        <v>95</v>
      </c>
      <c r="H46" s="212"/>
      <c r="I46" s="213"/>
      <c r="J46" s="214"/>
      <c r="K46" s="214"/>
      <c r="L46" s="214"/>
      <c r="M46" s="136" t="s">
        <v>95</v>
      </c>
      <c r="N46" s="215"/>
      <c r="O46" s="206"/>
      <c r="P46" s="206"/>
    </row>
    <row r="47" spans="1:24" ht="18.75">
      <c r="A47" s="201"/>
      <c r="B47" s="218"/>
      <c r="C47" s="218"/>
      <c r="D47" s="136"/>
      <c r="F47" s="136"/>
      <c r="I47" s="136"/>
      <c r="J47" s="136"/>
      <c r="K47" s="136"/>
      <c r="L47" s="136"/>
      <c r="M47" s="218"/>
      <c r="N47" s="132"/>
      <c r="O47" s="132"/>
      <c r="P47" s="132"/>
      <c r="Q47" s="132"/>
      <c r="R47" s="132"/>
      <c r="S47" s="132"/>
      <c r="T47" s="132"/>
      <c r="U47" s="133"/>
      <c r="V47" s="132"/>
      <c r="W47" s="133"/>
    </row>
    <row r="48" spans="1:24" ht="18.75">
      <c r="A48" s="201"/>
      <c r="B48" s="136" t="s">
        <v>98</v>
      </c>
      <c r="C48" s="218"/>
      <c r="D48" s="139"/>
      <c r="F48" s="136" t="s">
        <v>158</v>
      </c>
      <c r="H48" s="218"/>
      <c r="I48" s="218"/>
      <c r="J48" s="218"/>
      <c r="K48" s="218"/>
      <c r="L48" s="218"/>
      <c r="M48" s="136" t="s">
        <v>99</v>
      </c>
      <c r="N48" s="134"/>
      <c r="O48" s="135"/>
      <c r="P48" s="135"/>
      <c r="Q48" s="134"/>
      <c r="R48" s="134"/>
      <c r="S48" s="134"/>
      <c r="T48" s="134"/>
      <c r="U48" s="133"/>
      <c r="W48" s="133"/>
    </row>
    <row r="49" spans="1:16">
      <c r="A49" s="201"/>
      <c r="B49"/>
      <c r="D49" s="149"/>
      <c r="F49" s="219" t="s">
        <v>159</v>
      </c>
      <c r="H49" s="209"/>
      <c r="I49" s="220"/>
      <c r="J49" s="221"/>
      <c r="K49" s="221"/>
      <c r="L49" s="221"/>
      <c r="M49"/>
      <c r="N49" s="222"/>
      <c r="O49" s="206"/>
      <c r="P49" s="206"/>
    </row>
    <row r="50" spans="1:16" ht="15.75">
      <c r="A50" s="201"/>
      <c r="B50" s="136" t="s">
        <v>150</v>
      </c>
      <c r="C50" s="218"/>
      <c r="D50" s="218"/>
      <c r="F50" s="140" t="s">
        <v>160</v>
      </c>
      <c r="H50" s="139"/>
      <c r="I50" s="139"/>
      <c r="J50" s="223"/>
      <c r="K50" s="224"/>
      <c r="L50" s="224"/>
      <c r="M50" s="216" t="s">
        <v>359</v>
      </c>
      <c r="N50" s="208"/>
      <c r="O50" s="206"/>
      <c r="P50" s="206"/>
    </row>
    <row r="51" spans="1:16" ht="15.75">
      <c r="A51" s="201"/>
      <c r="B51" s="225"/>
      <c r="C51" s="141"/>
      <c r="D51" s="218"/>
      <c r="F51" s="139"/>
      <c r="H51" s="139"/>
      <c r="I51" s="139"/>
      <c r="J51" s="223"/>
      <c r="K51" s="224"/>
      <c r="L51" s="224"/>
      <c r="M51" s="141"/>
      <c r="N51" s="208"/>
      <c r="O51" s="206"/>
      <c r="P51" s="206"/>
    </row>
    <row r="52" spans="1:16">
      <c r="A52" s="226"/>
      <c r="B52" s="220" t="s">
        <v>362</v>
      </c>
      <c r="C52" s="148"/>
      <c r="D52" s="148"/>
      <c r="E52" s="149"/>
      <c r="F52" s="149"/>
      <c r="G52" s="227"/>
      <c r="H52" s="227"/>
      <c r="I52" s="220"/>
      <c r="J52" s="204"/>
      <c r="K52" s="204"/>
      <c r="L52" s="204"/>
      <c r="M52" s="204" t="s">
        <v>363</v>
      </c>
      <c r="N52" s="208"/>
      <c r="O52" s="206"/>
      <c r="P52" s="206"/>
    </row>
    <row r="53" spans="1:16">
      <c r="A53" s="226"/>
      <c r="B53" s="220"/>
      <c r="C53" s="148"/>
      <c r="D53" s="148"/>
      <c r="E53" s="149"/>
      <c r="F53" s="149"/>
      <c r="G53" s="227"/>
      <c r="H53" s="227"/>
      <c r="I53" s="220"/>
      <c r="J53" s="204"/>
      <c r="K53" s="204"/>
      <c r="L53" s="204"/>
      <c r="M53" s="204"/>
      <c r="N53" s="208"/>
      <c r="O53" s="206"/>
      <c r="P53" s="206"/>
    </row>
    <row r="54" spans="1:16">
      <c r="A54" s="226"/>
      <c r="B54" s="228"/>
      <c r="C54" s="148"/>
      <c r="D54" s="148"/>
      <c r="E54" s="149"/>
      <c r="F54" s="149"/>
      <c r="G54" s="219"/>
      <c r="H54" s="219"/>
      <c r="I54" s="220"/>
      <c r="J54" s="221"/>
      <c r="K54" s="221"/>
      <c r="L54" s="221"/>
      <c r="M54" s="221"/>
      <c r="N54" s="208"/>
      <c r="O54" s="206"/>
      <c r="P54" s="206"/>
    </row>
    <row r="55" spans="1:16">
      <c r="A55" s="226"/>
      <c r="B55" s="220"/>
      <c r="C55" s="148"/>
      <c r="D55" s="148"/>
      <c r="E55" s="149"/>
      <c r="F55" s="149"/>
      <c r="G55" s="227"/>
      <c r="H55" s="227"/>
      <c r="I55" s="220"/>
      <c r="J55" s="204"/>
      <c r="K55" s="204"/>
      <c r="L55" s="204"/>
      <c r="M55" s="204"/>
      <c r="N55" s="208"/>
      <c r="O55" s="206"/>
      <c r="P55" s="206"/>
    </row>
    <row r="56" spans="1:16">
      <c r="A56" s="226"/>
      <c r="B56" s="149"/>
      <c r="C56" s="148"/>
      <c r="D56" s="148"/>
      <c r="E56" s="149"/>
      <c r="F56" s="148"/>
      <c r="G56" s="219"/>
      <c r="H56" s="219"/>
      <c r="I56" s="220"/>
      <c r="J56" s="221"/>
      <c r="K56" s="221"/>
      <c r="L56" s="221"/>
      <c r="M56" s="221"/>
      <c r="N56" s="229"/>
      <c r="O56" s="206"/>
      <c r="P56" s="206"/>
    </row>
    <row r="57" spans="1:16">
      <c r="A57" s="226"/>
      <c r="B57" s="220"/>
      <c r="C57" s="148"/>
      <c r="D57" s="148"/>
      <c r="E57" s="149"/>
      <c r="F57" s="208"/>
      <c r="G57" s="227"/>
      <c r="H57" s="227"/>
      <c r="I57" s="220"/>
      <c r="J57" s="204"/>
      <c r="K57" s="204"/>
      <c r="L57" s="204"/>
      <c r="M57" s="204"/>
      <c r="N57" s="208"/>
      <c r="O57" s="206"/>
      <c r="P57" s="206"/>
    </row>
    <row r="58" spans="1:16">
      <c r="A58" s="226"/>
      <c r="B58" s="220"/>
      <c r="C58" s="148"/>
      <c r="D58" s="148"/>
      <c r="E58" s="149"/>
      <c r="F58" s="208"/>
      <c r="G58" s="227"/>
      <c r="H58" s="227"/>
      <c r="I58" s="220"/>
      <c r="J58" s="204"/>
      <c r="K58" s="204"/>
      <c r="L58" s="204"/>
      <c r="M58" s="204"/>
      <c r="N58" s="204"/>
      <c r="O58" s="206"/>
      <c r="P58" s="206"/>
    </row>
    <row r="59" spans="1:16">
      <c r="A59" s="202"/>
      <c r="B59" s="205"/>
      <c r="C59" s="230"/>
      <c r="D59" s="230"/>
      <c r="E59" s="230"/>
      <c r="F59" s="230"/>
      <c r="G59" s="230"/>
      <c r="H59" s="230"/>
      <c r="I59" s="215"/>
      <c r="J59" s="231"/>
      <c r="K59" s="231"/>
      <c r="L59" s="231"/>
      <c r="M59" s="231"/>
      <c r="N59" s="215"/>
      <c r="O59" s="206"/>
      <c r="P59" s="206"/>
    </row>
    <row r="60" spans="1:16">
      <c r="A60" s="202"/>
      <c r="B60" s="220"/>
      <c r="C60" s="220"/>
      <c r="D60" s="220"/>
      <c r="E60" s="220"/>
      <c r="F60" s="220"/>
      <c r="G60" s="220"/>
      <c r="H60" s="220"/>
      <c r="I60" s="203"/>
      <c r="J60" s="232"/>
      <c r="K60" s="232"/>
      <c r="L60" s="232"/>
      <c r="M60" s="232"/>
      <c r="N60" s="215"/>
      <c r="O60" s="206"/>
      <c r="P60" s="206"/>
    </row>
    <row r="61" spans="1:16">
      <c r="A61" s="202"/>
      <c r="B61" s="220"/>
      <c r="C61" s="220"/>
      <c r="D61" s="220"/>
      <c r="E61" s="220"/>
      <c r="F61" s="220"/>
      <c r="G61" s="220"/>
      <c r="H61" s="220"/>
      <c r="I61" s="203"/>
      <c r="J61" s="204"/>
      <c r="K61" s="204"/>
      <c r="L61" s="204"/>
      <c r="M61" s="204"/>
      <c r="N61" s="215"/>
      <c r="O61" s="206"/>
      <c r="P61" s="206"/>
    </row>
    <row r="62" spans="1:16">
      <c r="A62" s="202"/>
      <c r="B62" s="220"/>
      <c r="C62" s="220"/>
      <c r="D62" s="220"/>
      <c r="E62" s="220"/>
      <c r="F62" s="220"/>
      <c r="G62" s="220"/>
      <c r="H62" s="220"/>
      <c r="I62" s="203"/>
      <c r="J62" s="232"/>
      <c r="K62" s="232"/>
      <c r="L62" s="232"/>
      <c r="M62" s="232"/>
      <c r="N62" s="215"/>
      <c r="O62" s="206"/>
      <c r="P62" s="206"/>
    </row>
    <row r="63" spans="1:16">
      <c r="A63" s="202"/>
      <c r="B63" s="220"/>
      <c r="C63" s="220"/>
      <c r="D63" s="220"/>
      <c r="E63" s="220"/>
      <c r="F63" s="220"/>
      <c r="G63" s="220"/>
      <c r="H63" s="220"/>
      <c r="I63" s="203"/>
      <c r="J63" s="232"/>
      <c r="K63" s="232"/>
      <c r="L63" s="232"/>
      <c r="M63" s="232"/>
      <c r="N63" s="215"/>
      <c r="O63" s="206"/>
      <c r="P63" s="206"/>
    </row>
    <row r="64" spans="1:16">
      <c r="A64" s="220"/>
      <c r="B64" s="233"/>
      <c r="C64" s="149"/>
      <c r="D64" s="149"/>
      <c r="E64" s="149"/>
      <c r="F64" s="149"/>
      <c r="G64" s="149"/>
      <c r="H64" s="149"/>
      <c r="I64" s="220"/>
      <c r="J64" s="221"/>
      <c r="K64" s="221"/>
      <c r="L64" s="221"/>
      <c r="M64" s="221"/>
      <c r="N64" s="222"/>
      <c r="O64" s="206"/>
      <c r="P64" s="206"/>
    </row>
    <row r="65" spans="1:16">
      <c r="A65" s="220"/>
      <c r="B65" s="234"/>
      <c r="C65" s="220"/>
      <c r="D65" s="220"/>
      <c r="E65" s="149"/>
      <c r="F65" s="220"/>
      <c r="G65" s="149"/>
      <c r="H65" s="149"/>
      <c r="I65" s="220"/>
      <c r="J65" s="204"/>
      <c r="K65" s="204"/>
      <c r="L65" s="204"/>
      <c r="M65" s="204"/>
      <c r="N65" s="208"/>
      <c r="O65" s="206"/>
      <c r="P65" s="206"/>
    </row>
    <row r="66" spans="1:16">
      <c r="A66" s="202"/>
      <c r="B66" s="205"/>
      <c r="C66" s="230"/>
      <c r="D66" s="230"/>
      <c r="E66" s="230"/>
      <c r="F66" s="230"/>
      <c r="G66" s="230"/>
      <c r="H66" s="230"/>
      <c r="I66" s="203"/>
      <c r="J66" s="204"/>
      <c r="K66" s="204"/>
      <c r="L66" s="204"/>
      <c r="M66" s="204"/>
      <c r="N66" s="205"/>
      <c r="O66" s="206"/>
      <c r="P66" s="206"/>
    </row>
    <row r="67" spans="1:16">
      <c r="A67" s="202"/>
      <c r="B67" s="202"/>
      <c r="C67" s="202"/>
      <c r="D67" s="202"/>
      <c r="E67" s="202"/>
      <c r="F67" s="202"/>
      <c r="G67" s="202"/>
      <c r="H67" s="202"/>
      <c r="I67" s="203"/>
      <c r="J67" s="204"/>
      <c r="K67" s="204"/>
      <c r="L67" s="204"/>
      <c r="M67" s="204"/>
      <c r="N67" s="205"/>
      <c r="O67" s="206"/>
      <c r="P67" s="206"/>
    </row>
    <row r="68" spans="1:16">
      <c r="A68" s="202"/>
      <c r="B68" s="202"/>
      <c r="C68" s="202"/>
      <c r="D68" s="202"/>
      <c r="E68" s="202"/>
      <c r="F68" s="202"/>
      <c r="G68" s="202"/>
      <c r="H68" s="202"/>
      <c r="I68" s="203"/>
      <c r="J68" s="204"/>
      <c r="K68" s="204"/>
      <c r="L68" s="204"/>
      <c r="M68" s="204"/>
      <c r="N68" s="205"/>
      <c r="O68" s="206"/>
      <c r="P68" s="206"/>
    </row>
    <row r="69" spans="1:16">
      <c r="A69" s="202"/>
      <c r="B69" s="202"/>
      <c r="C69" s="202"/>
      <c r="D69" s="202"/>
      <c r="E69" s="202"/>
      <c r="F69" s="202"/>
      <c r="G69" s="202"/>
      <c r="H69" s="202"/>
      <c r="I69" s="203"/>
      <c r="J69" s="204"/>
      <c r="K69" s="204"/>
      <c r="L69" s="204"/>
      <c r="M69" s="204"/>
      <c r="N69" s="205"/>
      <c r="O69" s="206"/>
      <c r="P69" s="206"/>
    </row>
    <row r="70" spans="1:16">
      <c r="A70" s="202"/>
      <c r="B70" s="202"/>
      <c r="C70" s="202"/>
      <c r="D70" s="202"/>
      <c r="E70" s="202"/>
      <c r="F70" s="202"/>
      <c r="G70" s="202"/>
      <c r="H70" s="202"/>
      <c r="I70" s="203"/>
      <c r="J70" s="204"/>
      <c r="K70" s="204"/>
      <c r="L70" s="204"/>
      <c r="M70" s="204"/>
      <c r="N70" s="205"/>
      <c r="O70" s="206"/>
      <c r="P70" s="206"/>
    </row>
    <row r="71" spans="1:16">
      <c r="A71" s="202"/>
      <c r="B71" s="205"/>
      <c r="C71" s="230"/>
      <c r="D71" s="230"/>
      <c r="E71" s="230"/>
      <c r="F71" s="230"/>
      <c r="G71" s="230"/>
      <c r="H71" s="230"/>
      <c r="I71" s="215"/>
      <c r="J71" s="231"/>
      <c r="K71" s="231"/>
      <c r="L71" s="231"/>
      <c r="M71" s="231"/>
      <c r="N71" s="215"/>
      <c r="O71" s="206"/>
      <c r="P71" s="206"/>
    </row>
    <row r="72" spans="1:16">
      <c r="A72" s="202"/>
      <c r="B72" s="202"/>
      <c r="C72" s="202"/>
      <c r="D72" s="202"/>
      <c r="E72" s="202"/>
      <c r="F72" s="202"/>
      <c r="G72" s="202"/>
      <c r="H72" s="202"/>
      <c r="I72" s="203"/>
      <c r="J72" s="204"/>
      <c r="K72" s="204"/>
      <c r="L72" s="204"/>
      <c r="M72" s="204"/>
      <c r="N72" s="205"/>
      <c r="O72" s="206"/>
      <c r="P72" s="206"/>
    </row>
    <row r="73" spans="1:16">
      <c r="A73" s="202"/>
      <c r="B73" s="202"/>
      <c r="C73" s="202"/>
      <c r="D73" s="202"/>
      <c r="E73" s="202"/>
      <c r="F73" s="202"/>
      <c r="G73" s="202"/>
      <c r="H73" s="202"/>
      <c r="I73" s="203"/>
      <c r="J73" s="204"/>
      <c r="K73" s="204"/>
      <c r="L73" s="204"/>
      <c r="M73" s="204"/>
      <c r="N73" s="205"/>
      <c r="O73" s="206"/>
      <c r="P73" s="206"/>
    </row>
    <row r="74" spans="1:16">
      <c r="A74" s="202"/>
      <c r="B74" s="202"/>
      <c r="C74" s="202"/>
      <c r="D74" s="202"/>
      <c r="E74" s="202"/>
      <c r="F74" s="202"/>
      <c r="G74" s="202"/>
      <c r="H74" s="202"/>
      <c r="I74" s="203"/>
      <c r="J74" s="204"/>
      <c r="K74" s="204"/>
      <c r="L74" s="204"/>
      <c r="M74" s="204"/>
      <c r="N74" s="205"/>
      <c r="O74" s="206"/>
      <c r="P74" s="206"/>
    </row>
    <row r="75" spans="1:16">
      <c r="A75" s="202"/>
      <c r="B75" s="202"/>
      <c r="C75" s="202"/>
      <c r="D75" s="202"/>
      <c r="E75" s="202"/>
      <c r="F75" s="202"/>
      <c r="G75" s="202"/>
      <c r="H75" s="202"/>
      <c r="I75" s="203"/>
      <c r="J75" s="204"/>
      <c r="K75" s="204"/>
      <c r="L75" s="204"/>
      <c r="M75" s="204"/>
      <c r="N75" s="205"/>
      <c r="O75" s="206"/>
      <c r="P75" s="206"/>
    </row>
    <row r="76" spans="1:16">
      <c r="A76" s="220"/>
      <c r="B76" s="149"/>
      <c r="C76" s="149"/>
      <c r="D76" s="149"/>
      <c r="E76" s="149"/>
      <c r="F76" s="149"/>
      <c r="G76" s="220"/>
      <c r="H76" s="220"/>
      <c r="I76" s="220"/>
      <c r="J76" s="221"/>
      <c r="K76" s="221"/>
      <c r="L76" s="221"/>
      <c r="M76" s="221"/>
      <c r="N76" s="222"/>
      <c r="O76" s="206"/>
      <c r="P76" s="206"/>
    </row>
    <row r="77" spans="1:16">
      <c r="A77" s="220"/>
      <c r="B77" s="220"/>
      <c r="C77" s="149"/>
      <c r="D77" s="149"/>
      <c r="E77" s="149"/>
      <c r="F77" s="220"/>
      <c r="G77" s="220"/>
      <c r="H77" s="220"/>
      <c r="I77" s="220"/>
      <c r="J77" s="204"/>
      <c r="K77" s="204"/>
      <c r="L77" s="204"/>
      <c r="M77" s="204"/>
      <c r="N77" s="208"/>
      <c r="O77" s="206"/>
      <c r="P77" s="206"/>
    </row>
    <row r="78" spans="1:16">
      <c r="A78" s="220"/>
      <c r="B78" s="149"/>
      <c r="C78" s="149"/>
      <c r="D78" s="149"/>
      <c r="E78" s="149"/>
      <c r="F78" s="220"/>
      <c r="G78" s="220"/>
      <c r="H78" s="220"/>
      <c r="I78" s="220"/>
      <c r="J78" s="221"/>
      <c r="K78" s="221"/>
      <c r="L78" s="221"/>
      <c r="M78" s="221"/>
      <c r="N78" s="205"/>
      <c r="O78" s="206"/>
      <c r="P78" s="206"/>
    </row>
    <row r="79" spans="1:16">
      <c r="A79" s="220"/>
      <c r="B79" s="234"/>
      <c r="C79" s="220"/>
      <c r="D79" s="220"/>
      <c r="E79" s="149"/>
      <c r="F79" s="220"/>
      <c r="G79" s="220"/>
      <c r="H79" s="220"/>
      <c r="I79" s="220"/>
      <c r="J79" s="204"/>
      <c r="K79" s="204"/>
      <c r="L79" s="204"/>
      <c r="M79" s="204"/>
      <c r="N79" s="205"/>
      <c r="O79" s="206"/>
      <c r="P79" s="206"/>
    </row>
    <row r="80" spans="1:16">
      <c r="A80" s="220"/>
      <c r="B80" s="149"/>
      <c r="C80" s="149"/>
      <c r="D80" s="149"/>
      <c r="E80" s="219"/>
      <c r="F80" s="220"/>
      <c r="G80" s="227"/>
      <c r="H80" s="227"/>
      <c r="I80" s="220"/>
      <c r="J80" s="221"/>
      <c r="K80" s="221"/>
      <c r="L80" s="221"/>
      <c r="M80" s="221"/>
      <c r="N80" s="205"/>
      <c r="O80" s="206"/>
      <c r="P80" s="206"/>
    </row>
    <row r="81" spans="1:16">
      <c r="A81" s="220"/>
      <c r="B81" s="220"/>
      <c r="C81" s="149"/>
      <c r="D81" s="149"/>
      <c r="E81" s="219"/>
      <c r="F81" s="220"/>
      <c r="G81" s="227"/>
      <c r="H81" s="227"/>
      <c r="I81" s="220"/>
      <c r="J81" s="204"/>
      <c r="K81" s="204"/>
      <c r="L81" s="204"/>
      <c r="M81" s="204"/>
      <c r="N81" s="205"/>
      <c r="O81" s="206"/>
      <c r="P81" s="206"/>
    </row>
    <row r="82" spans="1:16">
      <c r="A82" s="220"/>
      <c r="B82" s="220"/>
      <c r="C82" s="149"/>
      <c r="D82" s="149"/>
      <c r="E82" s="219"/>
      <c r="F82" s="220"/>
      <c r="G82" s="227"/>
      <c r="H82" s="227"/>
      <c r="I82" s="220"/>
      <c r="J82" s="204"/>
      <c r="K82" s="204"/>
      <c r="L82" s="204"/>
      <c r="M82" s="204"/>
      <c r="N82" s="205"/>
      <c r="O82" s="206"/>
      <c r="P82" s="206"/>
    </row>
    <row r="83" spans="1:16">
      <c r="A83" s="202"/>
      <c r="B83" s="205"/>
      <c r="C83" s="230"/>
      <c r="D83" s="230"/>
      <c r="E83" s="230"/>
      <c r="F83" s="230"/>
      <c r="G83" s="230"/>
      <c r="H83" s="230"/>
      <c r="I83" s="215"/>
      <c r="J83" s="231"/>
      <c r="K83" s="231"/>
      <c r="L83" s="231"/>
      <c r="M83" s="231"/>
      <c r="N83" s="215"/>
      <c r="O83" s="206"/>
      <c r="P83" s="206"/>
    </row>
    <row r="84" spans="1:16">
      <c r="A84" s="202"/>
      <c r="B84" s="220"/>
      <c r="C84" s="220"/>
      <c r="D84" s="220"/>
      <c r="E84" s="220"/>
      <c r="F84" s="220"/>
      <c r="G84" s="220"/>
      <c r="H84" s="220"/>
      <c r="I84" s="203"/>
      <c r="J84" s="204"/>
      <c r="K84" s="204"/>
      <c r="L84" s="204"/>
      <c r="M84" s="204"/>
      <c r="N84" s="215"/>
      <c r="O84" s="206"/>
      <c r="P84" s="206"/>
    </row>
    <row r="85" spans="1:16">
      <c r="A85" s="202"/>
      <c r="B85" s="220"/>
      <c r="C85" s="220"/>
      <c r="D85" s="220"/>
      <c r="E85" s="220"/>
      <c r="F85" s="220"/>
      <c r="G85" s="220"/>
      <c r="H85" s="220"/>
      <c r="I85" s="203"/>
      <c r="J85" s="204"/>
      <c r="K85" s="204"/>
      <c r="L85" s="204"/>
      <c r="M85" s="204"/>
      <c r="N85" s="215"/>
      <c r="O85" s="206"/>
      <c r="P85" s="206"/>
    </row>
    <row r="86" spans="1:16">
      <c r="A86" s="202"/>
      <c r="B86" s="220"/>
      <c r="C86" s="220"/>
      <c r="D86" s="220"/>
      <c r="E86" s="220"/>
      <c r="F86" s="220"/>
      <c r="G86" s="220"/>
      <c r="H86" s="220"/>
      <c r="I86" s="203"/>
      <c r="J86" s="204"/>
      <c r="K86" s="204"/>
      <c r="L86" s="204"/>
      <c r="M86" s="204"/>
      <c r="N86" s="215"/>
      <c r="O86" s="206"/>
      <c r="P86" s="206"/>
    </row>
    <row r="87" spans="1:16">
      <c r="A87" s="202"/>
      <c r="B87" s="220"/>
      <c r="C87" s="220"/>
      <c r="D87" s="220"/>
      <c r="E87" s="220"/>
      <c r="F87" s="220"/>
      <c r="G87" s="220"/>
      <c r="H87" s="220"/>
      <c r="I87" s="203"/>
      <c r="J87" s="204"/>
      <c r="K87" s="204"/>
      <c r="L87" s="204"/>
      <c r="M87" s="204"/>
      <c r="N87" s="215"/>
      <c r="O87" s="206"/>
      <c r="P87" s="206"/>
    </row>
    <row r="88" spans="1:16">
      <c r="A88" s="220"/>
      <c r="B88" s="149"/>
      <c r="C88" s="149"/>
      <c r="D88" s="149"/>
      <c r="E88" s="149"/>
      <c r="F88" s="149"/>
      <c r="G88" s="220"/>
      <c r="H88" s="220"/>
      <c r="I88" s="220"/>
      <c r="J88" s="221"/>
      <c r="K88" s="221"/>
      <c r="L88" s="221"/>
      <c r="M88" s="221"/>
      <c r="N88" s="222"/>
      <c r="O88" s="206"/>
      <c r="P88" s="206"/>
    </row>
    <row r="89" spans="1:16">
      <c r="A89" s="220"/>
      <c r="B89" s="234"/>
      <c r="C89" s="220"/>
      <c r="D89" s="220"/>
      <c r="E89" s="149"/>
      <c r="F89" s="220"/>
      <c r="G89" s="220"/>
      <c r="H89" s="220"/>
      <c r="I89" s="220"/>
      <c r="J89" s="204"/>
      <c r="K89" s="204"/>
      <c r="L89" s="204"/>
      <c r="M89" s="204"/>
      <c r="N89" s="208"/>
      <c r="O89" s="206"/>
      <c r="P89" s="206"/>
    </row>
    <row r="90" spans="1:16">
      <c r="A90" s="235"/>
      <c r="B90" s="228"/>
      <c r="C90" s="236"/>
      <c r="D90" s="236"/>
      <c r="E90" s="236"/>
      <c r="F90" s="237"/>
      <c r="G90" s="238"/>
      <c r="H90" s="238"/>
      <c r="I90" s="220"/>
      <c r="J90" s="221"/>
      <c r="K90" s="221"/>
      <c r="L90" s="221"/>
      <c r="M90" s="221"/>
      <c r="N90" s="208"/>
      <c r="O90" s="206"/>
      <c r="P90" s="206"/>
    </row>
    <row r="91" spans="1:16">
      <c r="A91" s="235"/>
      <c r="B91" s="228"/>
      <c r="C91" s="236"/>
      <c r="D91" s="236"/>
      <c r="E91" s="236"/>
      <c r="F91" s="237"/>
      <c r="G91" s="238"/>
      <c r="H91" s="238"/>
      <c r="I91" s="220"/>
      <c r="J91" s="204"/>
      <c r="K91" s="204"/>
      <c r="L91" s="204"/>
      <c r="M91" s="204"/>
      <c r="N91" s="208"/>
      <c r="O91" s="206"/>
      <c r="P91" s="206"/>
    </row>
    <row r="92" spans="1:16">
      <c r="A92" s="239"/>
      <c r="B92" s="240"/>
      <c r="C92" s="240"/>
      <c r="D92" s="240"/>
      <c r="E92" s="240"/>
      <c r="F92" s="240"/>
      <c r="G92" s="240"/>
      <c r="H92" s="240"/>
      <c r="I92" s="240"/>
      <c r="J92" s="240"/>
      <c r="K92" s="240"/>
      <c r="L92" s="240"/>
      <c r="M92" s="231"/>
      <c r="N92" s="240"/>
      <c r="O92" s="206"/>
      <c r="P92" s="206"/>
    </row>
    <row r="93" spans="1:16">
      <c r="A93" s="202"/>
      <c r="B93" s="202"/>
      <c r="C93" s="202"/>
      <c r="D93" s="202"/>
      <c r="E93" s="202"/>
      <c r="F93" s="202"/>
      <c r="G93" s="202"/>
      <c r="H93" s="202"/>
      <c r="I93" s="240"/>
      <c r="J93" s="231"/>
      <c r="K93" s="231"/>
      <c r="L93" s="231"/>
      <c r="M93" s="231"/>
      <c r="N93" s="240"/>
      <c r="O93" s="206"/>
      <c r="P93" s="206"/>
    </row>
    <row r="94" spans="1:16">
      <c r="A94" s="202"/>
      <c r="B94" s="202"/>
      <c r="C94" s="202"/>
      <c r="D94" s="202"/>
      <c r="E94" s="202"/>
      <c r="F94" s="202"/>
      <c r="G94" s="202"/>
      <c r="H94" s="202"/>
      <c r="I94" s="203"/>
      <c r="J94" s="221"/>
      <c r="K94" s="221"/>
      <c r="L94" s="221"/>
      <c r="M94" s="221"/>
      <c r="N94" s="205"/>
      <c r="O94" s="206"/>
      <c r="P94" s="206"/>
    </row>
    <row r="95" spans="1:16">
      <c r="A95" s="202"/>
      <c r="B95" s="202"/>
      <c r="C95" s="202"/>
      <c r="D95" s="202"/>
      <c r="E95" s="202"/>
      <c r="F95" s="202"/>
      <c r="G95" s="202"/>
      <c r="H95" s="202"/>
      <c r="I95" s="203"/>
      <c r="J95" s="221"/>
      <c r="K95" s="221"/>
      <c r="L95" s="221"/>
      <c r="M95" s="221"/>
      <c r="N95" s="205"/>
      <c r="O95" s="206"/>
      <c r="P95" s="206"/>
    </row>
    <row r="96" spans="1:16">
      <c r="A96" s="202"/>
      <c r="B96" s="202"/>
      <c r="C96" s="202"/>
      <c r="D96" s="202"/>
      <c r="E96" s="202"/>
      <c r="F96" s="202"/>
      <c r="G96" s="202"/>
      <c r="H96" s="202"/>
      <c r="I96" s="203"/>
      <c r="J96" s="221"/>
      <c r="K96" s="221"/>
      <c r="L96" s="221"/>
      <c r="M96" s="221"/>
      <c r="N96" s="205"/>
      <c r="O96" s="206"/>
      <c r="P96" s="206"/>
    </row>
    <row r="97" spans="1:16">
      <c r="A97" s="202"/>
      <c r="B97" s="202"/>
      <c r="C97" s="202"/>
      <c r="D97" s="202"/>
      <c r="E97" s="202"/>
      <c r="F97" s="202"/>
      <c r="G97" s="202"/>
      <c r="H97" s="202"/>
      <c r="I97" s="203"/>
      <c r="J97" s="221"/>
      <c r="K97" s="221"/>
      <c r="L97" s="221"/>
      <c r="M97" s="221"/>
      <c r="N97" s="205"/>
      <c r="O97" s="206"/>
      <c r="P97" s="206"/>
    </row>
    <row r="98" spans="1:16">
      <c r="A98" s="205"/>
      <c r="B98" s="205"/>
      <c r="C98" s="205"/>
      <c r="D98" s="205"/>
      <c r="E98" s="205"/>
      <c r="F98" s="205"/>
      <c r="G98" s="205"/>
      <c r="H98" s="205"/>
      <c r="I98" s="215"/>
      <c r="J98" s="231"/>
      <c r="K98" s="231"/>
      <c r="L98" s="231"/>
      <c r="M98" s="231"/>
      <c r="N98" s="215"/>
      <c r="O98" s="206"/>
      <c r="P98" s="206"/>
    </row>
    <row r="99" spans="1:16">
      <c r="A99" s="202"/>
      <c r="B99" s="202"/>
      <c r="C99" s="202"/>
      <c r="D99" s="202"/>
      <c r="E99" s="202"/>
      <c r="F99" s="202"/>
      <c r="G99" s="202"/>
      <c r="H99" s="202"/>
      <c r="I99" s="203"/>
      <c r="J99" s="204"/>
      <c r="K99" s="204"/>
      <c r="L99" s="204"/>
      <c r="M99" s="204"/>
      <c r="N99" s="205"/>
      <c r="O99" s="206"/>
      <c r="P99" s="206"/>
    </row>
    <row r="100" spans="1:16">
      <c r="A100" s="202"/>
      <c r="B100" s="202"/>
      <c r="C100" s="202"/>
      <c r="D100" s="202"/>
      <c r="E100" s="202"/>
      <c r="F100" s="202"/>
      <c r="G100" s="202"/>
      <c r="H100" s="202"/>
      <c r="I100" s="203"/>
      <c r="J100" s="204"/>
      <c r="K100" s="204"/>
      <c r="L100" s="204"/>
      <c r="M100" s="204"/>
      <c r="N100" s="205"/>
      <c r="O100" s="206"/>
      <c r="P100" s="206"/>
    </row>
    <row r="101" spans="1:16">
      <c r="A101" s="202"/>
      <c r="B101" s="202"/>
      <c r="C101" s="202"/>
      <c r="D101" s="202"/>
      <c r="E101" s="202"/>
      <c r="F101" s="202"/>
      <c r="G101" s="202"/>
      <c r="H101" s="202"/>
      <c r="I101" s="203"/>
      <c r="J101" s="204"/>
      <c r="K101" s="204"/>
      <c r="L101" s="204"/>
      <c r="M101" s="204"/>
      <c r="N101" s="205"/>
      <c r="O101" s="206"/>
      <c r="P101" s="206"/>
    </row>
    <row r="102" spans="1:16">
      <c r="A102" s="202"/>
      <c r="B102" s="202"/>
      <c r="C102" s="202"/>
      <c r="D102" s="202"/>
      <c r="E102" s="202"/>
      <c r="F102" s="202"/>
      <c r="G102" s="202"/>
      <c r="H102" s="202"/>
      <c r="I102" s="203"/>
      <c r="J102" s="204"/>
      <c r="K102" s="204"/>
      <c r="L102" s="204"/>
      <c r="M102" s="204"/>
      <c r="N102" s="205"/>
      <c r="O102" s="206"/>
      <c r="P102" s="206"/>
    </row>
    <row r="103" spans="1:16">
      <c r="A103" s="202"/>
      <c r="B103" s="205"/>
      <c r="C103" s="230"/>
      <c r="D103" s="230"/>
      <c r="E103" s="230"/>
      <c r="F103" s="230"/>
      <c r="G103" s="230"/>
      <c r="H103" s="230"/>
      <c r="I103" s="215"/>
      <c r="J103" s="231"/>
      <c r="K103" s="231"/>
      <c r="L103" s="231"/>
      <c r="M103" s="231"/>
      <c r="N103" s="215"/>
      <c r="O103" s="206"/>
      <c r="P103" s="206"/>
    </row>
    <row r="104" spans="1:16">
      <c r="A104" s="202"/>
      <c r="B104" s="220"/>
      <c r="C104" s="220"/>
      <c r="D104" s="220"/>
      <c r="E104" s="220"/>
      <c r="F104" s="220"/>
      <c r="G104" s="220"/>
      <c r="H104" s="220"/>
      <c r="I104" s="203"/>
      <c r="J104" s="204"/>
      <c r="K104" s="204"/>
      <c r="L104" s="204"/>
      <c r="M104" s="204"/>
      <c r="N104" s="215"/>
      <c r="O104" s="206"/>
      <c r="P104" s="206"/>
    </row>
    <row r="105" spans="1:16">
      <c r="A105" s="202"/>
      <c r="B105" s="220"/>
      <c r="C105" s="220"/>
      <c r="D105" s="220"/>
      <c r="E105" s="220"/>
      <c r="F105" s="220"/>
      <c r="G105" s="220"/>
      <c r="H105" s="220"/>
      <c r="I105" s="203"/>
      <c r="J105" s="204"/>
      <c r="K105" s="204"/>
      <c r="L105" s="204"/>
      <c r="M105" s="204"/>
      <c r="N105" s="215"/>
      <c r="O105" s="206"/>
      <c r="P105" s="206"/>
    </row>
    <row r="106" spans="1:16">
      <c r="A106" s="202"/>
      <c r="B106" s="220"/>
      <c r="C106" s="220"/>
      <c r="D106" s="220"/>
      <c r="E106" s="220"/>
      <c r="F106" s="220"/>
      <c r="G106" s="220"/>
      <c r="H106" s="220"/>
      <c r="I106" s="203"/>
      <c r="J106" s="204"/>
      <c r="K106" s="204"/>
      <c r="L106" s="204"/>
      <c r="M106" s="204"/>
      <c r="N106" s="215"/>
      <c r="O106" s="206"/>
      <c r="P106" s="206"/>
    </row>
    <row r="107" spans="1:16">
      <c r="A107" s="202"/>
      <c r="B107" s="220"/>
      <c r="C107" s="220"/>
      <c r="D107" s="220"/>
      <c r="E107" s="220"/>
      <c r="F107" s="220"/>
      <c r="G107" s="220"/>
      <c r="H107" s="220"/>
      <c r="I107" s="203"/>
      <c r="J107" s="204"/>
      <c r="K107" s="204"/>
      <c r="L107" s="204"/>
      <c r="M107" s="204"/>
      <c r="N107" s="215"/>
      <c r="O107" s="206"/>
      <c r="P107" s="206"/>
    </row>
    <row r="108" spans="1:16">
      <c r="A108" s="241"/>
      <c r="B108" s="149"/>
      <c r="C108" s="149"/>
      <c r="D108" s="149"/>
      <c r="E108" s="149"/>
      <c r="F108" s="149"/>
      <c r="G108" s="149"/>
      <c r="H108" s="149"/>
      <c r="I108" s="220"/>
      <c r="J108" s="221"/>
      <c r="K108" s="221"/>
      <c r="L108" s="221"/>
      <c r="M108" s="221"/>
      <c r="N108" s="229"/>
      <c r="O108" s="206"/>
      <c r="P108" s="206"/>
    </row>
    <row r="109" spans="1:16">
      <c r="A109" s="241"/>
      <c r="B109" s="234"/>
      <c r="C109" s="220"/>
      <c r="D109" s="220"/>
      <c r="E109" s="149"/>
      <c r="F109" s="220"/>
      <c r="G109" s="149"/>
      <c r="H109" s="149"/>
      <c r="I109" s="220"/>
      <c r="J109" s="204"/>
      <c r="K109" s="204"/>
      <c r="L109" s="242"/>
      <c r="M109" s="242"/>
      <c r="N109" s="208"/>
      <c r="O109" s="206"/>
      <c r="P109" s="206"/>
    </row>
    <row r="110" spans="1:16">
      <c r="A110" s="243"/>
      <c r="B110" s="228"/>
      <c r="C110" s="149"/>
      <c r="D110" s="228"/>
      <c r="E110" s="149"/>
      <c r="F110" s="148"/>
      <c r="G110" s="148"/>
      <c r="H110" s="148"/>
      <c r="I110" s="203"/>
      <c r="J110" s="221"/>
      <c r="K110" s="221"/>
      <c r="L110" s="221"/>
      <c r="M110" s="221"/>
      <c r="N110" s="229"/>
      <c r="O110" s="206"/>
      <c r="P110" s="206"/>
    </row>
    <row r="111" spans="1:16">
      <c r="A111" s="243"/>
      <c r="B111" s="228"/>
      <c r="C111" s="149"/>
      <c r="D111" s="228"/>
      <c r="E111" s="149"/>
      <c r="F111" s="208"/>
      <c r="G111" s="148"/>
      <c r="H111" s="148"/>
      <c r="I111" s="203"/>
      <c r="J111" s="221"/>
      <c r="K111" s="204"/>
      <c r="L111" s="204"/>
      <c r="M111" s="204"/>
      <c r="N111" s="208"/>
      <c r="O111" s="206"/>
      <c r="P111" s="206"/>
    </row>
    <row r="112" spans="1:16">
      <c r="A112" s="243"/>
      <c r="B112" s="228"/>
      <c r="C112" s="149"/>
      <c r="D112" s="228"/>
      <c r="E112" s="149"/>
      <c r="F112" s="208"/>
      <c r="G112" s="148"/>
      <c r="H112" s="148"/>
      <c r="I112" s="203"/>
      <c r="J112" s="221"/>
      <c r="K112" s="204"/>
      <c r="L112" s="204"/>
      <c r="M112" s="204"/>
      <c r="N112" s="208"/>
      <c r="O112" s="206"/>
      <c r="P112" s="206"/>
    </row>
    <row r="113" spans="1:16">
      <c r="A113" s="243"/>
      <c r="B113" s="228"/>
      <c r="C113" s="149"/>
      <c r="D113" s="228"/>
      <c r="E113" s="149"/>
      <c r="F113" s="208"/>
      <c r="G113" s="148"/>
      <c r="H113" s="148"/>
      <c r="I113" s="203"/>
      <c r="J113" s="221"/>
      <c r="K113" s="204"/>
      <c r="L113" s="204"/>
      <c r="M113" s="204"/>
      <c r="N113" s="204"/>
      <c r="O113" s="206"/>
      <c r="P113" s="206"/>
    </row>
    <row r="114" spans="1:16">
      <c r="A114" s="220"/>
      <c r="B114" s="149"/>
      <c r="C114" s="149"/>
      <c r="D114" s="149"/>
      <c r="E114" s="149"/>
      <c r="F114" s="149"/>
      <c r="G114" s="149"/>
      <c r="H114" s="149"/>
      <c r="I114" s="203"/>
      <c r="J114" s="221"/>
      <c r="K114" s="221"/>
      <c r="L114" s="221"/>
      <c r="M114" s="221"/>
      <c r="N114" s="229"/>
      <c r="O114" s="206"/>
      <c r="P114" s="206"/>
    </row>
    <row r="115" spans="1:16">
      <c r="A115" s="220"/>
      <c r="B115" s="234"/>
      <c r="C115" s="149"/>
      <c r="D115" s="149"/>
      <c r="E115" s="149"/>
      <c r="F115" s="220"/>
      <c r="G115" s="149"/>
      <c r="H115" s="149"/>
      <c r="I115" s="203"/>
      <c r="J115" s="204"/>
      <c r="K115" s="204"/>
      <c r="L115" s="204"/>
      <c r="M115" s="204"/>
      <c r="N115" s="208"/>
      <c r="O115" s="206"/>
      <c r="P115" s="206"/>
    </row>
    <row r="116" spans="1:16">
      <c r="A116" s="220"/>
      <c r="B116" s="234"/>
      <c r="C116" s="149"/>
      <c r="D116" s="149"/>
      <c r="E116" s="149"/>
      <c r="F116" s="220"/>
      <c r="G116" s="149"/>
      <c r="H116" s="149"/>
      <c r="I116" s="203"/>
      <c r="J116" s="204"/>
      <c r="K116" s="204"/>
      <c r="L116" s="204"/>
      <c r="M116" s="204"/>
      <c r="N116" s="208"/>
      <c r="O116" s="206"/>
      <c r="P116" s="206"/>
    </row>
    <row r="117" spans="1:16">
      <c r="A117" s="220"/>
      <c r="B117" s="234"/>
      <c r="C117" s="149"/>
      <c r="D117" s="149"/>
      <c r="E117" s="149"/>
      <c r="F117" s="220"/>
      <c r="G117" s="149"/>
      <c r="H117" s="149"/>
      <c r="I117" s="203"/>
      <c r="J117" s="204"/>
      <c r="K117" s="204"/>
      <c r="L117" s="204"/>
      <c r="M117" s="204"/>
      <c r="N117" s="205"/>
      <c r="O117" s="206"/>
      <c r="P117" s="206"/>
    </row>
    <row r="118" spans="1:16">
      <c r="A118" s="202"/>
      <c r="B118" s="205"/>
      <c r="C118" s="230"/>
      <c r="D118" s="230"/>
      <c r="E118" s="230"/>
      <c r="F118" s="230"/>
      <c r="G118" s="230"/>
      <c r="H118" s="230"/>
      <c r="I118" s="203"/>
      <c r="J118" s="204"/>
      <c r="K118" s="204"/>
      <c r="L118" s="204"/>
      <c r="M118" s="204"/>
      <c r="N118" s="205"/>
      <c r="O118" s="206"/>
      <c r="P118" s="206"/>
    </row>
    <row r="119" spans="1:16">
      <c r="A119" s="202"/>
      <c r="B119" s="202"/>
      <c r="C119" s="202"/>
      <c r="D119" s="202"/>
      <c r="E119" s="202"/>
      <c r="F119" s="202"/>
      <c r="G119" s="202"/>
      <c r="H119" s="202"/>
      <c r="I119" s="203"/>
      <c r="J119" s="204"/>
      <c r="K119" s="204"/>
      <c r="L119" s="204"/>
      <c r="M119" s="204"/>
      <c r="N119" s="205"/>
      <c r="O119" s="206"/>
      <c r="P119" s="206"/>
    </row>
    <row r="120" spans="1:16">
      <c r="A120" s="202"/>
      <c r="B120" s="202"/>
      <c r="C120" s="202"/>
      <c r="D120" s="202"/>
      <c r="E120" s="202"/>
      <c r="F120" s="202"/>
      <c r="G120" s="202"/>
      <c r="H120" s="202"/>
      <c r="I120" s="203"/>
      <c r="J120" s="204"/>
      <c r="K120" s="204"/>
      <c r="L120" s="204"/>
      <c r="M120" s="204"/>
      <c r="N120" s="205"/>
      <c r="O120" s="206"/>
      <c r="P120" s="206"/>
    </row>
    <row r="121" spans="1:16">
      <c r="A121" s="202"/>
      <c r="B121" s="202"/>
      <c r="C121" s="202"/>
      <c r="D121" s="202"/>
      <c r="E121" s="202"/>
      <c r="F121" s="202"/>
      <c r="G121" s="202"/>
      <c r="H121" s="202"/>
      <c r="I121" s="203"/>
      <c r="J121" s="204"/>
      <c r="K121" s="204"/>
      <c r="L121" s="204"/>
      <c r="M121" s="204"/>
      <c r="N121" s="205"/>
      <c r="O121" s="206"/>
      <c r="P121" s="206"/>
    </row>
    <row r="122" spans="1:16">
      <c r="A122" s="202"/>
      <c r="B122" s="202"/>
      <c r="C122" s="202"/>
      <c r="D122" s="202"/>
      <c r="E122" s="202"/>
      <c r="F122" s="202"/>
      <c r="G122" s="202"/>
      <c r="H122" s="202"/>
      <c r="I122" s="203"/>
      <c r="J122" s="204"/>
      <c r="K122" s="204"/>
      <c r="L122" s="204"/>
      <c r="M122" s="204"/>
      <c r="N122" s="205"/>
      <c r="O122" s="206"/>
      <c r="P122" s="206"/>
    </row>
    <row r="123" spans="1:16">
      <c r="A123" s="202"/>
      <c r="B123" s="205"/>
      <c r="C123" s="230"/>
      <c r="D123" s="230"/>
      <c r="E123" s="230"/>
      <c r="F123" s="230"/>
      <c r="G123" s="230"/>
      <c r="H123" s="230"/>
      <c r="I123" s="215"/>
      <c r="J123" s="231"/>
      <c r="K123" s="231"/>
      <c r="L123" s="231"/>
      <c r="M123" s="231"/>
      <c r="N123" s="215"/>
      <c r="O123" s="206"/>
      <c r="P123" s="206"/>
    </row>
    <row r="124" spans="1:16">
      <c r="A124" s="202"/>
      <c r="B124" s="220"/>
      <c r="C124" s="220"/>
      <c r="D124" s="220"/>
      <c r="E124" s="220"/>
      <c r="F124" s="220"/>
      <c r="G124" s="220"/>
      <c r="H124" s="220"/>
      <c r="I124" s="203"/>
      <c r="J124" s="204"/>
      <c r="K124" s="204"/>
      <c r="L124" s="204"/>
      <c r="M124" s="204"/>
      <c r="N124" s="215"/>
      <c r="O124" s="206"/>
      <c r="P124" s="206"/>
    </row>
    <row r="125" spans="1:16">
      <c r="A125" s="202"/>
      <c r="B125" s="220"/>
      <c r="C125" s="220"/>
      <c r="D125" s="220"/>
      <c r="E125" s="220"/>
      <c r="F125" s="220"/>
      <c r="G125" s="220"/>
      <c r="H125" s="220"/>
      <c r="I125" s="203"/>
      <c r="J125" s="204"/>
      <c r="K125" s="204"/>
      <c r="L125" s="204"/>
      <c r="M125" s="204"/>
      <c r="N125" s="215"/>
      <c r="O125" s="206"/>
      <c r="P125" s="206"/>
    </row>
    <row r="126" spans="1:16">
      <c r="A126" s="202"/>
      <c r="B126" s="220"/>
      <c r="C126" s="220"/>
      <c r="D126" s="220"/>
      <c r="E126" s="220"/>
      <c r="F126" s="220"/>
      <c r="G126" s="220"/>
      <c r="H126" s="220"/>
      <c r="I126" s="203"/>
      <c r="J126" s="204"/>
      <c r="K126" s="204"/>
      <c r="L126" s="204"/>
      <c r="M126" s="204"/>
      <c r="N126" s="215"/>
      <c r="O126" s="206"/>
      <c r="P126" s="206"/>
    </row>
    <row r="127" spans="1:16">
      <c r="A127" s="202"/>
      <c r="B127" s="220"/>
      <c r="C127" s="220"/>
      <c r="D127" s="220"/>
      <c r="E127" s="220"/>
      <c r="F127" s="220"/>
      <c r="G127" s="220"/>
      <c r="H127" s="220"/>
      <c r="I127" s="203"/>
      <c r="J127" s="204"/>
      <c r="K127" s="204"/>
      <c r="L127" s="204"/>
      <c r="M127" s="204"/>
      <c r="N127" s="215"/>
      <c r="O127" s="206"/>
      <c r="P127" s="206"/>
    </row>
    <row r="128" spans="1:16">
      <c r="A128" s="220"/>
      <c r="B128" s="149"/>
      <c r="C128" s="149"/>
      <c r="D128" s="149"/>
      <c r="E128" s="149"/>
      <c r="F128" s="149"/>
      <c r="G128" s="219"/>
      <c r="H128" s="219"/>
      <c r="I128" s="220"/>
      <c r="J128" s="221"/>
      <c r="K128" s="221"/>
      <c r="L128" s="221"/>
      <c r="M128" s="221"/>
      <c r="N128" s="222"/>
      <c r="O128" s="206"/>
      <c r="P128" s="206"/>
    </row>
    <row r="129" spans="1:16">
      <c r="A129" s="244"/>
      <c r="B129" s="245"/>
      <c r="C129" s="246"/>
      <c r="D129" s="246"/>
      <c r="E129" s="247"/>
      <c r="F129" s="248"/>
      <c r="G129" s="227"/>
      <c r="H129" s="227"/>
      <c r="I129" s="246"/>
      <c r="J129" s="249"/>
      <c r="K129" s="249"/>
      <c r="L129" s="249"/>
      <c r="M129" s="249"/>
      <c r="N129" s="250"/>
      <c r="O129" s="151"/>
      <c r="P129" s="151"/>
    </row>
    <row r="130" spans="1:16">
      <c r="A130" s="244"/>
      <c r="B130" s="149"/>
      <c r="C130" s="247"/>
      <c r="D130" s="247"/>
      <c r="E130" s="247"/>
      <c r="F130" s="118"/>
      <c r="G130" s="246"/>
      <c r="H130" s="246"/>
      <c r="I130" s="251"/>
      <c r="J130" s="252"/>
      <c r="K130" s="252"/>
      <c r="L130" s="252"/>
      <c r="M130" s="252"/>
      <c r="N130" s="253"/>
      <c r="O130" s="151"/>
      <c r="P130" s="151"/>
    </row>
    <row r="131" spans="1:16">
      <c r="A131" s="244"/>
      <c r="B131" s="149"/>
      <c r="C131" s="247"/>
      <c r="D131" s="247"/>
      <c r="E131" s="247"/>
      <c r="F131" s="118"/>
      <c r="G131" s="246"/>
      <c r="H131" s="246"/>
      <c r="I131" s="251"/>
      <c r="J131" s="249"/>
      <c r="K131" s="249"/>
      <c r="L131" s="249"/>
      <c r="M131" s="249"/>
      <c r="N131" s="254"/>
      <c r="O131" s="151"/>
      <c r="P131" s="151"/>
    </row>
    <row r="132" spans="1:16">
      <c r="A132" s="244"/>
      <c r="B132" s="149"/>
      <c r="C132" s="247"/>
      <c r="D132" s="247"/>
      <c r="E132" s="247"/>
      <c r="F132" s="118"/>
      <c r="G132" s="246"/>
      <c r="H132" s="246"/>
      <c r="I132" s="251"/>
      <c r="J132" s="249"/>
      <c r="K132" s="249"/>
      <c r="L132" s="249"/>
      <c r="M132" s="249"/>
      <c r="N132" s="254"/>
      <c r="O132" s="151"/>
      <c r="P132" s="151"/>
    </row>
    <row r="133" spans="1:16">
      <c r="A133" s="244"/>
      <c r="B133" s="149"/>
      <c r="C133" s="247"/>
      <c r="D133" s="247"/>
      <c r="E133" s="247"/>
      <c r="F133" s="118"/>
      <c r="G133" s="246"/>
      <c r="H133" s="246"/>
      <c r="I133" s="251"/>
      <c r="J133" s="249"/>
      <c r="K133" s="249"/>
      <c r="L133" s="249"/>
      <c r="M133" s="249"/>
      <c r="N133" s="254"/>
      <c r="O133" s="151"/>
      <c r="P133" s="151"/>
    </row>
  </sheetData>
  <mergeCells count="12">
    <mergeCell ref="A1:M1"/>
    <mergeCell ref="A2:M2"/>
    <mergeCell ref="M9:M11"/>
    <mergeCell ref="C10:D10"/>
    <mergeCell ref="E10:F10"/>
    <mergeCell ref="G10:H10"/>
    <mergeCell ref="I10:J10"/>
    <mergeCell ref="K10:L10"/>
    <mergeCell ref="A9:A11"/>
    <mergeCell ref="B9:B11"/>
    <mergeCell ref="C9:L9"/>
    <mergeCell ref="A8:B8"/>
  </mergeCells>
  <pageMargins left="0.70866141732283472" right="0.51181102362204722" top="0.74803149606299213" bottom="0.39370078740157483" header="0.31496062992125984" footer="0.31496062992125984"/>
  <pageSetup paperSize="9" fitToHeight="5" orientation="landscape" r:id="rId1"/>
  <rowBreaks count="1" manualBreakCount="1">
    <brk id="40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29"/>
  <sheetViews>
    <sheetView tabSelected="1" topLeftCell="A40" zoomScale="140" zoomScaleNormal="140" workbookViewId="0">
      <selection activeCell="C8" sqref="C8:L8"/>
    </sheetView>
  </sheetViews>
  <sheetFormatPr defaultRowHeight="15"/>
  <cols>
    <col min="1" max="1" width="8.28515625" style="131" customWidth="1"/>
    <col min="2" max="2" width="44.42578125" style="131" customWidth="1"/>
    <col min="3" max="3" width="15.85546875" style="131" customWidth="1"/>
    <col min="4" max="4" width="12.28515625" style="131" customWidth="1"/>
    <col min="5" max="5" width="12.28515625" style="131" hidden="1" customWidth="1"/>
    <col min="6" max="6" width="14.7109375" style="131" hidden="1" customWidth="1"/>
    <col min="7" max="9" width="10.7109375" style="131" hidden="1" customWidth="1"/>
    <col min="10" max="10" width="12.7109375" style="131" hidden="1" customWidth="1"/>
    <col min="11" max="11" width="12.5703125" style="131" customWidth="1"/>
    <col min="12" max="12" width="12.42578125" style="131" customWidth="1"/>
    <col min="13" max="13" width="26.28515625" style="131" customWidth="1"/>
    <col min="14" max="14" width="13.28515625" style="131" customWidth="1"/>
    <col min="15" max="15" width="11.28515625" style="131" customWidth="1"/>
    <col min="16" max="16" width="11" style="131" customWidth="1"/>
    <col min="17" max="16384" width="9.140625" style="131"/>
  </cols>
  <sheetData>
    <row r="1" spans="1:18" ht="42" customHeight="1">
      <c r="A1" s="1034" t="s">
        <v>347</v>
      </c>
      <c r="B1" s="1034"/>
      <c r="C1" s="1034"/>
      <c r="D1" s="1034"/>
      <c r="E1" s="1034"/>
      <c r="F1" s="1034"/>
      <c r="G1" s="1034"/>
      <c r="H1" s="1034"/>
      <c r="I1" s="1034"/>
      <c r="J1" s="1034"/>
      <c r="K1" s="1034"/>
      <c r="L1" s="1034"/>
      <c r="M1" s="1034"/>
      <c r="N1" s="147"/>
    </row>
    <row r="2" spans="1:18" ht="18.75" customHeight="1">
      <c r="A2" s="1034" t="s">
        <v>439</v>
      </c>
      <c r="B2" s="1034"/>
      <c r="C2" s="1034"/>
      <c r="D2" s="1034"/>
      <c r="E2" s="1034"/>
      <c r="F2" s="1034"/>
      <c r="G2" s="1034"/>
      <c r="H2" s="1034"/>
      <c r="I2" s="1034"/>
      <c r="J2" s="1034"/>
      <c r="K2" s="1034"/>
      <c r="L2" s="1034"/>
      <c r="M2" s="1034"/>
      <c r="N2" s="147"/>
    </row>
    <row r="3" spans="1:18" ht="18.75">
      <c r="A3" s="147"/>
      <c r="B3" s="147"/>
      <c r="C3" s="147"/>
      <c r="E3" s="654"/>
      <c r="G3" s="654"/>
      <c r="H3" s="654"/>
      <c r="I3" s="654"/>
      <c r="J3" s="654"/>
      <c r="K3" s="654"/>
      <c r="L3" s="654"/>
      <c r="M3" s="679" t="s">
        <v>246</v>
      </c>
      <c r="N3" s="147"/>
    </row>
    <row r="4" spans="1:18" ht="18.75">
      <c r="A4" s="147"/>
      <c r="B4" s="147"/>
      <c r="C4" s="147"/>
      <c r="E4" s="656"/>
      <c r="G4" s="656"/>
      <c r="H4" s="656"/>
      <c r="I4" s="656"/>
      <c r="J4" s="656"/>
      <c r="K4" s="656"/>
      <c r="L4" s="656"/>
      <c r="M4" s="680" t="s">
        <v>331</v>
      </c>
      <c r="N4" s="147"/>
    </row>
    <row r="5" spans="1:18" ht="18.75">
      <c r="A5" s="147"/>
      <c r="B5" s="147"/>
      <c r="C5" s="147"/>
      <c r="D5" s="671"/>
      <c r="E5" s="671"/>
      <c r="G5" s="653"/>
      <c r="H5" s="653"/>
      <c r="I5" s="653"/>
      <c r="J5" s="653"/>
      <c r="K5" s="653"/>
      <c r="L5" s="653"/>
      <c r="M5" s="679" t="s">
        <v>440</v>
      </c>
      <c r="N5" s="147"/>
    </row>
    <row r="6" spans="1:18" ht="18.75">
      <c r="A6" s="147"/>
      <c r="B6" s="147"/>
      <c r="C6" s="147"/>
      <c r="D6" s="671"/>
      <c r="E6" s="671"/>
      <c r="G6" s="653"/>
      <c r="H6" s="653"/>
      <c r="I6" s="653"/>
      <c r="J6" s="653"/>
      <c r="K6" s="653"/>
      <c r="L6" s="653"/>
      <c r="M6" s="678" t="s">
        <v>92</v>
      </c>
      <c r="N6" s="147"/>
    </row>
    <row r="7" spans="1:18" s="118" customFormat="1" ht="19.5" customHeight="1" thickBot="1">
      <c r="A7" s="1050" t="s">
        <v>333</v>
      </c>
      <c r="B7" s="1050"/>
      <c r="D7" s="396">
        <f>C17-D17</f>
        <v>-34899.70365000001</v>
      </c>
      <c r="E7" s="397"/>
      <c r="F7" s="655"/>
      <c r="G7" s="655"/>
      <c r="H7" s="655"/>
      <c r="I7" s="655"/>
      <c r="J7" s="655"/>
      <c r="K7" s="655"/>
      <c r="L7" s="655"/>
      <c r="M7" s="655"/>
    </row>
    <row r="8" spans="1:18" s="151" customFormat="1" ht="15" customHeight="1">
      <c r="A8" s="1055" t="s">
        <v>110</v>
      </c>
      <c r="B8" s="1045" t="s">
        <v>0</v>
      </c>
      <c r="C8" s="1049" t="s">
        <v>332</v>
      </c>
      <c r="D8" s="1058"/>
      <c r="E8" s="1058"/>
      <c r="F8" s="1058"/>
      <c r="G8" s="1058"/>
      <c r="H8" s="1058"/>
      <c r="I8" s="1058"/>
      <c r="J8" s="1058"/>
      <c r="K8" s="1058"/>
      <c r="L8" s="1059"/>
      <c r="M8" s="1035" t="s">
        <v>75</v>
      </c>
      <c r="N8" s="148"/>
      <c r="O8" s="149"/>
      <c r="P8" s="150"/>
    </row>
    <row r="9" spans="1:18">
      <c r="A9" s="1056"/>
      <c r="B9" s="1046"/>
      <c r="C9" s="1051" t="s">
        <v>21</v>
      </c>
      <c r="D9" s="1052"/>
      <c r="E9" s="1051" t="s">
        <v>345</v>
      </c>
      <c r="F9" s="1052"/>
      <c r="G9" s="1051" t="s">
        <v>111</v>
      </c>
      <c r="H9" s="1052"/>
      <c r="I9" s="1051" t="s">
        <v>112</v>
      </c>
      <c r="J9" s="1052"/>
      <c r="K9" s="1053" t="s">
        <v>113</v>
      </c>
      <c r="L9" s="1054"/>
      <c r="M9" s="1036"/>
      <c r="N9" s="148"/>
      <c r="O9" s="149"/>
      <c r="P9" s="150"/>
      <c r="Q9" s="151"/>
    </row>
    <row r="10" spans="1:18" ht="15.75" thickBot="1">
      <c r="A10" s="1057"/>
      <c r="B10" s="1047"/>
      <c r="C10" s="152" t="s">
        <v>104</v>
      </c>
      <c r="D10" s="152" t="s">
        <v>80</v>
      </c>
      <c r="E10" s="152" t="s">
        <v>81</v>
      </c>
      <c r="F10" s="152" t="s">
        <v>82</v>
      </c>
      <c r="G10" s="152" t="s">
        <v>81</v>
      </c>
      <c r="H10" s="152" t="s">
        <v>82</v>
      </c>
      <c r="I10" s="152" t="s">
        <v>81</v>
      </c>
      <c r="J10" s="152" t="s">
        <v>82</v>
      </c>
      <c r="K10" s="153" t="s">
        <v>81</v>
      </c>
      <c r="L10" s="793" t="s">
        <v>82</v>
      </c>
      <c r="M10" s="1037"/>
      <c r="N10" s="148"/>
      <c r="O10" s="149"/>
      <c r="P10" s="150"/>
      <c r="Q10" s="151"/>
    </row>
    <row r="11" spans="1:18" s="162" customFormat="1">
      <c r="A11" s="154" t="s">
        <v>114</v>
      </c>
      <c r="B11" s="155" t="s">
        <v>115</v>
      </c>
      <c r="C11" s="156">
        <f>C12+C19+C23+C24+C26</f>
        <v>126827.91</v>
      </c>
      <c r="D11" s="156">
        <f>D12+D19+D23+D24+D26</f>
        <v>161727.61365000001</v>
      </c>
      <c r="E11" s="156">
        <f>E12+E19+E23+E24+E26</f>
        <v>38013.016000000003</v>
      </c>
      <c r="F11" s="156">
        <f t="shared" ref="F11:L11" si="0">F12+F19+F23+F24+F26</f>
        <v>38013.016000000003</v>
      </c>
      <c r="G11" s="156">
        <f t="shared" si="0"/>
        <v>15000</v>
      </c>
      <c r="H11" s="156">
        <f t="shared" si="0"/>
        <v>28063.374</v>
      </c>
      <c r="I11" s="156">
        <f t="shared" si="0"/>
        <v>45315</v>
      </c>
      <c r="J11" s="156">
        <f>J12+J19+J23+J24+J26</f>
        <v>45314.662649999998</v>
      </c>
      <c r="K11" s="156">
        <f>K12+K19+K23+K24+K26</f>
        <v>28499.89</v>
      </c>
      <c r="L11" s="156">
        <f t="shared" si="0"/>
        <v>50336.561000000002</v>
      </c>
      <c r="M11" s="157">
        <f>F11+H11+J11+L11</f>
        <v>161727.61365000001</v>
      </c>
      <c r="N11" s="158"/>
      <c r="O11" s="159"/>
      <c r="P11" s="160"/>
      <c r="Q11" s="161"/>
    </row>
    <row r="12" spans="1:18" s="100" customFormat="1">
      <c r="A12" s="163" t="s">
        <v>25</v>
      </c>
      <c r="B12" s="164" t="s">
        <v>116</v>
      </c>
      <c r="C12" s="787">
        <f>SUM(C13:C18)</f>
        <v>66917.149999999994</v>
      </c>
      <c r="D12" s="787">
        <f>SUM(D13:D18)</f>
        <v>101816.85365</v>
      </c>
      <c r="E12" s="787">
        <f>SUM(E13:E18)</f>
        <v>23035.326000000001</v>
      </c>
      <c r="F12" s="787">
        <f t="shared" ref="F12:L12" si="1">SUM(F13:F18)</f>
        <v>23035.326000000001</v>
      </c>
      <c r="G12" s="787">
        <f t="shared" si="1"/>
        <v>0</v>
      </c>
      <c r="H12" s="787">
        <f t="shared" si="1"/>
        <v>13063.374</v>
      </c>
      <c r="I12" s="787">
        <f t="shared" si="1"/>
        <v>30315</v>
      </c>
      <c r="J12" s="787">
        <f t="shared" si="1"/>
        <v>30314.662649999998</v>
      </c>
      <c r="K12" s="787">
        <f t="shared" si="1"/>
        <v>13566.82</v>
      </c>
      <c r="L12" s="787">
        <f t="shared" si="1"/>
        <v>35403.491000000002</v>
      </c>
      <c r="M12" s="165"/>
      <c r="N12" s="166"/>
      <c r="O12" s="166"/>
      <c r="P12" s="166"/>
      <c r="Q12" s="167"/>
      <c r="R12" s="100" t="s">
        <v>117</v>
      </c>
    </row>
    <row r="13" spans="1:18">
      <c r="A13" s="168" t="s">
        <v>26</v>
      </c>
      <c r="B13" s="169" t="s">
        <v>118</v>
      </c>
      <c r="C13" s="170">
        <f t="shared" ref="C13:G14" si="2">E13+G13+I13+K13</f>
        <v>0</v>
      </c>
      <c r="D13" s="170">
        <f t="shared" si="2"/>
        <v>0</v>
      </c>
      <c r="E13" s="170">
        <f t="shared" si="2"/>
        <v>0</v>
      </c>
      <c r="F13" s="170">
        <f t="shared" si="2"/>
        <v>0</v>
      </c>
      <c r="G13" s="170">
        <f t="shared" si="2"/>
        <v>0</v>
      </c>
      <c r="H13" s="170">
        <f t="shared" ref="H13:L16" si="3">J13+L13+N13+P13</f>
        <v>0</v>
      </c>
      <c r="I13" s="170">
        <f t="shared" si="3"/>
        <v>0</v>
      </c>
      <c r="J13" s="170">
        <f t="shared" si="3"/>
        <v>0</v>
      </c>
      <c r="K13" s="170">
        <f t="shared" si="3"/>
        <v>0</v>
      </c>
      <c r="L13" s="170">
        <f t="shared" si="3"/>
        <v>0</v>
      </c>
      <c r="M13" s="165"/>
      <c r="N13" s="171"/>
      <c r="O13" s="171"/>
      <c r="P13" s="171"/>
      <c r="Q13" s="151"/>
    </row>
    <row r="14" spans="1:18">
      <c r="A14" s="168" t="s">
        <v>33</v>
      </c>
      <c r="B14" s="169" t="s">
        <v>119</v>
      </c>
      <c r="C14" s="170">
        <f t="shared" si="2"/>
        <v>0</v>
      </c>
      <c r="D14" s="170">
        <f t="shared" si="2"/>
        <v>0</v>
      </c>
      <c r="E14" s="170">
        <f t="shared" si="2"/>
        <v>0</v>
      </c>
      <c r="F14" s="170">
        <f t="shared" si="2"/>
        <v>0</v>
      </c>
      <c r="G14" s="170">
        <f t="shared" si="2"/>
        <v>0</v>
      </c>
      <c r="H14" s="170">
        <f t="shared" si="3"/>
        <v>0</v>
      </c>
      <c r="I14" s="170">
        <f t="shared" si="3"/>
        <v>0</v>
      </c>
      <c r="J14" s="170">
        <f t="shared" si="3"/>
        <v>0</v>
      </c>
      <c r="K14" s="170">
        <f t="shared" si="3"/>
        <v>0</v>
      </c>
      <c r="L14" s="170">
        <f t="shared" si="3"/>
        <v>0</v>
      </c>
      <c r="M14" s="165"/>
      <c r="N14" s="171"/>
      <c r="O14" s="171"/>
      <c r="P14" s="171"/>
      <c r="Q14" s="151"/>
    </row>
    <row r="15" spans="1:18" ht="30">
      <c r="A15" s="168" t="s">
        <v>37</v>
      </c>
      <c r="B15" s="169" t="s">
        <v>120</v>
      </c>
      <c r="C15" s="170">
        <f>E15+G15+I15+K15</f>
        <v>0</v>
      </c>
      <c r="D15" s="170">
        <f>F15+H15+J15+L15</f>
        <v>0</v>
      </c>
      <c r="E15" s="170">
        <v>0</v>
      </c>
      <c r="F15" s="170">
        <v>0</v>
      </c>
      <c r="G15" s="170">
        <f>I15+K15+M15+O15</f>
        <v>0</v>
      </c>
      <c r="H15" s="170">
        <f t="shared" si="3"/>
        <v>0</v>
      </c>
      <c r="I15" s="170">
        <f t="shared" si="3"/>
        <v>0</v>
      </c>
      <c r="J15" s="170">
        <f t="shared" si="3"/>
        <v>0</v>
      </c>
      <c r="K15" s="170">
        <f t="shared" si="3"/>
        <v>0</v>
      </c>
      <c r="L15" s="170">
        <f t="shared" si="3"/>
        <v>0</v>
      </c>
      <c r="M15" s="172"/>
      <c r="N15" s="173"/>
      <c r="O15" s="171"/>
      <c r="P15" s="171"/>
      <c r="Q15" s="151"/>
    </row>
    <row r="16" spans="1:18" ht="30">
      <c r="A16" s="168" t="s">
        <v>121</v>
      </c>
      <c r="B16" s="169" t="s">
        <v>122</v>
      </c>
      <c r="C16" s="170">
        <f>E16+G16+I16+K16</f>
        <v>0</v>
      </c>
      <c r="D16" s="170">
        <f>F16+H16+J16+L16</f>
        <v>0</v>
      </c>
      <c r="E16" s="170">
        <f>G16+I16+K16+M16</f>
        <v>0</v>
      </c>
      <c r="F16" s="170">
        <f>H16+J16+L16+N16</f>
        <v>0</v>
      </c>
      <c r="G16" s="170">
        <f>I16+K16+M16+O16</f>
        <v>0</v>
      </c>
      <c r="H16" s="170">
        <f t="shared" si="3"/>
        <v>0</v>
      </c>
      <c r="I16" s="170">
        <f t="shared" si="3"/>
        <v>0</v>
      </c>
      <c r="J16" s="170">
        <f t="shared" si="3"/>
        <v>0</v>
      </c>
      <c r="K16" s="170">
        <f t="shared" si="3"/>
        <v>0</v>
      </c>
      <c r="L16" s="170">
        <f t="shared" si="3"/>
        <v>0</v>
      </c>
      <c r="M16" s="165"/>
      <c r="N16" s="171"/>
      <c r="O16" s="171"/>
      <c r="P16" s="171"/>
      <c r="Q16" s="151"/>
    </row>
    <row r="17" spans="1:17" ht="30">
      <c r="A17" s="168" t="s">
        <v>123</v>
      </c>
      <c r="B17" s="174" t="s">
        <v>124</v>
      </c>
      <c r="C17" s="788">
        <v>66917.149999999994</v>
      </c>
      <c r="D17" s="176">
        <f>F17+H17+J17+L17</f>
        <v>101816.85365</v>
      </c>
      <c r="E17" s="788">
        <f>F17</f>
        <v>23035.326000000001</v>
      </c>
      <c r="F17" s="788">
        <v>23035.326000000001</v>
      </c>
      <c r="G17" s="788">
        <v>0</v>
      </c>
      <c r="H17" s="788">
        <v>13063.374</v>
      </c>
      <c r="I17" s="788">
        <v>30315</v>
      </c>
      <c r="J17" s="788">
        <v>30314.662649999998</v>
      </c>
      <c r="K17" s="788">
        <v>13566.82</v>
      </c>
      <c r="L17" s="788">
        <v>35403.491000000002</v>
      </c>
      <c r="M17" s="277"/>
      <c r="N17" s="393">
        <f>E17+G17+I17+K17</f>
        <v>66917.146000000008</v>
      </c>
      <c r="O17" s="393">
        <f>C17-N17</f>
        <v>3.999999986262992E-3</v>
      </c>
      <c r="P17" s="171"/>
      <c r="Q17" s="151"/>
    </row>
    <row r="18" spans="1:17">
      <c r="A18" s="168" t="s">
        <v>125</v>
      </c>
      <c r="B18" s="169" t="s">
        <v>126</v>
      </c>
      <c r="C18" s="789">
        <v>0</v>
      </c>
      <c r="D18" s="170">
        <f>F18+H18+J18+L18</f>
        <v>0</v>
      </c>
      <c r="E18" s="789">
        <v>0</v>
      </c>
      <c r="F18" s="789">
        <v>0</v>
      </c>
      <c r="G18" s="789">
        <v>0</v>
      </c>
      <c r="H18" s="789">
        <v>0</v>
      </c>
      <c r="I18" s="789">
        <v>0</v>
      </c>
      <c r="J18" s="789">
        <v>0</v>
      </c>
      <c r="K18" s="789">
        <v>0</v>
      </c>
      <c r="L18" s="789">
        <v>0</v>
      </c>
      <c r="M18" s="172"/>
      <c r="N18" s="171"/>
      <c r="O18" s="171"/>
      <c r="P18" s="171"/>
      <c r="Q18" s="151"/>
    </row>
    <row r="19" spans="1:17" s="100" customFormat="1">
      <c r="A19" s="163" t="s">
        <v>22</v>
      </c>
      <c r="B19" s="177" t="s">
        <v>127</v>
      </c>
      <c r="C19" s="787">
        <f>SUM(C20:C22)</f>
        <v>59910.76</v>
      </c>
      <c r="D19" s="787">
        <f t="shared" ref="D19:L19" si="4">SUM(D20:D22)</f>
        <v>59910.76</v>
      </c>
      <c r="E19" s="787">
        <f t="shared" si="4"/>
        <v>14977.69</v>
      </c>
      <c r="F19" s="787">
        <f t="shared" si="4"/>
        <v>14977.69</v>
      </c>
      <c r="G19" s="787">
        <f t="shared" si="4"/>
        <v>15000</v>
      </c>
      <c r="H19" s="787">
        <f>SUM(H20:H22)</f>
        <v>15000</v>
      </c>
      <c r="I19" s="787">
        <f t="shared" si="4"/>
        <v>15000</v>
      </c>
      <c r="J19" s="787">
        <f>SUM(J20:J22)</f>
        <v>15000</v>
      </c>
      <c r="K19" s="787">
        <f t="shared" si="4"/>
        <v>14933.07</v>
      </c>
      <c r="L19" s="787">
        <f t="shared" si="4"/>
        <v>14933.07</v>
      </c>
      <c r="M19" s="172"/>
      <c r="N19" s="166"/>
      <c r="O19" s="166"/>
      <c r="P19" s="166"/>
      <c r="Q19" s="167"/>
    </row>
    <row r="20" spans="1:17">
      <c r="A20" s="168" t="s">
        <v>23</v>
      </c>
      <c r="B20" s="174" t="s">
        <v>128</v>
      </c>
      <c r="C20" s="790">
        <v>59910.76</v>
      </c>
      <c r="D20" s="176">
        <f t="shared" ref="D20:D28" si="5">F20+H20+J20+L20</f>
        <v>59910.76</v>
      </c>
      <c r="E20" s="790">
        <f>F20</f>
        <v>14977.69</v>
      </c>
      <c r="F20" s="790">
        <v>14977.69</v>
      </c>
      <c r="G20" s="790">
        <v>15000</v>
      </c>
      <c r="H20" s="790">
        <v>15000</v>
      </c>
      <c r="I20" s="790">
        <v>15000</v>
      </c>
      <c r="J20" s="790">
        <v>15000</v>
      </c>
      <c r="K20" s="790">
        <v>14933.07</v>
      </c>
      <c r="L20" s="790">
        <v>14933.07</v>
      </c>
      <c r="M20" s="277"/>
      <c r="N20" s="393">
        <f>C20-O20</f>
        <v>0</v>
      </c>
      <c r="O20" s="393">
        <f>I20+E20+G20+K20</f>
        <v>59910.76</v>
      </c>
      <c r="P20" s="171"/>
      <c r="Q20" s="151"/>
    </row>
    <row r="21" spans="1:17">
      <c r="A21" s="168" t="s">
        <v>107</v>
      </c>
      <c r="B21" s="169" t="s">
        <v>129</v>
      </c>
      <c r="C21" s="789">
        <v>0</v>
      </c>
      <c r="D21" s="170">
        <f t="shared" si="5"/>
        <v>0</v>
      </c>
      <c r="E21" s="789">
        <v>0</v>
      </c>
      <c r="F21" s="789">
        <v>0</v>
      </c>
      <c r="G21" s="789">
        <v>0</v>
      </c>
      <c r="H21" s="789">
        <v>0</v>
      </c>
      <c r="I21" s="789">
        <v>0</v>
      </c>
      <c r="J21" s="789">
        <v>0</v>
      </c>
      <c r="K21" s="789">
        <v>0</v>
      </c>
      <c r="L21" s="789">
        <v>0</v>
      </c>
      <c r="M21" s="172"/>
      <c r="N21" s="171"/>
      <c r="O21" s="171"/>
      <c r="P21" s="171"/>
      <c r="Q21" s="151"/>
    </row>
    <row r="22" spans="1:17" ht="30" customHeight="1">
      <c r="A22" s="168" t="s">
        <v>108</v>
      </c>
      <c r="B22" s="169" t="s">
        <v>130</v>
      </c>
      <c r="C22" s="789">
        <v>0</v>
      </c>
      <c r="D22" s="170">
        <f t="shared" si="5"/>
        <v>0</v>
      </c>
      <c r="E22" s="789">
        <v>0</v>
      </c>
      <c r="F22" s="789">
        <v>0</v>
      </c>
      <c r="G22" s="789">
        <v>0</v>
      </c>
      <c r="H22" s="789">
        <v>0</v>
      </c>
      <c r="I22" s="789">
        <v>0</v>
      </c>
      <c r="J22" s="789">
        <v>0</v>
      </c>
      <c r="K22" s="789">
        <v>0</v>
      </c>
      <c r="L22" s="789">
        <v>0</v>
      </c>
      <c r="M22" s="165"/>
      <c r="N22" s="171"/>
      <c r="O22" s="171"/>
      <c r="P22" s="171"/>
      <c r="Q22" s="151"/>
    </row>
    <row r="23" spans="1:17" s="100" customFormat="1">
      <c r="A23" s="163" t="s">
        <v>29</v>
      </c>
      <c r="B23" s="177" t="s">
        <v>131</v>
      </c>
      <c r="C23" s="791">
        <v>0</v>
      </c>
      <c r="D23" s="179">
        <f t="shared" si="5"/>
        <v>0</v>
      </c>
      <c r="E23" s="791">
        <v>0</v>
      </c>
      <c r="F23" s="791">
        <v>0</v>
      </c>
      <c r="G23" s="791">
        <v>0</v>
      </c>
      <c r="H23" s="791">
        <v>0</v>
      </c>
      <c r="I23" s="791">
        <v>0</v>
      </c>
      <c r="J23" s="791">
        <v>0</v>
      </c>
      <c r="K23" s="791">
        <v>0</v>
      </c>
      <c r="L23" s="791">
        <v>0</v>
      </c>
      <c r="M23" s="165"/>
      <c r="N23" s="166"/>
      <c r="O23" s="166"/>
      <c r="P23" s="166"/>
      <c r="Q23" s="167"/>
    </row>
    <row r="24" spans="1:17" s="100" customFormat="1">
      <c r="A24" s="163" t="s">
        <v>47</v>
      </c>
      <c r="B24" s="177" t="s">
        <v>132</v>
      </c>
      <c r="C24" s="791">
        <v>0</v>
      </c>
      <c r="D24" s="179">
        <f t="shared" si="5"/>
        <v>0</v>
      </c>
      <c r="E24" s="791">
        <v>0</v>
      </c>
      <c r="F24" s="791">
        <v>0</v>
      </c>
      <c r="G24" s="791">
        <v>0</v>
      </c>
      <c r="H24" s="791">
        <v>0</v>
      </c>
      <c r="I24" s="791">
        <v>0</v>
      </c>
      <c r="J24" s="791">
        <v>0</v>
      </c>
      <c r="K24" s="791">
        <v>0</v>
      </c>
      <c r="L24" s="791">
        <v>0</v>
      </c>
      <c r="M24" s="165"/>
      <c r="N24" s="166"/>
      <c r="O24" s="166"/>
      <c r="P24" s="166"/>
      <c r="Q24" s="167"/>
    </row>
    <row r="25" spans="1:17">
      <c r="A25" s="168" t="s">
        <v>48</v>
      </c>
      <c r="B25" s="169" t="s">
        <v>133</v>
      </c>
      <c r="C25" s="789">
        <v>0</v>
      </c>
      <c r="D25" s="170">
        <f t="shared" si="5"/>
        <v>0</v>
      </c>
      <c r="E25" s="789">
        <v>0</v>
      </c>
      <c r="F25" s="789">
        <v>0</v>
      </c>
      <c r="G25" s="789">
        <v>0</v>
      </c>
      <c r="H25" s="789">
        <v>0</v>
      </c>
      <c r="I25" s="789">
        <v>0</v>
      </c>
      <c r="J25" s="789">
        <v>0</v>
      </c>
      <c r="K25" s="789">
        <v>0</v>
      </c>
      <c r="L25" s="789">
        <v>0</v>
      </c>
      <c r="M25" s="165"/>
      <c r="N25" s="171"/>
      <c r="O25" s="171"/>
      <c r="P25" s="171"/>
      <c r="Q25" s="151"/>
    </row>
    <row r="26" spans="1:17" s="100" customFormat="1" ht="15.75" customHeight="1" thickBot="1">
      <c r="A26" s="163" t="s">
        <v>56</v>
      </c>
      <c r="B26" s="177" t="s">
        <v>134</v>
      </c>
      <c r="C26" s="180"/>
      <c r="D26" s="179">
        <f t="shared" si="5"/>
        <v>0</v>
      </c>
      <c r="E26" s="180"/>
      <c r="F26" s="180"/>
      <c r="G26" s="180"/>
      <c r="H26" s="180"/>
      <c r="I26" s="180"/>
      <c r="J26" s="180"/>
      <c r="K26" s="180"/>
      <c r="L26" s="180"/>
      <c r="M26" s="181"/>
      <c r="N26" s="166"/>
      <c r="O26" s="166"/>
      <c r="P26" s="166"/>
      <c r="Q26" s="167"/>
    </row>
    <row r="27" spans="1:17" s="189" customFormat="1">
      <c r="A27" s="182" t="s">
        <v>13</v>
      </c>
      <c r="B27" s="183" t="s">
        <v>135</v>
      </c>
      <c r="C27" s="184">
        <f>SUM(C28:C34)</f>
        <v>0</v>
      </c>
      <c r="D27" s="184">
        <f t="shared" si="5"/>
        <v>222424.02000000002</v>
      </c>
      <c r="E27" s="184">
        <f t="shared" ref="E27:L27" si="6">SUM(E28:E34)</f>
        <v>0</v>
      </c>
      <c r="F27" s="184">
        <f>SUM(F28:F34)</f>
        <v>0</v>
      </c>
      <c r="G27" s="184">
        <f t="shared" si="6"/>
        <v>0</v>
      </c>
      <c r="H27" s="184">
        <f t="shared" si="6"/>
        <v>0</v>
      </c>
      <c r="I27" s="184">
        <f t="shared" si="6"/>
        <v>0</v>
      </c>
      <c r="J27" s="184">
        <f t="shared" si="6"/>
        <v>164239.89000000001</v>
      </c>
      <c r="K27" s="184">
        <f t="shared" si="6"/>
        <v>0</v>
      </c>
      <c r="L27" s="184">
        <f t="shared" si="6"/>
        <v>58184.13</v>
      </c>
      <c r="M27" s="185"/>
      <c r="N27" s="186"/>
      <c r="O27" s="187"/>
      <c r="P27" s="187"/>
      <c r="Q27" s="188"/>
    </row>
    <row r="28" spans="1:17">
      <c r="A28" s="168" t="s">
        <v>27</v>
      </c>
      <c r="B28" s="169" t="s">
        <v>136</v>
      </c>
      <c r="C28" s="789">
        <v>0</v>
      </c>
      <c r="D28" s="170">
        <f t="shared" si="5"/>
        <v>0</v>
      </c>
      <c r="E28" s="789">
        <v>0</v>
      </c>
      <c r="F28" s="789">
        <v>0</v>
      </c>
      <c r="G28" s="789">
        <v>0</v>
      </c>
      <c r="H28" s="789">
        <v>0</v>
      </c>
      <c r="I28" s="789">
        <v>0</v>
      </c>
      <c r="J28" s="789">
        <v>0</v>
      </c>
      <c r="K28" s="789">
        <v>0</v>
      </c>
      <c r="L28" s="789">
        <v>0</v>
      </c>
      <c r="M28" s="190"/>
      <c r="N28" s="171"/>
      <c r="O28" s="171"/>
      <c r="P28" s="171"/>
      <c r="Q28" s="151"/>
    </row>
    <row r="29" spans="1:17">
      <c r="A29" s="168" t="s">
        <v>24</v>
      </c>
      <c r="B29" s="169" t="s">
        <v>137</v>
      </c>
      <c r="C29" s="789">
        <v>0</v>
      </c>
      <c r="D29" s="170">
        <v>0</v>
      </c>
      <c r="E29" s="789">
        <v>0</v>
      </c>
      <c r="F29" s="789">
        <v>0</v>
      </c>
      <c r="G29" s="789">
        <v>0</v>
      </c>
      <c r="H29" s="789">
        <v>0</v>
      </c>
      <c r="I29" s="789">
        <v>0</v>
      </c>
      <c r="J29" s="789">
        <v>0</v>
      </c>
      <c r="K29" s="789">
        <v>0</v>
      </c>
      <c r="L29" s="789">
        <v>0</v>
      </c>
      <c r="M29" s="190"/>
      <c r="N29" s="171"/>
      <c r="O29" s="171"/>
      <c r="P29" s="171"/>
      <c r="Q29" s="151"/>
    </row>
    <row r="30" spans="1:17">
      <c r="A30" s="168" t="s">
        <v>31</v>
      </c>
      <c r="B30" s="169" t="s">
        <v>138</v>
      </c>
      <c r="C30" s="789">
        <v>0</v>
      </c>
      <c r="D30" s="170">
        <f>F30+H30+J30+L30</f>
        <v>0</v>
      </c>
      <c r="E30" s="789">
        <v>0</v>
      </c>
      <c r="F30" s="789">
        <v>0</v>
      </c>
      <c r="G30" s="789">
        <v>0</v>
      </c>
      <c r="H30" s="789">
        <v>0</v>
      </c>
      <c r="I30" s="789">
        <v>0</v>
      </c>
      <c r="J30" s="789">
        <v>0</v>
      </c>
      <c r="K30" s="789">
        <v>0</v>
      </c>
      <c r="L30" s="789">
        <v>0</v>
      </c>
      <c r="M30" s="190"/>
      <c r="N30" s="171"/>
      <c r="O30" s="171"/>
      <c r="P30" s="171"/>
      <c r="Q30" s="151"/>
    </row>
    <row r="31" spans="1:17">
      <c r="A31" s="168" t="s">
        <v>139</v>
      </c>
      <c r="B31" s="169" t="s">
        <v>140</v>
      </c>
      <c r="C31" s="191">
        <v>0</v>
      </c>
      <c r="D31" s="170">
        <f>F31+H31+J31+L31</f>
        <v>222424.02000000002</v>
      </c>
      <c r="E31" s="789">
        <v>0</v>
      </c>
      <c r="F31" s="792">
        <v>0</v>
      </c>
      <c r="G31" s="789">
        <v>0</v>
      </c>
      <c r="H31" s="789">
        <v>0</v>
      </c>
      <c r="I31" s="789">
        <v>0</v>
      </c>
      <c r="J31" s="794">
        <v>164239.89000000001</v>
      </c>
      <c r="K31" s="789">
        <v>0</v>
      </c>
      <c r="L31" s="789">
        <v>58184.13</v>
      </c>
      <c r="M31" s="190"/>
      <c r="N31" s="171"/>
      <c r="O31" s="171"/>
      <c r="P31" s="171"/>
      <c r="Q31" s="151"/>
    </row>
    <row r="32" spans="1:17">
      <c r="A32" s="168" t="s">
        <v>141</v>
      </c>
      <c r="B32" s="169" t="s">
        <v>142</v>
      </c>
      <c r="C32" s="789">
        <v>0</v>
      </c>
      <c r="D32" s="170">
        <f>F32+H32+J32+L32</f>
        <v>0</v>
      </c>
      <c r="E32" s="789">
        <v>0</v>
      </c>
      <c r="F32" s="789">
        <v>0</v>
      </c>
      <c r="G32" s="789">
        <v>0</v>
      </c>
      <c r="H32" s="789">
        <v>0</v>
      </c>
      <c r="I32" s="789">
        <v>0</v>
      </c>
      <c r="J32" s="789">
        <v>0</v>
      </c>
      <c r="K32" s="789">
        <v>0</v>
      </c>
      <c r="L32" s="789">
        <v>0</v>
      </c>
      <c r="M32" s="190"/>
      <c r="N32" s="171"/>
      <c r="O32" s="171"/>
      <c r="P32" s="171"/>
      <c r="Q32" s="151"/>
    </row>
    <row r="33" spans="1:24">
      <c r="A33" s="168" t="s">
        <v>143</v>
      </c>
      <c r="B33" s="169" t="s">
        <v>144</v>
      </c>
      <c r="C33" s="789">
        <v>0</v>
      </c>
      <c r="D33" s="170">
        <f>F33+H33+J33+L33</f>
        <v>0</v>
      </c>
      <c r="E33" s="789">
        <v>0</v>
      </c>
      <c r="F33" s="789">
        <v>0</v>
      </c>
      <c r="G33" s="789">
        <v>0</v>
      </c>
      <c r="H33" s="789">
        <v>0</v>
      </c>
      <c r="I33" s="789">
        <v>0</v>
      </c>
      <c r="J33" s="789">
        <v>0</v>
      </c>
      <c r="K33" s="789">
        <v>0</v>
      </c>
      <c r="L33" s="789">
        <v>0</v>
      </c>
      <c r="M33" s="190"/>
      <c r="N33" s="171"/>
      <c r="O33" s="171"/>
      <c r="P33" s="171"/>
      <c r="Q33" s="151"/>
    </row>
    <row r="34" spans="1:24" ht="15.75" thickBot="1">
      <c r="A34" s="168" t="s">
        <v>145</v>
      </c>
      <c r="B34" s="169" t="s">
        <v>146</v>
      </c>
      <c r="C34" s="191">
        <v>0</v>
      </c>
      <c r="D34" s="192">
        <f>F34+H34+J34+L34</f>
        <v>0</v>
      </c>
      <c r="E34" s="789">
        <v>0</v>
      </c>
      <c r="F34" s="789">
        <v>0</v>
      </c>
      <c r="G34" s="789">
        <v>0</v>
      </c>
      <c r="H34" s="789">
        <v>0</v>
      </c>
      <c r="I34" s="789">
        <v>0</v>
      </c>
      <c r="J34" s="789">
        <v>0</v>
      </c>
      <c r="K34" s="789">
        <v>0</v>
      </c>
      <c r="L34" s="789">
        <v>0</v>
      </c>
      <c r="M34" s="190"/>
      <c r="N34" s="393">
        <f>C34-E34</f>
        <v>0</v>
      </c>
      <c r="O34" s="171"/>
      <c r="P34" s="171"/>
      <c r="Q34" s="151"/>
    </row>
    <row r="35" spans="1:24" s="200" customFormat="1" ht="15.75" thickBot="1">
      <c r="A35" s="193"/>
      <c r="B35" s="194" t="s">
        <v>147</v>
      </c>
      <c r="C35" s="195">
        <f t="shared" ref="C35:L35" si="7">C27+C11</f>
        <v>126827.91</v>
      </c>
      <c r="D35" s="195">
        <f t="shared" si="7"/>
        <v>384151.63365000003</v>
      </c>
      <c r="E35" s="195">
        <f t="shared" si="7"/>
        <v>38013.016000000003</v>
      </c>
      <c r="F35" s="195">
        <f t="shared" si="7"/>
        <v>38013.016000000003</v>
      </c>
      <c r="G35" s="195">
        <f t="shared" si="7"/>
        <v>15000</v>
      </c>
      <c r="H35" s="195">
        <f t="shared" si="7"/>
        <v>28063.374</v>
      </c>
      <c r="I35" s="195">
        <f t="shared" si="7"/>
        <v>45315</v>
      </c>
      <c r="J35" s="195">
        <f t="shared" si="7"/>
        <v>209554.55265000003</v>
      </c>
      <c r="K35" s="195">
        <f t="shared" si="7"/>
        <v>28499.89</v>
      </c>
      <c r="L35" s="195">
        <f t="shared" si="7"/>
        <v>108520.69099999999</v>
      </c>
      <c r="M35" s="196"/>
      <c r="N35" s="197"/>
      <c r="O35" s="198"/>
      <c r="P35" s="198"/>
      <c r="Q35" s="199"/>
    </row>
    <row r="36" spans="1:24">
      <c r="A36" s="201"/>
      <c r="B36" s="202"/>
      <c r="C36" s="394"/>
      <c r="D36" s="202"/>
      <c r="E36" s="202"/>
      <c r="F36" s="202"/>
      <c r="G36" s="202"/>
      <c r="H36" s="202"/>
      <c r="I36" s="203"/>
      <c r="J36" s="204"/>
      <c r="K36" s="204"/>
      <c r="L36" s="204"/>
      <c r="M36" s="204"/>
      <c r="N36" s="205"/>
      <c r="O36" s="206"/>
      <c r="P36" s="206"/>
      <c r="Q36" s="151"/>
    </row>
    <row r="37" spans="1:24" ht="18.75">
      <c r="A37" s="201"/>
      <c r="B37" s="207" t="s">
        <v>148</v>
      </c>
      <c r="C37" s="208"/>
      <c r="D37" s="208"/>
      <c r="E37" s="209"/>
      <c r="F37" s="209"/>
      <c r="G37" s="209"/>
      <c r="H37" s="209"/>
      <c r="I37" s="209"/>
      <c r="J37" s="210"/>
      <c r="K37" s="211"/>
      <c r="M37" s="134"/>
      <c r="N37" s="135"/>
      <c r="O37" s="134"/>
      <c r="Q37" s="134"/>
      <c r="R37" s="134"/>
      <c r="S37" s="134"/>
      <c r="T37" s="133"/>
      <c r="U37" s="133"/>
      <c r="V37" s="135"/>
      <c r="W37" s="133"/>
      <c r="X37"/>
    </row>
    <row r="38" spans="1:24">
      <c r="A38" s="201"/>
      <c r="B38" s="207" t="s">
        <v>149</v>
      </c>
      <c r="C38" s="208"/>
      <c r="D38" s="208"/>
      <c r="M38" s="204"/>
      <c r="N38" s="205"/>
      <c r="O38" s="206"/>
      <c r="P38" s="206"/>
    </row>
    <row r="39" spans="1:24" ht="17.25" customHeight="1">
      <c r="A39" s="201"/>
      <c r="B39" s="202"/>
      <c r="C39" s="202"/>
      <c r="D39" s="202"/>
      <c r="E39"/>
      <c r="K39"/>
      <c r="M39" s="204"/>
      <c r="N39" s="205"/>
      <c r="O39" s="206"/>
      <c r="P39" s="206"/>
    </row>
    <row r="40" spans="1:24" ht="32.25">
      <c r="A40" s="201"/>
      <c r="B40" s="216" t="s">
        <v>109</v>
      </c>
      <c r="C40" s="139"/>
      <c r="D40" s="139"/>
      <c r="F40" s="217" t="s">
        <v>97</v>
      </c>
      <c r="H40" s="136"/>
      <c r="I40" s="136"/>
      <c r="J40" s="136"/>
      <c r="K40" s="136"/>
      <c r="L40" s="136"/>
      <c r="M40" s="216" t="s">
        <v>97</v>
      </c>
      <c r="N40" s="132"/>
      <c r="O40" s="132"/>
      <c r="P40" s="132"/>
      <c r="Q40" s="132"/>
      <c r="R40" s="132"/>
      <c r="S40" s="132"/>
      <c r="T40" s="132"/>
      <c r="U40" s="133"/>
      <c r="V40" s="132"/>
      <c r="W40" s="133"/>
    </row>
    <row r="41" spans="1:24" ht="18.75">
      <c r="A41" s="201"/>
      <c r="B41" s="216"/>
      <c r="C41" s="139"/>
      <c r="D41" s="139"/>
      <c r="F41" s="136"/>
      <c r="H41" s="136"/>
      <c r="I41" s="136"/>
      <c r="J41" s="136"/>
      <c r="K41" s="136"/>
      <c r="L41" s="136"/>
      <c r="M41" s="216"/>
      <c r="N41" s="132"/>
      <c r="O41" s="132"/>
      <c r="P41" s="132"/>
      <c r="Q41" s="132"/>
      <c r="R41" s="132"/>
      <c r="S41" s="132"/>
      <c r="T41" s="132"/>
      <c r="U41" s="133"/>
      <c r="V41" s="132"/>
      <c r="W41" s="133"/>
    </row>
    <row r="42" spans="1:24" ht="15.75">
      <c r="A42" s="201"/>
      <c r="B42" s="136" t="s">
        <v>94</v>
      </c>
      <c r="C42" s="212"/>
      <c r="D42" s="212"/>
      <c r="F42" s="136" t="s">
        <v>95</v>
      </c>
      <c r="H42" s="212"/>
      <c r="I42" s="213"/>
      <c r="J42" s="214"/>
      <c r="K42" s="214"/>
      <c r="L42" s="214"/>
      <c r="M42" s="136" t="s">
        <v>95</v>
      </c>
      <c r="N42" s="215"/>
      <c r="O42" s="206"/>
      <c r="P42" s="206"/>
    </row>
    <row r="43" spans="1:24" ht="18.75">
      <c r="A43" s="201"/>
      <c r="B43" s="218"/>
      <c r="C43" s="218"/>
      <c r="D43" s="136"/>
      <c r="F43" s="136"/>
      <c r="I43" s="136"/>
      <c r="J43" s="136"/>
      <c r="K43" s="136"/>
      <c r="L43" s="136"/>
      <c r="M43" s="218"/>
      <c r="N43" s="132"/>
      <c r="O43" s="132"/>
      <c r="P43" s="132"/>
      <c r="Q43" s="132"/>
      <c r="R43" s="132"/>
      <c r="S43" s="132"/>
      <c r="T43" s="132"/>
      <c r="U43" s="133"/>
      <c r="V43" s="132"/>
      <c r="W43" s="133"/>
    </row>
    <row r="44" spans="1:24" ht="18.75">
      <c r="A44" s="201"/>
      <c r="B44" s="136" t="s">
        <v>98</v>
      </c>
      <c r="C44" s="218"/>
      <c r="D44" s="139"/>
      <c r="F44" s="136" t="s">
        <v>158</v>
      </c>
      <c r="H44" s="218"/>
      <c r="I44" s="218"/>
      <c r="J44" s="218"/>
      <c r="K44" s="218"/>
      <c r="L44" s="218"/>
      <c r="M44" s="136" t="s">
        <v>99</v>
      </c>
      <c r="N44" s="134"/>
      <c r="O44" s="135"/>
      <c r="P44" s="135"/>
      <c r="Q44" s="134"/>
      <c r="R44" s="134"/>
      <c r="S44" s="134"/>
      <c r="T44" s="134"/>
      <c r="U44" s="133"/>
      <c r="W44" s="133"/>
    </row>
    <row r="45" spans="1:24">
      <c r="A45" s="201"/>
      <c r="B45"/>
      <c r="D45" s="149"/>
      <c r="F45" s="219" t="s">
        <v>159</v>
      </c>
      <c r="H45" s="209"/>
      <c r="I45" s="220"/>
      <c r="J45" s="221"/>
      <c r="K45" s="221"/>
      <c r="L45" s="221"/>
      <c r="M45"/>
      <c r="N45" s="222"/>
      <c r="O45" s="206"/>
      <c r="P45" s="206"/>
    </row>
    <row r="46" spans="1:24" ht="15.75">
      <c r="A46" s="201"/>
      <c r="B46" s="136" t="s">
        <v>150</v>
      </c>
      <c r="C46" s="218"/>
      <c r="D46" s="218"/>
      <c r="F46" s="140" t="s">
        <v>160</v>
      </c>
      <c r="H46" s="139"/>
      <c r="I46" s="139"/>
      <c r="J46" s="223"/>
      <c r="K46" s="224"/>
      <c r="L46" s="224"/>
      <c r="M46" s="216" t="s">
        <v>359</v>
      </c>
      <c r="N46" s="208"/>
      <c r="O46" s="206"/>
      <c r="P46" s="206"/>
    </row>
    <row r="47" spans="1:24" ht="15.75">
      <c r="A47" s="201"/>
      <c r="B47" s="225"/>
      <c r="C47" s="141"/>
      <c r="D47" s="218"/>
      <c r="F47" s="139"/>
      <c r="H47" s="139"/>
      <c r="I47" s="139"/>
      <c r="J47" s="223"/>
      <c r="K47" s="224"/>
      <c r="L47" s="224"/>
      <c r="M47" s="141"/>
      <c r="N47" s="208"/>
      <c r="O47" s="206"/>
      <c r="P47" s="206"/>
    </row>
    <row r="48" spans="1:24">
      <c r="A48" s="226"/>
      <c r="B48" s="220" t="s">
        <v>362</v>
      </c>
      <c r="C48" s="148"/>
      <c r="D48" s="148"/>
      <c r="E48" s="149"/>
      <c r="F48" s="149"/>
      <c r="G48" s="227"/>
      <c r="H48" s="227"/>
      <c r="I48" s="220"/>
      <c r="J48" s="204"/>
      <c r="K48" s="204"/>
      <c r="L48" s="204"/>
      <c r="M48" s="204" t="s">
        <v>363</v>
      </c>
      <c r="N48" s="208"/>
      <c r="O48" s="206"/>
      <c r="P48" s="206"/>
    </row>
    <row r="49" spans="1:16">
      <c r="A49" s="226"/>
      <c r="B49" s="220"/>
      <c r="C49" s="148"/>
      <c r="D49" s="148"/>
      <c r="E49" s="149"/>
      <c r="F49" s="149"/>
      <c r="G49" s="227"/>
      <c r="H49" s="227"/>
      <c r="I49" s="220"/>
      <c r="J49" s="204"/>
      <c r="K49" s="204"/>
      <c r="L49" s="204"/>
      <c r="M49" s="204"/>
      <c r="N49" s="208"/>
      <c r="O49" s="206"/>
      <c r="P49" s="206"/>
    </row>
    <row r="50" spans="1:16">
      <c r="A50" s="226"/>
      <c r="B50" s="228"/>
      <c r="C50" s="148"/>
      <c r="D50" s="148"/>
      <c r="E50" s="149"/>
      <c r="F50" s="149"/>
      <c r="G50" s="219"/>
      <c r="H50" s="219"/>
      <c r="I50" s="220"/>
      <c r="J50" s="221"/>
      <c r="K50" s="221"/>
      <c r="L50" s="221"/>
      <c r="M50" s="221"/>
      <c r="N50" s="208"/>
      <c r="O50" s="206"/>
      <c r="P50" s="206"/>
    </row>
    <row r="51" spans="1:16">
      <c r="A51" s="226"/>
      <c r="B51" s="220"/>
      <c r="C51" s="148"/>
      <c r="D51" s="148"/>
      <c r="E51" s="149"/>
      <c r="F51" s="149"/>
      <c r="G51" s="227"/>
      <c r="H51" s="227"/>
      <c r="I51" s="220"/>
      <c r="J51" s="204"/>
      <c r="K51" s="204"/>
      <c r="L51" s="204"/>
      <c r="M51" s="204"/>
      <c r="N51" s="208"/>
      <c r="O51" s="206"/>
      <c r="P51" s="206"/>
    </row>
    <row r="52" spans="1:16">
      <c r="A52" s="226"/>
      <c r="B52" s="149"/>
      <c r="C52" s="148"/>
      <c r="D52" s="148"/>
      <c r="E52" s="149"/>
      <c r="F52" s="148"/>
      <c r="G52" s="219"/>
      <c r="H52" s="219"/>
      <c r="I52" s="220"/>
      <c r="J52" s="221"/>
      <c r="K52" s="221"/>
      <c r="L52" s="221"/>
      <c r="M52" s="221"/>
      <c r="N52" s="229"/>
      <c r="O52" s="206"/>
      <c r="P52" s="206"/>
    </row>
    <row r="53" spans="1:16">
      <c r="A53" s="226"/>
      <c r="B53" s="220"/>
      <c r="C53" s="148"/>
      <c r="D53" s="148"/>
      <c r="E53" s="149"/>
      <c r="F53" s="208"/>
      <c r="G53" s="227"/>
      <c r="H53" s="227"/>
      <c r="I53" s="220"/>
      <c r="J53" s="204"/>
      <c r="K53" s="204"/>
      <c r="L53" s="204"/>
      <c r="M53" s="204"/>
      <c r="N53" s="208"/>
      <c r="O53" s="206"/>
      <c r="P53" s="206"/>
    </row>
    <row r="54" spans="1:16">
      <c r="A54" s="226"/>
      <c r="B54" s="220"/>
      <c r="C54" s="148"/>
      <c r="D54" s="148"/>
      <c r="E54" s="149"/>
      <c r="F54" s="208"/>
      <c r="G54" s="227"/>
      <c r="H54" s="227"/>
      <c r="I54" s="220"/>
      <c r="J54" s="204"/>
      <c r="K54" s="204"/>
      <c r="L54" s="204"/>
      <c r="M54" s="204"/>
      <c r="N54" s="204"/>
      <c r="O54" s="206"/>
      <c r="P54" s="206"/>
    </row>
    <row r="55" spans="1:16">
      <c r="A55" s="202"/>
      <c r="B55" s="205"/>
      <c r="C55" s="230"/>
      <c r="D55" s="230"/>
      <c r="E55" s="230"/>
      <c r="F55" s="230"/>
      <c r="G55" s="230"/>
      <c r="H55" s="230"/>
      <c r="I55" s="215"/>
      <c r="J55" s="231"/>
      <c r="K55" s="231"/>
      <c r="L55" s="231"/>
      <c r="M55" s="231"/>
      <c r="N55" s="215"/>
      <c r="O55" s="206"/>
      <c r="P55" s="206"/>
    </row>
    <row r="56" spans="1:16">
      <c r="A56" s="202"/>
      <c r="B56" s="220"/>
      <c r="C56" s="220"/>
      <c r="D56" s="220"/>
      <c r="E56" s="220"/>
      <c r="F56" s="220"/>
      <c r="G56" s="220"/>
      <c r="H56" s="220"/>
      <c r="I56" s="203"/>
      <c r="J56" s="232"/>
      <c r="K56" s="232"/>
      <c r="L56" s="232"/>
      <c r="M56" s="232"/>
      <c r="N56" s="215"/>
      <c r="O56" s="206"/>
      <c r="P56" s="206"/>
    </row>
    <row r="57" spans="1:16">
      <c r="A57" s="202"/>
      <c r="B57" s="220"/>
      <c r="C57" s="220"/>
      <c r="D57" s="220"/>
      <c r="E57" s="220"/>
      <c r="F57" s="220"/>
      <c r="G57" s="220"/>
      <c r="H57" s="220"/>
      <c r="I57" s="203"/>
      <c r="J57" s="204"/>
      <c r="K57" s="204"/>
      <c r="L57" s="204"/>
      <c r="M57" s="204"/>
      <c r="N57" s="215"/>
      <c r="O57" s="206"/>
      <c r="P57" s="206"/>
    </row>
    <row r="58" spans="1:16">
      <c r="A58" s="202"/>
      <c r="B58" s="220"/>
      <c r="C58" s="220"/>
      <c r="D58" s="220"/>
      <c r="E58" s="220"/>
      <c r="F58" s="220"/>
      <c r="G58" s="220"/>
      <c r="H58" s="220"/>
      <c r="I58" s="203"/>
      <c r="J58" s="232"/>
      <c r="K58" s="232"/>
      <c r="L58" s="232"/>
      <c r="M58" s="232"/>
      <c r="N58" s="215"/>
      <c r="O58" s="206"/>
      <c r="P58" s="206"/>
    </row>
    <row r="59" spans="1:16">
      <c r="A59" s="202"/>
      <c r="B59" s="220"/>
      <c r="C59" s="220"/>
      <c r="D59" s="220"/>
      <c r="E59" s="220"/>
      <c r="F59" s="220"/>
      <c r="G59" s="220"/>
      <c r="H59" s="220"/>
      <c r="I59" s="203"/>
      <c r="J59" s="232"/>
      <c r="K59" s="232"/>
      <c r="L59" s="232"/>
      <c r="M59" s="232"/>
      <c r="N59" s="215"/>
      <c r="O59" s="206"/>
      <c r="P59" s="206"/>
    </row>
    <row r="60" spans="1:16">
      <c r="A60" s="220"/>
      <c r="B60" s="233"/>
      <c r="C60" s="149"/>
      <c r="D60" s="149"/>
      <c r="E60" s="149"/>
      <c r="F60" s="149"/>
      <c r="G60" s="149"/>
      <c r="H60" s="149"/>
      <c r="I60" s="220"/>
      <c r="J60" s="221"/>
      <c r="K60" s="221"/>
      <c r="L60" s="221"/>
      <c r="M60" s="221"/>
      <c r="N60" s="222"/>
      <c r="O60" s="206"/>
      <c r="P60" s="206"/>
    </row>
    <row r="61" spans="1:16">
      <c r="A61" s="220"/>
      <c r="B61" s="234"/>
      <c r="C61" s="220"/>
      <c r="D61" s="220"/>
      <c r="E61" s="149"/>
      <c r="F61" s="220"/>
      <c r="G61" s="149"/>
      <c r="H61" s="149"/>
      <c r="I61" s="220"/>
      <c r="J61" s="204"/>
      <c r="K61" s="204"/>
      <c r="L61" s="204"/>
      <c r="M61" s="204"/>
      <c r="N61" s="208"/>
      <c r="O61" s="206"/>
      <c r="P61" s="206"/>
    </row>
    <row r="62" spans="1:16">
      <c r="A62" s="202"/>
      <c r="B62" s="205"/>
      <c r="C62" s="230"/>
      <c r="D62" s="230"/>
      <c r="E62" s="230"/>
      <c r="F62" s="230"/>
      <c r="G62" s="230"/>
      <c r="H62" s="230"/>
      <c r="I62" s="203"/>
      <c r="J62" s="204"/>
      <c r="K62" s="204"/>
      <c r="L62" s="204"/>
      <c r="M62" s="204"/>
      <c r="N62" s="205"/>
      <c r="O62" s="206"/>
      <c r="P62" s="206"/>
    </row>
    <row r="63" spans="1:16">
      <c r="A63" s="202"/>
      <c r="B63" s="202"/>
      <c r="C63" s="202"/>
      <c r="D63" s="202"/>
      <c r="E63" s="202"/>
      <c r="F63" s="202"/>
      <c r="G63" s="202"/>
      <c r="H63" s="202"/>
      <c r="I63" s="203"/>
      <c r="J63" s="204"/>
      <c r="K63" s="204"/>
      <c r="L63" s="204"/>
      <c r="M63" s="204"/>
      <c r="N63" s="205"/>
      <c r="O63" s="206"/>
      <c r="P63" s="206"/>
    </row>
    <row r="64" spans="1:16">
      <c r="A64" s="202"/>
      <c r="B64" s="202"/>
      <c r="C64" s="202"/>
      <c r="D64" s="202"/>
      <c r="E64" s="202"/>
      <c r="F64" s="202"/>
      <c r="G64" s="202"/>
      <c r="H64" s="202"/>
      <c r="I64" s="203"/>
      <c r="J64" s="204"/>
      <c r="K64" s="204"/>
      <c r="L64" s="204"/>
      <c r="M64" s="204"/>
      <c r="N64" s="205"/>
      <c r="O64" s="206"/>
      <c r="P64" s="206"/>
    </row>
    <row r="65" spans="1:16">
      <c r="A65" s="202"/>
      <c r="B65" s="202"/>
      <c r="C65" s="202"/>
      <c r="D65" s="202"/>
      <c r="E65" s="202"/>
      <c r="F65" s="202"/>
      <c r="G65" s="202"/>
      <c r="H65" s="202"/>
      <c r="I65" s="203"/>
      <c r="J65" s="204"/>
      <c r="K65" s="204"/>
      <c r="L65" s="204"/>
      <c r="M65" s="204"/>
      <c r="N65" s="205"/>
      <c r="O65" s="206"/>
      <c r="P65" s="206"/>
    </row>
    <row r="66" spans="1:16">
      <c r="A66" s="202"/>
      <c r="B66" s="202"/>
      <c r="C66" s="202"/>
      <c r="D66" s="202"/>
      <c r="E66" s="202"/>
      <c r="F66" s="202"/>
      <c r="G66" s="202"/>
      <c r="H66" s="202"/>
      <c r="I66" s="203"/>
      <c r="J66" s="204"/>
      <c r="K66" s="204"/>
      <c r="L66" s="204"/>
      <c r="M66" s="204"/>
      <c r="N66" s="205"/>
      <c r="O66" s="206"/>
      <c r="P66" s="206"/>
    </row>
    <row r="67" spans="1:16">
      <c r="A67" s="202"/>
      <c r="B67" s="205"/>
      <c r="C67" s="230"/>
      <c r="D67" s="230"/>
      <c r="E67" s="230"/>
      <c r="F67" s="230"/>
      <c r="G67" s="230"/>
      <c r="H67" s="230"/>
      <c r="I67" s="215"/>
      <c r="J67" s="231"/>
      <c r="K67" s="231"/>
      <c r="L67" s="231"/>
      <c r="M67" s="231"/>
      <c r="N67" s="215"/>
      <c r="O67" s="206"/>
      <c r="P67" s="206"/>
    </row>
    <row r="68" spans="1:16">
      <c r="A68" s="202"/>
      <c r="B68" s="202"/>
      <c r="C68" s="202"/>
      <c r="D68" s="202"/>
      <c r="E68" s="202"/>
      <c r="F68" s="202"/>
      <c r="G68" s="202"/>
      <c r="H68" s="202"/>
      <c r="I68" s="203"/>
      <c r="J68" s="204"/>
      <c r="K68" s="204"/>
      <c r="L68" s="204"/>
      <c r="M68" s="204"/>
      <c r="N68" s="205"/>
      <c r="O68" s="206"/>
      <c r="P68" s="206"/>
    </row>
    <row r="69" spans="1:16">
      <c r="A69" s="202"/>
      <c r="B69" s="202"/>
      <c r="C69" s="202"/>
      <c r="D69" s="202"/>
      <c r="E69" s="202"/>
      <c r="F69" s="202"/>
      <c r="G69" s="202"/>
      <c r="H69" s="202"/>
      <c r="I69" s="203"/>
      <c r="J69" s="204"/>
      <c r="K69" s="204"/>
      <c r="L69" s="204"/>
      <c r="M69" s="204"/>
      <c r="N69" s="205"/>
      <c r="O69" s="206"/>
      <c r="P69" s="206"/>
    </row>
    <row r="70" spans="1:16">
      <c r="A70" s="202"/>
      <c r="B70" s="202"/>
      <c r="C70" s="202"/>
      <c r="D70" s="202"/>
      <c r="E70" s="202"/>
      <c r="F70" s="202"/>
      <c r="G70" s="202"/>
      <c r="H70" s="202"/>
      <c r="I70" s="203"/>
      <c r="J70" s="204"/>
      <c r="K70" s="204"/>
      <c r="L70" s="204"/>
      <c r="M70" s="204"/>
      <c r="N70" s="205"/>
      <c r="O70" s="206"/>
      <c r="P70" s="206"/>
    </row>
    <row r="71" spans="1:16">
      <c r="A71" s="202"/>
      <c r="B71" s="202"/>
      <c r="C71" s="202"/>
      <c r="D71" s="202"/>
      <c r="E71" s="202"/>
      <c r="F71" s="202"/>
      <c r="G71" s="202"/>
      <c r="H71" s="202"/>
      <c r="I71" s="203"/>
      <c r="J71" s="204"/>
      <c r="K71" s="204"/>
      <c r="L71" s="204"/>
      <c r="M71" s="204"/>
      <c r="N71" s="205"/>
      <c r="O71" s="206"/>
      <c r="P71" s="206"/>
    </row>
    <row r="72" spans="1:16">
      <c r="A72" s="220"/>
      <c r="B72" s="149"/>
      <c r="C72" s="149"/>
      <c r="D72" s="149"/>
      <c r="E72" s="149"/>
      <c r="F72" s="149"/>
      <c r="G72" s="220"/>
      <c r="H72" s="220"/>
      <c r="I72" s="220"/>
      <c r="J72" s="221"/>
      <c r="K72" s="221"/>
      <c r="L72" s="221"/>
      <c r="M72" s="221"/>
      <c r="N72" s="222"/>
      <c r="O72" s="206"/>
      <c r="P72" s="206"/>
    </row>
    <row r="73" spans="1:16">
      <c r="A73" s="220"/>
      <c r="B73" s="220"/>
      <c r="C73" s="149"/>
      <c r="D73" s="149"/>
      <c r="E73" s="149"/>
      <c r="F73" s="220"/>
      <c r="G73" s="220"/>
      <c r="H73" s="220"/>
      <c r="I73" s="220"/>
      <c r="J73" s="204"/>
      <c r="K73" s="204"/>
      <c r="L73" s="204"/>
      <c r="M73" s="204"/>
      <c r="N73" s="208"/>
      <c r="O73" s="206"/>
      <c r="P73" s="206"/>
    </row>
    <row r="74" spans="1:16">
      <c r="A74" s="220"/>
      <c r="B74" s="149"/>
      <c r="C74" s="149"/>
      <c r="D74" s="149"/>
      <c r="E74" s="149"/>
      <c r="F74" s="220"/>
      <c r="G74" s="220"/>
      <c r="H74" s="220"/>
      <c r="I74" s="220"/>
      <c r="J74" s="221"/>
      <c r="K74" s="221"/>
      <c r="L74" s="221"/>
      <c r="M74" s="221"/>
      <c r="N74" s="205"/>
      <c r="O74" s="206"/>
      <c r="P74" s="206"/>
    </row>
    <row r="75" spans="1:16">
      <c r="A75" s="220"/>
      <c r="B75" s="234"/>
      <c r="C75" s="220"/>
      <c r="D75" s="220"/>
      <c r="E75" s="149"/>
      <c r="F75" s="220"/>
      <c r="G75" s="220"/>
      <c r="H75" s="220"/>
      <c r="I75" s="220"/>
      <c r="J75" s="204"/>
      <c r="K75" s="204"/>
      <c r="L75" s="204"/>
      <c r="M75" s="204"/>
      <c r="N75" s="205"/>
      <c r="O75" s="206"/>
      <c r="P75" s="206"/>
    </row>
    <row r="76" spans="1:16">
      <c r="A76" s="220"/>
      <c r="B76" s="149"/>
      <c r="C76" s="149"/>
      <c r="D76" s="149"/>
      <c r="E76" s="219"/>
      <c r="F76" s="220"/>
      <c r="G76" s="227"/>
      <c r="H76" s="227"/>
      <c r="I76" s="220"/>
      <c r="J76" s="221"/>
      <c r="K76" s="221"/>
      <c r="L76" s="221"/>
      <c r="M76" s="221"/>
      <c r="N76" s="205"/>
      <c r="O76" s="206"/>
      <c r="P76" s="206"/>
    </row>
    <row r="77" spans="1:16">
      <c r="A77" s="220"/>
      <c r="B77" s="220"/>
      <c r="C77" s="149"/>
      <c r="D77" s="149"/>
      <c r="E77" s="219"/>
      <c r="F77" s="220"/>
      <c r="G77" s="227"/>
      <c r="H77" s="227"/>
      <c r="I77" s="220"/>
      <c r="J77" s="204"/>
      <c r="K77" s="204"/>
      <c r="L77" s="204"/>
      <c r="M77" s="204"/>
      <c r="N77" s="205"/>
      <c r="O77" s="206"/>
      <c r="P77" s="206"/>
    </row>
    <row r="78" spans="1:16">
      <c r="A78" s="220"/>
      <c r="B78" s="220"/>
      <c r="C78" s="149"/>
      <c r="D78" s="149"/>
      <c r="E78" s="219"/>
      <c r="F78" s="220"/>
      <c r="G78" s="227"/>
      <c r="H78" s="227"/>
      <c r="I78" s="220"/>
      <c r="J78" s="204"/>
      <c r="K78" s="204"/>
      <c r="L78" s="204"/>
      <c r="M78" s="204"/>
      <c r="N78" s="205"/>
      <c r="O78" s="206"/>
      <c r="P78" s="206"/>
    </row>
    <row r="79" spans="1:16">
      <c r="A79" s="202"/>
      <c r="B79" s="205"/>
      <c r="C79" s="230"/>
      <c r="D79" s="230"/>
      <c r="E79" s="230"/>
      <c r="F79" s="230"/>
      <c r="G79" s="230"/>
      <c r="H79" s="230"/>
      <c r="I79" s="215"/>
      <c r="J79" s="231"/>
      <c r="K79" s="231"/>
      <c r="L79" s="231"/>
      <c r="M79" s="231"/>
      <c r="N79" s="215"/>
      <c r="O79" s="206"/>
      <c r="P79" s="206"/>
    </row>
    <row r="80" spans="1:16">
      <c r="A80" s="202"/>
      <c r="B80" s="220"/>
      <c r="C80" s="220"/>
      <c r="D80" s="220"/>
      <c r="E80" s="220"/>
      <c r="F80" s="220"/>
      <c r="G80" s="220"/>
      <c r="H80" s="220"/>
      <c r="I80" s="203"/>
      <c r="J80" s="204"/>
      <c r="K80" s="204"/>
      <c r="L80" s="204"/>
      <c r="M80" s="204"/>
      <c r="N80" s="215"/>
      <c r="O80" s="206"/>
      <c r="P80" s="206"/>
    </row>
    <row r="81" spans="1:16">
      <c r="A81" s="202"/>
      <c r="B81" s="220"/>
      <c r="C81" s="220"/>
      <c r="D81" s="220"/>
      <c r="E81" s="220"/>
      <c r="F81" s="220"/>
      <c r="G81" s="220"/>
      <c r="H81" s="220"/>
      <c r="I81" s="203"/>
      <c r="J81" s="204"/>
      <c r="K81" s="204"/>
      <c r="L81" s="204"/>
      <c r="M81" s="204"/>
      <c r="N81" s="215"/>
      <c r="O81" s="206"/>
      <c r="P81" s="206"/>
    </row>
    <row r="82" spans="1:16">
      <c r="A82" s="202"/>
      <c r="B82" s="220"/>
      <c r="C82" s="220"/>
      <c r="D82" s="220"/>
      <c r="E82" s="220"/>
      <c r="F82" s="220"/>
      <c r="G82" s="220"/>
      <c r="H82" s="220"/>
      <c r="I82" s="203"/>
      <c r="J82" s="204"/>
      <c r="K82" s="204"/>
      <c r="L82" s="204"/>
      <c r="M82" s="204"/>
      <c r="N82" s="215"/>
      <c r="O82" s="206"/>
      <c r="P82" s="206"/>
    </row>
    <row r="83" spans="1:16">
      <c r="A83" s="202"/>
      <c r="B83" s="220"/>
      <c r="C83" s="220"/>
      <c r="D83" s="220"/>
      <c r="E83" s="220"/>
      <c r="F83" s="220"/>
      <c r="G83" s="220"/>
      <c r="H83" s="220"/>
      <c r="I83" s="203"/>
      <c r="J83" s="204"/>
      <c r="K83" s="204"/>
      <c r="L83" s="204"/>
      <c r="M83" s="204"/>
      <c r="N83" s="215"/>
      <c r="O83" s="206"/>
      <c r="P83" s="206"/>
    </row>
    <row r="84" spans="1:16">
      <c r="A84" s="220"/>
      <c r="B84" s="149"/>
      <c r="C84" s="149"/>
      <c r="D84" s="149"/>
      <c r="E84" s="149"/>
      <c r="F84" s="149"/>
      <c r="G84" s="220"/>
      <c r="H84" s="220"/>
      <c r="I84" s="220"/>
      <c r="J84" s="221"/>
      <c r="K84" s="221"/>
      <c r="L84" s="221"/>
      <c r="M84" s="221"/>
      <c r="N84" s="222"/>
      <c r="O84" s="206"/>
      <c r="P84" s="206"/>
    </row>
    <row r="85" spans="1:16">
      <c r="A85" s="220"/>
      <c r="B85" s="234"/>
      <c r="C85" s="220"/>
      <c r="D85" s="220"/>
      <c r="E85" s="149"/>
      <c r="F85" s="220"/>
      <c r="G85" s="220"/>
      <c r="H85" s="220"/>
      <c r="I85" s="220"/>
      <c r="J85" s="204"/>
      <c r="K85" s="204"/>
      <c r="L85" s="204"/>
      <c r="M85" s="204"/>
      <c r="N85" s="208"/>
      <c r="O85" s="206"/>
      <c r="P85" s="206"/>
    </row>
    <row r="86" spans="1:16">
      <c r="A86" s="235"/>
      <c r="B86" s="228"/>
      <c r="C86" s="236"/>
      <c r="D86" s="236"/>
      <c r="E86" s="236"/>
      <c r="F86" s="237"/>
      <c r="G86" s="238"/>
      <c r="H86" s="238"/>
      <c r="I86" s="220"/>
      <c r="J86" s="221"/>
      <c r="K86" s="221"/>
      <c r="L86" s="221"/>
      <c r="M86" s="221"/>
      <c r="N86" s="208"/>
      <c r="O86" s="206"/>
      <c r="P86" s="206"/>
    </row>
    <row r="87" spans="1:16">
      <c r="A87" s="235"/>
      <c r="B87" s="228"/>
      <c r="C87" s="236"/>
      <c r="D87" s="236"/>
      <c r="E87" s="236"/>
      <c r="F87" s="237"/>
      <c r="G87" s="238"/>
      <c r="H87" s="238"/>
      <c r="I87" s="220"/>
      <c r="J87" s="204"/>
      <c r="K87" s="204"/>
      <c r="L87" s="204"/>
      <c r="M87" s="204"/>
      <c r="N87" s="208"/>
      <c r="O87" s="206"/>
      <c r="P87" s="206"/>
    </row>
    <row r="88" spans="1:16">
      <c r="A88" s="239"/>
      <c r="B88" s="240"/>
      <c r="C88" s="240"/>
      <c r="D88" s="240"/>
      <c r="E88" s="240"/>
      <c r="F88" s="240"/>
      <c r="G88" s="240"/>
      <c r="H88" s="240"/>
      <c r="I88" s="240"/>
      <c r="J88" s="240"/>
      <c r="K88" s="240"/>
      <c r="L88" s="240"/>
      <c r="M88" s="231"/>
      <c r="N88" s="240"/>
      <c r="O88" s="206"/>
      <c r="P88" s="206"/>
    </row>
    <row r="89" spans="1:16">
      <c r="A89" s="202"/>
      <c r="B89" s="202"/>
      <c r="C89" s="202"/>
      <c r="D89" s="202"/>
      <c r="E89" s="202"/>
      <c r="F89" s="202"/>
      <c r="G89" s="202"/>
      <c r="H89" s="202"/>
      <c r="I89" s="240"/>
      <c r="J89" s="231"/>
      <c r="K89" s="231"/>
      <c r="L89" s="231"/>
      <c r="M89" s="231"/>
      <c r="N89" s="240"/>
      <c r="O89" s="206"/>
      <c r="P89" s="206"/>
    </row>
    <row r="90" spans="1:16">
      <c r="A90" s="202"/>
      <c r="B90" s="202"/>
      <c r="C90" s="202"/>
      <c r="D90" s="202"/>
      <c r="E90" s="202"/>
      <c r="F90" s="202"/>
      <c r="G90" s="202"/>
      <c r="H90" s="202"/>
      <c r="I90" s="203"/>
      <c r="J90" s="221"/>
      <c r="K90" s="221"/>
      <c r="L90" s="221"/>
      <c r="M90" s="221"/>
      <c r="N90" s="205"/>
      <c r="O90" s="206"/>
      <c r="P90" s="206"/>
    </row>
    <row r="91" spans="1:16">
      <c r="A91" s="202"/>
      <c r="B91" s="202"/>
      <c r="C91" s="202"/>
      <c r="D91" s="202"/>
      <c r="E91" s="202"/>
      <c r="F91" s="202"/>
      <c r="G91" s="202"/>
      <c r="H91" s="202"/>
      <c r="I91" s="203"/>
      <c r="J91" s="221"/>
      <c r="K91" s="221"/>
      <c r="L91" s="221"/>
      <c r="M91" s="221"/>
      <c r="N91" s="205"/>
      <c r="O91" s="206"/>
      <c r="P91" s="206"/>
    </row>
    <row r="92" spans="1:16">
      <c r="A92" s="202"/>
      <c r="B92" s="202"/>
      <c r="C92" s="202"/>
      <c r="D92" s="202"/>
      <c r="E92" s="202"/>
      <c r="F92" s="202"/>
      <c r="G92" s="202"/>
      <c r="H92" s="202"/>
      <c r="I92" s="203"/>
      <c r="J92" s="221"/>
      <c r="K92" s="221"/>
      <c r="L92" s="221"/>
      <c r="M92" s="221"/>
      <c r="N92" s="205"/>
      <c r="O92" s="206"/>
      <c r="P92" s="206"/>
    </row>
    <row r="93" spans="1:16">
      <c r="A93" s="202"/>
      <c r="B93" s="202"/>
      <c r="C93" s="202"/>
      <c r="D93" s="202"/>
      <c r="E93" s="202"/>
      <c r="F93" s="202"/>
      <c r="G93" s="202"/>
      <c r="H93" s="202"/>
      <c r="I93" s="203"/>
      <c r="J93" s="221"/>
      <c r="K93" s="221"/>
      <c r="L93" s="221"/>
      <c r="M93" s="221"/>
      <c r="N93" s="205"/>
      <c r="O93" s="206"/>
      <c r="P93" s="206"/>
    </row>
    <row r="94" spans="1:16">
      <c r="A94" s="205"/>
      <c r="B94" s="205"/>
      <c r="C94" s="205"/>
      <c r="D94" s="205"/>
      <c r="E94" s="205"/>
      <c r="F94" s="205"/>
      <c r="G94" s="205"/>
      <c r="H94" s="205"/>
      <c r="I94" s="215"/>
      <c r="J94" s="231"/>
      <c r="K94" s="231"/>
      <c r="L94" s="231"/>
      <c r="M94" s="231"/>
      <c r="N94" s="215"/>
      <c r="O94" s="206"/>
      <c r="P94" s="206"/>
    </row>
    <row r="95" spans="1:16">
      <c r="A95" s="202"/>
      <c r="B95" s="202"/>
      <c r="C95" s="202"/>
      <c r="D95" s="202"/>
      <c r="E95" s="202"/>
      <c r="F95" s="202"/>
      <c r="G95" s="202"/>
      <c r="H95" s="202"/>
      <c r="I95" s="203"/>
      <c r="J95" s="204"/>
      <c r="K95" s="204"/>
      <c r="L95" s="204"/>
      <c r="M95" s="204"/>
      <c r="N95" s="205"/>
      <c r="O95" s="206"/>
      <c r="P95" s="206"/>
    </row>
    <row r="96" spans="1:16">
      <c r="A96" s="202"/>
      <c r="B96" s="202"/>
      <c r="C96" s="202"/>
      <c r="D96" s="202"/>
      <c r="E96" s="202"/>
      <c r="F96" s="202"/>
      <c r="G96" s="202"/>
      <c r="H96" s="202"/>
      <c r="I96" s="203"/>
      <c r="J96" s="204"/>
      <c r="K96" s="204"/>
      <c r="L96" s="204"/>
      <c r="M96" s="204"/>
      <c r="N96" s="205"/>
      <c r="O96" s="206"/>
      <c r="P96" s="206"/>
    </row>
    <row r="97" spans="1:16">
      <c r="A97" s="202"/>
      <c r="B97" s="202"/>
      <c r="C97" s="202"/>
      <c r="D97" s="202"/>
      <c r="E97" s="202"/>
      <c r="F97" s="202"/>
      <c r="G97" s="202"/>
      <c r="H97" s="202"/>
      <c r="I97" s="203"/>
      <c r="J97" s="204"/>
      <c r="K97" s="204"/>
      <c r="L97" s="204"/>
      <c r="M97" s="204"/>
      <c r="N97" s="205"/>
      <c r="O97" s="206"/>
      <c r="P97" s="206"/>
    </row>
    <row r="98" spans="1:16">
      <c r="A98" s="202"/>
      <c r="B98" s="202"/>
      <c r="C98" s="202"/>
      <c r="D98" s="202"/>
      <c r="E98" s="202"/>
      <c r="F98" s="202"/>
      <c r="G98" s="202"/>
      <c r="H98" s="202"/>
      <c r="I98" s="203"/>
      <c r="J98" s="204"/>
      <c r="K98" s="204"/>
      <c r="L98" s="204"/>
      <c r="M98" s="204"/>
      <c r="N98" s="205"/>
      <c r="O98" s="206"/>
      <c r="P98" s="206"/>
    </row>
    <row r="99" spans="1:16">
      <c r="A99" s="202"/>
      <c r="B99" s="205"/>
      <c r="C99" s="230"/>
      <c r="D99" s="230"/>
      <c r="E99" s="230"/>
      <c r="F99" s="230"/>
      <c r="G99" s="230"/>
      <c r="H99" s="230"/>
      <c r="I99" s="215"/>
      <c r="J99" s="231"/>
      <c r="K99" s="231"/>
      <c r="L99" s="231"/>
      <c r="M99" s="231"/>
      <c r="N99" s="215"/>
      <c r="O99" s="206"/>
      <c r="P99" s="206"/>
    </row>
    <row r="100" spans="1:16">
      <c r="A100" s="202"/>
      <c r="B100" s="220"/>
      <c r="C100" s="220"/>
      <c r="D100" s="220"/>
      <c r="E100" s="220"/>
      <c r="F100" s="220"/>
      <c r="G100" s="220"/>
      <c r="H100" s="220"/>
      <c r="I100" s="203"/>
      <c r="J100" s="204"/>
      <c r="K100" s="204"/>
      <c r="L100" s="204"/>
      <c r="M100" s="204"/>
      <c r="N100" s="215"/>
      <c r="O100" s="206"/>
      <c r="P100" s="206"/>
    </row>
    <row r="101" spans="1:16">
      <c r="A101" s="202"/>
      <c r="B101" s="220"/>
      <c r="C101" s="220"/>
      <c r="D101" s="220"/>
      <c r="E101" s="220"/>
      <c r="F101" s="220"/>
      <c r="G101" s="220"/>
      <c r="H101" s="220"/>
      <c r="I101" s="203"/>
      <c r="J101" s="204"/>
      <c r="K101" s="204"/>
      <c r="L101" s="204"/>
      <c r="M101" s="204"/>
      <c r="N101" s="215"/>
      <c r="O101" s="206"/>
      <c r="P101" s="206"/>
    </row>
    <row r="102" spans="1:16">
      <c r="A102" s="202"/>
      <c r="B102" s="220"/>
      <c r="C102" s="220"/>
      <c r="D102" s="220"/>
      <c r="E102" s="220"/>
      <c r="F102" s="220"/>
      <c r="G102" s="220"/>
      <c r="H102" s="220"/>
      <c r="I102" s="203"/>
      <c r="J102" s="204"/>
      <c r="K102" s="204"/>
      <c r="L102" s="204"/>
      <c r="M102" s="204"/>
      <c r="N102" s="215"/>
      <c r="O102" s="206"/>
      <c r="P102" s="206"/>
    </row>
    <row r="103" spans="1:16">
      <c r="A103" s="202"/>
      <c r="B103" s="220"/>
      <c r="C103" s="220"/>
      <c r="D103" s="220"/>
      <c r="E103" s="220"/>
      <c r="F103" s="220"/>
      <c r="G103" s="220"/>
      <c r="H103" s="220"/>
      <c r="I103" s="203"/>
      <c r="J103" s="204"/>
      <c r="K103" s="204"/>
      <c r="L103" s="204"/>
      <c r="M103" s="204"/>
      <c r="N103" s="215"/>
      <c r="O103" s="206"/>
      <c r="P103" s="206"/>
    </row>
    <row r="104" spans="1:16">
      <c r="A104" s="241"/>
      <c r="B104" s="149"/>
      <c r="C104" s="149"/>
      <c r="D104" s="149"/>
      <c r="E104" s="149"/>
      <c r="F104" s="149"/>
      <c r="G104" s="149"/>
      <c r="H104" s="149"/>
      <c r="I104" s="220"/>
      <c r="J104" s="221"/>
      <c r="K104" s="221"/>
      <c r="L104" s="221"/>
      <c r="M104" s="221"/>
      <c r="N104" s="229"/>
      <c r="O104" s="206"/>
      <c r="P104" s="206"/>
    </row>
    <row r="105" spans="1:16">
      <c r="A105" s="241"/>
      <c r="B105" s="234"/>
      <c r="C105" s="220"/>
      <c r="D105" s="220"/>
      <c r="E105" s="149"/>
      <c r="F105" s="220"/>
      <c r="G105" s="149"/>
      <c r="H105" s="149"/>
      <c r="I105" s="220"/>
      <c r="J105" s="204"/>
      <c r="K105" s="204"/>
      <c r="L105" s="242"/>
      <c r="M105" s="242"/>
      <c r="N105" s="208"/>
      <c r="O105" s="206"/>
      <c r="P105" s="206"/>
    </row>
    <row r="106" spans="1:16">
      <c r="A106" s="243"/>
      <c r="B106" s="228"/>
      <c r="C106" s="149"/>
      <c r="D106" s="228"/>
      <c r="E106" s="149"/>
      <c r="F106" s="148"/>
      <c r="G106" s="148"/>
      <c r="H106" s="148"/>
      <c r="I106" s="203"/>
      <c r="J106" s="221"/>
      <c r="K106" s="221"/>
      <c r="L106" s="221"/>
      <c r="M106" s="221"/>
      <c r="N106" s="229"/>
      <c r="O106" s="206"/>
      <c r="P106" s="206"/>
    </row>
    <row r="107" spans="1:16">
      <c r="A107" s="243"/>
      <c r="B107" s="228"/>
      <c r="C107" s="149"/>
      <c r="D107" s="228"/>
      <c r="E107" s="149"/>
      <c r="F107" s="208"/>
      <c r="G107" s="148"/>
      <c r="H107" s="148"/>
      <c r="I107" s="203"/>
      <c r="J107" s="221"/>
      <c r="K107" s="204"/>
      <c r="L107" s="204"/>
      <c r="M107" s="204"/>
      <c r="N107" s="208"/>
      <c r="O107" s="206"/>
      <c r="P107" s="206"/>
    </row>
    <row r="108" spans="1:16">
      <c r="A108" s="243"/>
      <c r="B108" s="228"/>
      <c r="C108" s="149"/>
      <c r="D108" s="228"/>
      <c r="E108" s="149"/>
      <c r="F108" s="208"/>
      <c r="G108" s="148"/>
      <c r="H108" s="148"/>
      <c r="I108" s="203"/>
      <c r="J108" s="221"/>
      <c r="K108" s="204"/>
      <c r="L108" s="204"/>
      <c r="M108" s="204"/>
      <c r="N108" s="208"/>
      <c r="O108" s="206"/>
      <c r="P108" s="206"/>
    </row>
    <row r="109" spans="1:16">
      <c r="A109" s="243"/>
      <c r="B109" s="228"/>
      <c r="C109" s="149"/>
      <c r="D109" s="228"/>
      <c r="E109" s="149"/>
      <c r="F109" s="208"/>
      <c r="G109" s="148"/>
      <c r="H109" s="148"/>
      <c r="I109" s="203"/>
      <c r="J109" s="221"/>
      <c r="K109" s="204"/>
      <c r="L109" s="204"/>
      <c r="M109" s="204"/>
      <c r="N109" s="204"/>
      <c r="O109" s="206"/>
      <c r="P109" s="206"/>
    </row>
    <row r="110" spans="1:16">
      <c r="A110" s="220"/>
      <c r="B110" s="149"/>
      <c r="C110" s="149"/>
      <c r="D110" s="149"/>
      <c r="E110" s="149"/>
      <c r="F110" s="149"/>
      <c r="G110" s="149"/>
      <c r="H110" s="149"/>
      <c r="I110" s="203"/>
      <c r="J110" s="221"/>
      <c r="K110" s="221"/>
      <c r="L110" s="221"/>
      <c r="M110" s="221"/>
      <c r="N110" s="229"/>
      <c r="O110" s="206"/>
      <c r="P110" s="206"/>
    </row>
    <row r="111" spans="1:16">
      <c r="A111" s="220"/>
      <c r="B111" s="234"/>
      <c r="C111" s="149"/>
      <c r="D111" s="149"/>
      <c r="E111" s="149"/>
      <c r="F111" s="220"/>
      <c r="G111" s="149"/>
      <c r="H111" s="149"/>
      <c r="I111" s="203"/>
      <c r="J111" s="204"/>
      <c r="K111" s="204"/>
      <c r="L111" s="204"/>
      <c r="M111" s="204"/>
      <c r="N111" s="208"/>
      <c r="O111" s="206"/>
      <c r="P111" s="206"/>
    </row>
    <row r="112" spans="1:16">
      <c r="A112" s="220"/>
      <c r="B112" s="234"/>
      <c r="C112" s="149"/>
      <c r="D112" s="149"/>
      <c r="E112" s="149"/>
      <c r="F112" s="220"/>
      <c r="G112" s="149"/>
      <c r="H112" s="149"/>
      <c r="I112" s="203"/>
      <c r="J112" s="204"/>
      <c r="K112" s="204"/>
      <c r="L112" s="204"/>
      <c r="M112" s="204"/>
      <c r="N112" s="208"/>
      <c r="O112" s="206"/>
      <c r="P112" s="206"/>
    </row>
    <row r="113" spans="1:16">
      <c r="A113" s="220"/>
      <c r="B113" s="234"/>
      <c r="C113" s="149"/>
      <c r="D113" s="149"/>
      <c r="E113" s="149"/>
      <c r="F113" s="220"/>
      <c r="G113" s="149"/>
      <c r="H113" s="149"/>
      <c r="I113" s="203"/>
      <c r="J113" s="204"/>
      <c r="K113" s="204"/>
      <c r="L113" s="204"/>
      <c r="M113" s="204"/>
      <c r="N113" s="205"/>
      <c r="O113" s="206"/>
      <c r="P113" s="206"/>
    </row>
    <row r="114" spans="1:16">
      <c r="A114" s="202"/>
      <c r="B114" s="205"/>
      <c r="C114" s="230"/>
      <c r="D114" s="230"/>
      <c r="E114" s="230"/>
      <c r="F114" s="230"/>
      <c r="G114" s="230"/>
      <c r="H114" s="230"/>
      <c r="I114" s="203"/>
      <c r="J114" s="204"/>
      <c r="K114" s="204"/>
      <c r="L114" s="204"/>
      <c r="M114" s="204"/>
      <c r="N114" s="205"/>
      <c r="O114" s="206"/>
      <c r="P114" s="206"/>
    </row>
    <row r="115" spans="1:16">
      <c r="A115" s="202"/>
      <c r="B115" s="202"/>
      <c r="C115" s="202"/>
      <c r="D115" s="202"/>
      <c r="E115" s="202"/>
      <c r="F115" s="202"/>
      <c r="G115" s="202"/>
      <c r="H115" s="202"/>
      <c r="I115" s="203"/>
      <c r="J115" s="204"/>
      <c r="K115" s="204"/>
      <c r="L115" s="204"/>
      <c r="M115" s="204"/>
      <c r="N115" s="205"/>
      <c r="O115" s="206"/>
      <c r="P115" s="206"/>
    </row>
    <row r="116" spans="1:16">
      <c r="A116" s="202"/>
      <c r="B116" s="202"/>
      <c r="C116" s="202"/>
      <c r="D116" s="202"/>
      <c r="E116" s="202"/>
      <c r="F116" s="202"/>
      <c r="G116" s="202"/>
      <c r="H116" s="202"/>
      <c r="I116" s="203"/>
      <c r="J116" s="204"/>
      <c r="K116" s="204"/>
      <c r="L116" s="204"/>
      <c r="M116" s="204"/>
      <c r="N116" s="205"/>
      <c r="O116" s="206"/>
      <c r="P116" s="206"/>
    </row>
    <row r="117" spans="1:16">
      <c r="A117" s="202"/>
      <c r="B117" s="202"/>
      <c r="C117" s="202"/>
      <c r="D117" s="202"/>
      <c r="E117" s="202"/>
      <c r="F117" s="202"/>
      <c r="G117" s="202"/>
      <c r="H117" s="202"/>
      <c r="I117" s="203"/>
      <c r="J117" s="204"/>
      <c r="K117" s="204"/>
      <c r="L117" s="204"/>
      <c r="M117" s="204"/>
      <c r="N117" s="205"/>
      <c r="O117" s="206"/>
      <c r="P117" s="206"/>
    </row>
    <row r="118" spans="1:16">
      <c r="A118" s="202"/>
      <c r="B118" s="202"/>
      <c r="C118" s="202"/>
      <c r="D118" s="202"/>
      <c r="E118" s="202"/>
      <c r="F118" s="202"/>
      <c r="G118" s="202"/>
      <c r="H118" s="202"/>
      <c r="I118" s="203"/>
      <c r="J118" s="204"/>
      <c r="K118" s="204"/>
      <c r="L118" s="204"/>
      <c r="M118" s="204"/>
      <c r="N118" s="205"/>
      <c r="O118" s="206"/>
      <c r="P118" s="206"/>
    </row>
    <row r="119" spans="1:16">
      <c r="A119" s="202"/>
      <c r="B119" s="205"/>
      <c r="C119" s="230"/>
      <c r="D119" s="230"/>
      <c r="E119" s="230"/>
      <c r="F119" s="230"/>
      <c r="G119" s="230"/>
      <c r="H119" s="230"/>
      <c r="I119" s="215"/>
      <c r="J119" s="231"/>
      <c r="K119" s="231"/>
      <c r="L119" s="231"/>
      <c r="M119" s="231"/>
      <c r="N119" s="215"/>
      <c r="O119" s="206"/>
      <c r="P119" s="206"/>
    </row>
    <row r="120" spans="1:16">
      <c r="A120" s="202"/>
      <c r="B120" s="220"/>
      <c r="C120" s="220"/>
      <c r="D120" s="220"/>
      <c r="E120" s="220"/>
      <c r="F120" s="220"/>
      <c r="G120" s="220"/>
      <c r="H120" s="220"/>
      <c r="I120" s="203"/>
      <c r="J120" s="204"/>
      <c r="K120" s="204"/>
      <c r="L120" s="204"/>
      <c r="M120" s="204"/>
      <c r="N120" s="215"/>
      <c r="O120" s="206"/>
      <c r="P120" s="206"/>
    </row>
    <row r="121" spans="1:16">
      <c r="A121" s="202"/>
      <c r="B121" s="220"/>
      <c r="C121" s="220"/>
      <c r="D121" s="220"/>
      <c r="E121" s="220"/>
      <c r="F121" s="220"/>
      <c r="G121" s="220"/>
      <c r="H121" s="220"/>
      <c r="I121" s="203"/>
      <c r="J121" s="204"/>
      <c r="K121" s="204"/>
      <c r="L121" s="204"/>
      <c r="M121" s="204"/>
      <c r="N121" s="215"/>
      <c r="O121" s="206"/>
      <c r="P121" s="206"/>
    </row>
    <row r="122" spans="1:16">
      <c r="A122" s="202"/>
      <c r="B122" s="220"/>
      <c r="C122" s="220"/>
      <c r="D122" s="220"/>
      <c r="E122" s="220"/>
      <c r="F122" s="220"/>
      <c r="G122" s="220"/>
      <c r="H122" s="220"/>
      <c r="I122" s="203"/>
      <c r="J122" s="204"/>
      <c r="K122" s="204"/>
      <c r="L122" s="204"/>
      <c r="M122" s="204"/>
      <c r="N122" s="215"/>
      <c r="O122" s="206"/>
      <c r="P122" s="206"/>
    </row>
    <row r="123" spans="1:16">
      <c r="A123" s="202"/>
      <c r="B123" s="220"/>
      <c r="C123" s="220"/>
      <c r="D123" s="220"/>
      <c r="E123" s="220"/>
      <c r="F123" s="220"/>
      <c r="G123" s="220"/>
      <c r="H123" s="220"/>
      <c r="I123" s="203"/>
      <c r="J123" s="204"/>
      <c r="K123" s="204"/>
      <c r="L123" s="204"/>
      <c r="M123" s="204"/>
      <c r="N123" s="215"/>
      <c r="O123" s="206"/>
      <c r="P123" s="206"/>
    </row>
    <row r="124" spans="1:16">
      <c r="A124" s="220"/>
      <c r="B124" s="149"/>
      <c r="C124" s="149"/>
      <c r="D124" s="149"/>
      <c r="E124" s="149"/>
      <c r="F124" s="149"/>
      <c r="G124" s="219"/>
      <c r="H124" s="219"/>
      <c r="I124" s="220"/>
      <c r="J124" s="221"/>
      <c r="K124" s="221"/>
      <c r="L124" s="221"/>
      <c r="M124" s="221"/>
      <c r="N124" s="222"/>
      <c r="O124" s="206"/>
      <c r="P124" s="206"/>
    </row>
    <row r="125" spans="1:16">
      <c r="A125" s="244"/>
      <c r="B125" s="245"/>
      <c r="C125" s="246"/>
      <c r="D125" s="246"/>
      <c r="E125" s="247"/>
      <c r="F125" s="248"/>
      <c r="G125" s="227"/>
      <c r="H125" s="227"/>
      <c r="I125" s="246"/>
      <c r="J125" s="249"/>
      <c r="K125" s="249"/>
      <c r="L125" s="249"/>
      <c r="M125" s="249"/>
      <c r="N125" s="250"/>
      <c r="O125" s="151"/>
      <c r="P125" s="151"/>
    </row>
    <row r="126" spans="1:16">
      <c r="A126" s="244"/>
      <c r="B126" s="149"/>
      <c r="C126" s="247"/>
      <c r="D126" s="247"/>
      <c r="E126" s="247"/>
      <c r="F126" s="118"/>
      <c r="G126" s="246"/>
      <c r="H126" s="246"/>
      <c r="I126" s="251"/>
      <c r="J126" s="252"/>
      <c r="K126" s="252"/>
      <c r="L126" s="252"/>
      <c r="M126" s="252"/>
      <c r="N126" s="253"/>
      <c r="O126" s="151"/>
      <c r="P126" s="151"/>
    </row>
    <row r="127" spans="1:16">
      <c r="A127" s="244"/>
      <c r="B127" s="149"/>
      <c r="C127" s="247"/>
      <c r="D127" s="247"/>
      <c r="E127" s="247"/>
      <c r="F127" s="118"/>
      <c r="G127" s="246"/>
      <c r="H127" s="246"/>
      <c r="I127" s="251"/>
      <c r="J127" s="249"/>
      <c r="K127" s="249"/>
      <c r="L127" s="249"/>
      <c r="M127" s="249"/>
      <c r="N127" s="254"/>
      <c r="O127" s="151"/>
      <c r="P127" s="151"/>
    </row>
    <row r="128" spans="1:16">
      <c r="A128" s="244"/>
      <c r="B128" s="149"/>
      <c r="C128" s="247"/>
      <c r="D128" s="247"/>
      <c r="E128" s="247"/>
      <c r="F128" s="118"/>
      <c r="G128" s="246"/>
      <c r="H128" s="246"/>
      <c r="I128" s="251"/>
      <c r="J128" s="249"/>
      <c r="K128" s="249"/>
      <c r="L128" s="249"/>
      <c r="M128" s="249"/>
      <c r="N128" s="254"/>
      <c r="O128" s="151"/>
      <c r="P128" s="151"/>
    </row>
    <row r="129" spans="1:16">
      <c r="A129" s="244"/>
      <c r="B129" s="149"/>
      <c r="C129" s="247"/>
      <c r="D129" s="247"/>
      <c r="E129" s="247"/>
      <c r="F129" s="118"/>
      <c r="G129" s="246"/>
      <c r="H129" s="246"/>
      <c r="I129" s="251"/>
      <c r="J129" s="249"/>
      <c r="K129" s="249"/>
      <c r="L129" s="249"/>
      <c r="M129" s="249"/>
      <c r="N129" s="254"/>
      <c r="O129" s="151"/>
      <c r="P129" s="151"/>
    </row>
  </sheetData>
  <mergeCells count="12">
    <mergeCell ref="I9:J9"/>
    <mergeCell ref="K9:L9"/>
    <mergeCell ref="A1:M1"/>
    <mergeCell ref="A2:M2"/>
    <mergeCell ref="A7:B7"/>
    <mergeCell ref="A8:A10"/>
    <mergeCell ref="B8:B10"/>
    <mergeCell ref="C8:L8"/>
    <mergeCell ref="M8:M10"/>
    <mergeCell ref="C9:D9"/>
    <mergeCell ref="E9:F9"/>
    <mergeCell ref="G9:H9"/>
  </mergeCells>
  <pageMargins left="0.70866141732283472" right="0.51181102362204722" top="0.74803149606299213" bottom="0.39370078740157483" header="0.31496062992125984" footer="0.31496062992125984"/>
  <pageSetup paperSize="9" fitToHeight="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254"/>
  <sheetViews>
    <sheetView topLeftCell="A7" zoomScale="160" zoomScaleNormal="160" zoomScaleSheetLayoutView="110" workbookViewId="0">
      <pane xSplit="23" ySplit="5" topLeftCell="AP15" activePane="bottomRight" state="frozen"/>
      <selection activeCell="A7" sqref="A7"/>
      <selection pane="topRight" activeCell="X7" sqref="X7"/>
      <selection pane="bottomLeft" activeCell="A12" sqref="A12"/>
      <selection pane="bottomRight" activeCell="Q26" sqref="Q26"/>
    </sheetView>
  </sheetViews>
  <sheetFormatPr defaultRowHeight="15.75"/>
  <cols>
    <col min="1" max="1" width="7.140625" style="12" customWidth="1"/>
    <col min="2" max="2" width="42.7109375" style="12" customWidth="1"/>
    <col min="3" max="3" width="10" style="12" hidden="1" customWidth="1"/>
    <col min="4" max="4" width="12" style="12" hidden="1" customWidth="1"/>
    <col min="5" max="5" width="9.42578125" style="12" hidden="1" customWidth="1"/>
    <col min="6" max="6" width="11" style="12" hidden="1" customWidth="1"/>
    <col min="7" max="7" width="10.28515625" style="12" hidden="1" customWidth="1"/>
    <col min="8" max="8" width="10.5703125" style="12" hidden="1" customWidth="1"/>
    <col min="9" max="9" width="13.140625" style="12" customWidth="1"/>
    <col min="10" max="10" width="16.140625" style="12" hidden="1" customWidth="1"/>
    <col min="11" max="11" width="13.140625" style="12" hidden="1" customWidth="1"/>
    <col min="12" max="12" width="13.28515625" style="12" customWidth="1"/>
    <col min="13" max="13" width="12.140625" style="12" hidden="1" customWidth="1"/>
    <col min="14" max="14" width="11.7109375" style="12" hidden="1" customWidth="1"/>
    <col min="15" max="15" width="14.42578125" style="12" hidden="1" customWidth="1"/>
    <col min="16" max="16" width="11.28515625" style="12" customWidth="1"/>
    <col min="17" max="17" width="11.5703125" style="12" bestFit="1" customWidth="1"/>
    <col min="18" max="18" width="11.7109375" style="12" hidden="1" customWidth="1"/>
    <col min="19" max="19" width="11.28515625" style="12" hidden="1" customWidth="1"/>
    <col min="20" max="20" width="10.5703125" style="12" hidden="1" customWidth="1"/>
    <col min="21" max="21" width="12.42578125" style="12" hidden="1" customWidth="1"/>
    <col min="22" max="22" width="11.42578125" style="12" hidden="1" customWidth="1"/>
    <col min="23" max="23" width="10.42578125" style="12" hidden="1" customWidth="1"/>
    <col min="24" max="24" width="12.140625" style="100" hidden="1" customWidth="1"/>
    <col min="25" max="25" width="11.140625" style="100" hidden="1" customWidth="1"/>
    <col min="26" max="26" width="11.5703125" style="12" hidden="1" customWidth="1"/>
    <col min="27" max="28" width="11" style="12" hidden="1" customWidth="1"/>
    <col min="29" max="29" width="9.42578125" style="12" hidden="1" customWidth="1"/>
    <col min="30" max="31" width="11" style="12" hidden="1" customWidth="1"/>
    <col min="32" max="32" width="8" style="12" hidden="1" customWidth="1"/>
    <col min="33" max="33" width="10" style="12" hidden="1" customWidth="1"/>
    <col min="34" max="34" width="11.28515625" style="12" hidden="1" customWidth="1"/>
    <col min="35" max="35" width="10" style="12" hidden="1" customWidth="1"/>
    <col min="36" max="36" width="11.5703125" style="12" hidden="1" customWidth="1"/>
    <col min="37" max="37" width="12" style="12" hidden="1" customWidth="1"/>
    <col min="38" max="38" width="7" style="12" hidden="1" customWidth="1"/>
    <col min="39" max="40" width="9.28515625" style="12" hidden="1" customWidth="1"/>
    <col min="41" max="41" width="20.28515625" style="422" hidden="1" customWidth="1"/>
    <col min="42" max="42" width="64.140625" style="651" customWidth="1"/>
    <col min="43" max="16384" width="9.140625" style="12"/>
  </cols>
  <sheetData>
    <row r="1" spans="1:42" s="26" customFormat="1" ht="45" customHeight="1">
      <c r="A1" s="993" t="s">
        <v>317</v>
      </c>
      <c r="B1" s="993"/>
      <c r="C1" s="993"/>
      <c r="D1" s="993"/>
      <c r="E1" s="993"/>
      <c r="F1" s="993"/>
      <c r="G1" s="993"/>
      <c r="H1" s="993"/>
      <c r="I1" s="993"/>
      <c r="J1" s="993"/>
      <c r="K1" s="993"/>
      <c r="L1" s="993"/>
      <c r="M1" s="993"/>
      <c r="N1" s="993"/>
      <c r="O1" s="993"/>
      <c r="P1" s="993"/>
      <c r="Q1" s="994"/>
      <c r="R1" s="994"/>
      <c r="S1" s="994"/>
      <c r="T1" s="994"/>
      <c r="U1" s="994"/>
      <c r="V1" s="994"/>
      <c r="W1" s="994"/>
      <c r="X1" s="994"/>
      <c r="Y1" s="994"/>
      <c r="Z1" s="994"/>
      <c r="AA1" s="994"/>
      <c r="AB1" s="994"/>
      <c r="AC1" s="994"/>
      <c r="AD1" s="994"/>
      <c r="AE1" s="994"/>
      <c r="AF1" s="994"/>
      <c r="AG1" s="994"/>
      <c r="AH1" s="994"/>
      <c r="AI1" s="994"/>
      <c r="AJ1" s="994"/>
      <c r="AK1" s="994"/>
      <c r="AL1" s="994"/>
      <c r="AM1" s="994"/>
      <c r="AN1" s="994"/>
      <c r="AO1" s="994"/>
      <c r="AP1" s="645"/>
    </row>
    <row r="2" spans="1:42" s="26" customFormat="1" ht="20.25">
      <c r="A2" s="327"/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X2" s="167"/>
      <c r="Y2" s="167"/>
      <c r="AJ2" s="554" t="s">
        <v>308</v>
      </c>
      <c r="AO2" s="392" t="s">
        <v>246</v>
      </c>
      <c r="AP2" s="645"/>
    </row>
    <row r="3" spans="1:42" s="26" customFormat="1" ht="16.5" hidden="1" customHeight="1">
      <c r="A3" s="327"/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X3" s="167"/>
      <c r="Y3" s="167"/>
      <c r="AJ3" s="554" t="s">
        <v>309</v>
      </c>
      <c r="AO3" s="392" t="s">
        <v>91</v>
      </c>
      <c r="AP3" s="645"/>
    </row>
    <row r="4" spans="1:42" s="26" customFormat="1" ht="20.25" hidden="1">
      <c r="A4" s="327"/>
      <c r="B4" s="552"/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  <c r="N4" s="552"/>
      <c r="O4" s="552"/>
      <c r="P4" s="552"/>
      <c r="X4" s="167"/>
      <c r="Y4" s="167"/>
      <c r="AJ4" s="553" t="s">
        <v>305</v>
      </c>
      <c r="AO4" s="392" t="s">
        <v>299</v>
      </c>
      <c r="AP4" s="645"/>
    </row>
    <row r="5" spans="1:42" s="26" customFormat="1" ht="20.25" hidden="1">
      <c r="A5" s="327"/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X5" s="167"/>
      <c r="Y5" s="167"/>
      <c r="AJ5" s="395" t="s">
        <v>92</v>
      </c>
      <c r="AO5" s="475" t="s">
        <v>92</v>
      </c>
      <c r="AP5" s="645"/>
    </row>
    <row r="6" spans="1:42" s="26" customFormat="1" ht="20.25" hidden="1">
      <c r="A6" s="327"/>
      <c r="B6" s="552"/>
      <c r="C6" s="552"/>
      <c r="D6" s="552"/>
      <c r="E6" s="552"/>
      <c r="F6" s="552"/>
      <c r="G6" s="552"/>
      <c r="H6" s="552"/>
      <c r="I6" s="552"/>
      <c r="J6" s="552"/>
      <c r="K6" s="552"/>
      <c r="L6" s="552"/>
      <c r="M6" s="552"/>
      <c r="N6" s="552"/>
      <c r="O6" s="552"/>
      <c r="P6" s="552"/>
      <c r="X6" s="167"/>
      <c r="Y6" s="167"/>
      <c r="AK6" s="92"/>
      <c r="AL6" s="92"/>
      <c r="AM6" s="92"/>
      <c r="AN6" s="92"/>
      <c r="AO6" s="399"/>
      <c r="AP6" s="645"/>
    </row>
    <row r="7" spans="1:42" ht="63.75" customHeight="1">
      <c r="A7" s="940" t="s">
        <v>3</v>
      </c>
      <c r="B7" s="940" t="s">
        <v>4</v>
      </c>
      <c r="C7" s="874" t="s">
        <v>6</v>
      </c>
      <c r="D7" s="874" t="s">
        <v>14</v>
      </c>
      <c r="E7" s="941" t="s">
        <v>5</v>
      </c>
      <c r="F7" s="942"/>
      <c r="G7" s="874" t="s">
        <v>1</v>
      </c>
      <c r="H7" s="874" t="s">
        <v>2</v>
      </c>
      <c r="I7" s="874" t="s">
        <v>0</v>
      </c>
      <c r="J7" s="874" t="s">
        <v>51</v>
      </c>
      <c r="K7" s="874" t="s">
        <v>52</v>
      </c>
      <c r="L7" s="867" t="s">
        <v>284</v>
      </c>
      <c r="M7" s="871" t="s">
        <v>8</v>
      </c>
      <c r="N7" s="872"/>
      <c r="O7" s="873"/>
      <c r="P7" s="797" t="s">
        <v>307</v>
      </c>
      <c r="Q7" s="846"/>
      <c r="R7" s="849" t="s">
        <v>67</v>
      </c>
      <c r="S7" s="850"/>
      <c r="T7" s="853" t="s">
        <v>68</v>
      </c>
      <c r="U7" s="854"/>
      <c r="V7" s="853" t="s">
        <v>69</v>
      </c>
      <c r="W7" s="854"/>
      <c r="X7" s="849" t="s">
        <v>70</v>
      </c>
      <c r="Y7" s="850"/>
      <c r="Z7" s="853" t="s">
        <v>71</v>
      </c>
      <c r="AA7" s="860"/>
      <c r="AB7" s="860"/>
      <c r="AC7" s="861"/>
      <c r="AD7" s="862"/>
      <c r="AE7" s="797" t="s">
        <v>72</v>
      </c>
      <c r="AF7" s="798"/>
      <c r="AG7" s="798"/>
      <c r="AH7" s="798"/>
      <c r="AI7" s="799"/>
      <c r="AJ7" s="857" t="s">
        <v>73</v>
      </c>
      <c r="AK7" s="1031" t="s">
        <v>74</v>
      </c>
      <c r="AL7" s="1032"/>
      <c r="AM7" s="1032"/>
      <c r="AN7" s="1033"/>
      <c r="AO7" s="797" t="s">
        <v>75</v>
      </c>
      <c r="AP7" s="1071" t="s">
        <v>318</v>
      </c>
    </row>
    <row r="8" spans="1:42" ht="15.75" customHeight="1">
      <c r="A8" s="940"/>
      <c r="B8" s="940"/>
      <c r="C8" s="875"/>
      <c r="D8" s="875"/>
      <c r="E8" s="943"/>
      <c r="F8" s="944"/>
      <c r="G8" s="875"/>
      <c r="H8" s="875"/>
      <c r="I8" s="875"/>
      <c r="J8" s="875"/>
      <c r="K8" s="875"/>
      <c r="L8" s="819"/>
      <c r="M8" s="533" t="s">
        <v>86</v>
      </c>
      <c r="N8" s="858" t="s">
        <v>262</v>
      </c>
      <c r="O8" s="869">
        <v>2021</v>
      </c>
      <c r="P8" s="847"/>
      <c r="Q8" s="848"/>
      <c r="R8" s="851"/>
      <c r="S8" s="852"/>
      <c r="T8" s="855"/>
      <c r="U8" s="856"/>
      <c r="V8" s="855"/>
      <c r="W8" s="856"/>
      <c r="X8" s="851"/>
      <c r="Y8" s="852"/>
      <c r="Z8" s="863"/>
      <c r="AA8" s="864"/>
      <c r="AB8" s="864"/>
      <c r="AC8" s="865"/>
      <c r="AD8" s="866"/>
      <c r="AE8" s="800"/>
      <c r="AF8" s="801"/>
      <c r="AG8" s="801"/>
      <c r="AH8" s="801"/>
      <c r="AI8" s="802"/>
      <c r="AJ8" s="858"/>
      <c r="AK8" s="844" t="s">
        <v>76</v>
      </c>
      <c r="AL8" s="844" t="s">
        <v>77</v>
      </c>
      <c r="AM8" s="845" t="s">
        <v>78</v>
      </c>
      <c r="AN8" s="845"/>
      <c r="AO8" s="800"/>
      <c r="AP8" s="1072"/>
    </row>
    <row r="9" spans="1:42" ht="33" customHeight="1">
      <c r="A9" s="940"/>
      <c r="B9" s="940"/>
      <c r="C9" s="876"/>
      <c r="D9" s="876"/>
      <c r="E9" s="546" t="s">
        <v>64</v>
      </c>
      <c r="F9" s="546" t="s">
        <v>65</v>
      </c>
      <c r="G9" s="876"/>
      <c r="H9" s="876"/>
      <c r="I9" s="876"/>
      <c r="J9" s="876"/>
      <c r="K9" s="876"/>
      <c r="L9" s="868"/>
      <c r="M9" s="532" t="s">
        <v>90</v>
      </c>
      <c r="N9" s="859"/>
      <c r="O9" s="870"/>
      <c r="P9" s="458" t="s">
        <v>79</v>
      </c>
      <c r="Q9" s="65" t="s">
        <v>80</v>
      </c>
      <c r="R9" s="367" t="s">
        <v>81</v>
      </c>
      <c r="S9" s="367" t="s">
        <v>82</v>
      </c>
      <c r="T9" s="65" t="s">
        <v>81</v>
      </c>
      <c r="U9" s="65" t="s">
        <v>82</v>
      </c>
      <c r="V9" s="65" t="s">
        <v>83</v>
      </c>
      <c r="W9" s="65" t="s">
        <v>82</v>
      </c>
      <c r="X9" s="367" t="s">
        <v>83</v>
      </c>
      <c r="Y9" s="367" t="s">
        <v>82</v>
      </c>
      <c r="Z9" s="65" t="s">
        <v>265</v>
      </c>
      <c r="AA9" s="65" t="s">
        <v>256</v>
      </c>
      <c r="AB9" s="65" t="s">
        <v>268</v>
      </c>
      <c r="AC9" s="65" t="s">
        <v>278</v>
      </c>
      <c r="AD9" s="65" t="s">
        <v>279</v>
      </c>
      <c r="AE9" s="530" t="s">
        <v>257</v>
      </c>
      <c r="AF9" s="530" t="s">
        <v>254</v>
      </c>
      <c r="AG9" s="530" t="s">
        <v>255</v>
      </c>
      <c r="AH9" s="530" t="s">
        <v>278</v>
      </c>
      <c r="AI9" s="530" t="s">
        <v>279</v>
      </c>
      <c r="AJ9" s="859"/>
      <c r="AK9" s="844"/>
      <c r="AL9" s="844"/>
      <c r="AM9" s="531" t="s">
        <v>84</v>
      </c>
      <c r="AN9" s="531" t="s">
        <v>85</v>
      </c>
      <c r="AO9" s="1029"/>
      <c r="AP9" s="1073"/>
    </row>
    <row r="10" spans="1:42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  <c r="I10" s="14">
        <v>3</v>
      </c>
      <c r="J10" s="14"/>
      <c r="K10" s="14"/>
      <c r="L10" s="14">
        <v>4</v>
      </c>
      <c r="M10" s="14">
        <v>17</v>
      </c>
      <c r="N10" s="14">
        <v>18</v>
      </c>
      <c r="O10" s="14">
        <v>19</v>
      </c>
      <c r="P10" s="534">
        <v>5</v>
      </c>
      <c r="Q10" s="69">
        <v>6</v>
      </c>
      <c r="R10" s="384">
        <v>7</v>
      </c>
      <c r="S10" s="384">
        <v>8</v>
      </c>
      <c r="T10" s="69">
        <v>9</v>
      </c>
      <c r="U10" s="69">
        <v>10</v>
      </c>
      <c r="V10" s="69">
        <v>11</v>
      </c>
      <c r="W10" s="69">
        <v>12</v>
      </c>
      <c r="X10" s="534">
        <v>13</v>
      </c>
      <c r="Y10" s="384">
        <v>14</v>
      </c>
      <c r="Z10" s="69">
        <v>15</v>
      </c>
      <c r="AA10" s="69">
        <v>16</v>
      </c>
      <c r="AB10" s="69">
        <v>17</v>
      </c>
      <c r="AC10" s="69">
        <v>18</v>
      </c>
      <c r="AD10" s="69">
        <v>19</v>
      </c>
      <c r="AE10" s="69">
        <v>17</v>
      </c>
      <c r="AF10" s="69">
        <v>18</v>
      </c>
      <c r="AG10" s="69">
        <v>19</v>
      </c>
      <c r="AH10" s="69">
        <v>20</v>
      </c>
      <c r="AI10" s="69"/>
      <c r="AJ10" s="69">
        <v>22</v>
      </c>
      <c r="AK10" s="69">
        <v>23</v>
      </c>
      <c r="AL10" s="69">
        <v>24</v>
      </c>
      <c r="AM10" s="69">
        <v>25</v>
      </c>
      <c r="AN10" s="69">
        <v>26</v>
      </c>
      <c r="AO10" s="604">
        <v>27</v>
      </c>
      <c r="AP10" s="646">
        <v>7</v>
      </c>
    </row>
    <row r="11" spans="1:42">
      <c r="A11" s="328"/>
      <c r="B11" s="959" t="s">
        <v>11</v>
      </c>
      <c r="C11" s="960"/>
      <c r="D11" s="960"/>
      <c r="E11" s="960"/>
      <c r="F11" s="961"/>
      <c r="G11" s="88"/>
      <c r="H11" s="88"/>
      <c r="I11" s="89"/>
      <c r="J11" s="90">
        <f>J12+J13+J14+J15</f>
        <v>2106395.81</v>
      </c>
      <c r="K11" s="90">
        <f>K12+K13+K14+K15</f>
        <v>979387.0199999999</v>
      </c>
      <c r="L11" s="90">
        <f>L12+L13+L14+L15</f>
        <v>2984552.38</v>
      </c>
      <c r="M11" s="90">
        <f t="shared" ref="M11:P11" si="0">M12+M13+M14+M15</f>
        <v>1176698.6399999999</v>
      </c>
      <c r="N11" s="90">
        <f>N12+N13+N14+N15</f>
        <v>980121.65</v>
      </c>
      <c r="O11" s="90">
        <f t="shared" si="0"/>
        <v>508215.43000000005</v>
      </c>
      <c r="P11" s="90">
        <f t="shared" si="0"/>
        <v>980121.65</v>
      </c>
      <c r="Q11" s="90">
        <f>Q12+Q13+Q14+Q15</f>
        <v>261346.05300000001</v>
      </c>
      <c r="R11" s="90">
        <f t="shared" ref="R11:AN11" si="1">R12+R13+R14+R15</f>
        <v>43444.079000000005</v>
      </c>
      <c r="S11" s="90">
        <f t="shared" si="1"/>
        <v>43444.079000000005</v>
      </c>
      <c r="T11" s="90">
        <f t="shared" si="1"/>
        <v>52158.295999999995</v>
      </c>
      <c r="U11" s="90">
        <f t="shared" si="1"/>
        <v>43875.276999999995</v>
      </c>
      <c r="V11" s="90">
        <f t="shared" si="1"/>
        <v>10375.932000000001</v>
      </c>
      <c r="W11" s="90">
        <f t="shared" si="1"/>
        <v>69765.566999999995</v>
      </c>
      <c r="X11" s="90">
        <f t="shared" si="1"/>
        <v>7095.9049999999997</v>
      </c>
      <c r="Y11" s="90">
        <f t="shared" si="1"/>
        <v>104261.13</v>
      </c>
      <c r="Z11" s="90">
        <f>Z12+Z13+Z14+Z15</f>
        <v>257824.734</v>
      </c>
      <c r="AA11" s="90">
        <f>AA12+AA13+AA14+AA15</f>
        <v>37133.123999999996</v>
      </c>
      <c r="AB11" s="90">
        <f>AB12+AB13+AB14+AB15</f>
        <v>40197.283000000003</v>
      </c>
      <c r="AC11" s="90">
        <f t="shared" ref="AC11:AD11" si="2">AC12+AC13+AC14+AC15</f>
        <v>79242.455000000002</v>
      </c>
      <c r="AD11" s="90">
        <f t="shared" si="2"/>
        <v>101251.872</v>
      </c>
      <c r="AE11" s="90">
        <f>AE12+AE13+AE14+AE15</f>
        <v>140761.10399999999</v>
      </c>
      <c r="AF11" s="90">
        <f>AF12+AF13+AF14+AF15</f>
        <v>0</v>
      </c>
      <c r="AG11" s="90">
        <f t="shared" ref="AG11:AI11" si="3">AG12+AG13+AG14+AG15</f>
        <v>26166.241999999998</v>
      </c>
      <c r="AH11" s="90">
        <f t="shared" si="3"/>
        <v>114594.86200000001</v>
      </c>
      <c r="AI11" s="90">
        <f t="shared" si="3"/>
        <v>24158.33</v>
      </c>
      <c r="AJ11" s="90">
        <f>AJ12+AJ13+AJ14+AJ15</f>
        <v>140845.06099999999</v>
      </c>
      <c r="AK11" s="90">
        <f t="shared" si="1"/>
        <v>140845.06099999999</v>
      </c>
      <c r="AL11" s="90">
        <f>ROUND((Q11*100%/P11*100),2)</f>
        <v>26.66</v>
      </c>
      <c r="AM11" s="90">
        <f t="shared" si="1"/>
        <v>0</v>
      </c>
      <c r="AN11" s="90">
        <f t="shared" si="1"/>
        <v>0</v>
      </c>
      <c r="AO11" s="605"/>
      <c r="AP11" s="647"/>
    </row>
    <row r="12" spans="1:42" ht="59.25" customHeight="1">
      <c r="A12" s="968"/>
      <c r="B12" s="969"/>
      <c r="C12" s="969"/>
      <c r="D12" s="969"/>
      <c r="E12" s="969"/>
      <c r="F12" s="969"/>
      <c r="G12" s="969"/>
      <c r="H12" s="970"/>
      <c r="I12" s="15" t="s">
        <v>19</v>
      </c>
      <c r="J12" s="16">
        <f t="shared" ref="J12:AK15" si="4">J18+J123</f>
        <v>1130844</v>
      </c>
      <c r="K12" s="16">
        <f t="shared" si="4"/>
        <v>277183.29999999993</v>
      </c>
      <c r="L12" s="16">
        <f t="shared" si="4"/>
        <v>943503.33999999985</v>
      </c>
      <c r="M12" s="16">
        <f t="shared" si="4"/>
        <v>139101.35</v>
      </c>
      <c r="N12" s="16">
        <f t="shared" si="4"/>
        <v>119048.09999999999</v>
      </c>
      <c r="O12" s="16">
        <f t="shared" si="4"/>
        <v>118779.83000000002</v>
      </c>
      <c r="P12" s="16">
        <f t="shared" si="4"/>
        <v>119048.09999999999</v>
      </c>
      <c r="Q12" s="16">
        <f t="shared" si="4"/>
        <v>53386.568999999996</v>
      </c>
      <c r="R12" s="16">
        <f t="shared" si="4"/>
        <v>12489.515000000001</v>
      </c>
      <c r="S12" s="16">
        <f t="shared" si="4"/>
        <v>12489.515000000001</v>
      </c>
      <c r="T12" s="16">
        <f t="shared" si="4"/>
        <v>20042.650999999998</v>
      </c>
      <c r="U12" s="16">
        <f t="shared" si="4"/>
        <v>14939.753999999999</v>
      </c>
      <c r="V12" s="16">
        <f t="shared" si="4"/>
        <v>0</v>
      </c>
      <c r="W12" s="16">
        <f t="shared" si="4"/>
        <v>20329.266999999996</v>
      </c>
      <c r="X12" s="16">
        <f t="shared" si="4"/>
        <v>36</v>
      </c>
      <c r="Y12" s="16">
        <f t="shared" si="4"/>
        <v>5628.0329999999994</v>
      </c>
      <c r="Z12" s="16">
        <f t="shared" si="4"/>
        <v>31087.356</v>
      </c>
      <c r="AA12" s="16">
        <f t="shared" si="4"/>
        <v>2357.7179999999998</v>
      </c>
      <c r="AB12" s="16">
        <f t="shared" si="4"/>
        <v>27574.092000000001</v>
      </c>
      <c r="AC12" s="16">
        <f t="shared" si="4"/>
        <v>408.21500000000003</v>
      </c>
      <c r="AD12" s="16">
        <f t="shared" si="4"/>
        <v>747.33100000000002</v>
      </c>
      <c r="AE12" s="16">
        <f t="shared" si="4"/>
        <v>74499.888000000006</v>
      </c>
      <c r="AF12" s="16">
        <f t="shared" si="4"/>
        <v>0</v>
      </c>
      <c r="AG12" s="16">
        <f t="shared" si="4"/>
        <v>0</v>
      </c>
      <c r="AH12" s="16">
        <f t="shared" si="4"/>
        <v>74499.888000000006</v>
      </c>
      <c r="AI12" s="16">
        <f t="shared" si="4"/>
        <v>0</v>
      </c>
      <c r="AJ12" s="16">
        <f t="shared" si="4"/>
        <v>85680.859999999986</v>
      </c>
      <c r="AK12" s="16">
        <f t="shared" si="4"/>
        <v>85680.859999999986</v>
      </c>
      <c r="AL12" s="388">
        <f>ROUND((Q12*100%/P12*100),2)</f>
        <v>44.84</v>
      </c>
      <c r="AM12" s="16">
        <f t="shared" ref="AM12:AN15" si="5">AM18+AM123</f>
        <v>0</v>
      </c>
      <c r="AN12" s="16">
        <f t="shared" si="5"/>
        <v>0</v>
      </c>
      <c r="AO12" s="606"/>
      <c r="AP12" s="648"/>
    </row>
    <row r="13" spans="1:42" ht="44.25" customHeight="1">
      <c r="A13" s="971"/>
      <c r="B13" s="972"/>
      <c r="C13" s="972"/>
      <c r="D13" s="972"/>
      <c r="E13" s="972"/>
      <c r="F13" s="972"/>
      <c r="G13" s="972"/>
      <c r="H13" s="973"/>
      <c r="I13" s="15" t="s">
        <v>20</v>
      </c>
      <c r="J13" s="16">
        <f t="shared" si="4"/>
        <v>249930.72999999998</v>
      </c>
      <c r="K13" s="16">
        <f t="shared" si="4"/>
        <v>0</v>
      </c>
      <c r="L13" s="16">
        <f t="shared" si="4"/>
        <v>583894.28999999992</v>
      </c>
      <c r="M13" s="16">
        <f t="shared" si="4"/>
        <v>60774.350000000006</v>
      </c>
      <c r="N13" s="16">
        <f t="shared" si="4"/>
        <v>134872.99000000002</v>
      </c>
      <c r="O13" s="16">
        <f t="shared" si="4"/>
        <v>91691.959999999992</v>
      </c>
      <c r="P13" s="16">
        <f t="shared" si="4"/>
        <v>134872.99000000002</v>
      </c>
      <c r="Q13" s="16">
        <f t="shared" si="4"/>
        <v>46727.150999999998</v>
      </c>
      <c r="R13" s="16">
        <f t="shared" si="4"/>
        <v>6627.8000000000011</v>
      </c>
      <c r="S13" s="16">
        <f t="shared" si="4"/>
        <v>6627.8000000000011</v>
      </c>
      <c r="T13" s="16">
        <f t="shared" si="4"/>
        <v>25812.017</v>
      </c>
      <c r="U13" s="16">
        <f t="shared" si="4"/>
        <v>22631.895</v>
      </c>
      <c r="V13" s="16">
        <f t="shared" si="4"/>
        <v>10375.932000000001</v>
      </c>
      <c r="W13" s="16">
        <f t="shared" si="4"/>
        <v>10375.932000000001</v>
      </c>
      <c r="X13" s="16">
        <f t="shared" si="4"/>
        <v>7059.9049999999997</v>
      </c>
      <c r="Y13" s="16">
        <f t="shared" si="4"/>
        <v>7091.5239999999994</v>
      </c>
      <c r="Z13" s="16">
        <f t="shared" si="4"/>
        <v>69913.650999999998</v>
      </c>
      <c r="AA13" s="16">
        <f t="shared" si="4"/>
        <v>22996.44</v>
      </c>
      <c r="AB13" s="16">
        <f t="shared" si="4"/>
        <v>5716.3099999999995</v>
      </c>
      <c r="AC13" s="16">
        <f t="shared" si="4"/>
        <v>13530.952000000001</v>
      </c>
      <c r="AD13" s="16">
        <f t="shared" si="4"/>
        <v>27669.949000000001</v>
      </c>
      <c r="AE13" s="16">
        <f t="shared" si="4"/>
        <v>66261.216</v>
      </c>
      <c r="AF13" s="16">
        <f t="shared" si="4"/>
        <v>0</v>
      </c>
      <c r="AG13" s="16">
        <f t="shared" si="4"/>
        <v>26166.241999999998</v>
      </c>
      <c r="AH13" s="16">
        <f t="shared" si="4"/>
        <v>40094.974000000002</v>
      </c>
      <c r="AI13" s="16">
        <f t="shared" si="4"/>
        <v>24158.33</v>
      </c>
      <c r="AJ13" s="16">
        <f t="shared" si="4"/>
        <v>55164.201000000008</v>
      </c>
      <c r="AK13" s="16">
        <f t="shared" si="4"/>
        <v>55164.201000000008</v>
      </c>
      <c r="AL13" s="388">
        <f>ROUND((Q13*100%/P13*100),2)</f>
        <v>34.65</v>
      </c>
      <c r="AM13" s="16">
        <f t="shared" si="5"/>
        <v>0</v>
      </c>
      <c r="AN13" s="16">
        <f t="shared" si="5"/>
        <v>0</v>
      </c>
      <c r="AO13" s="606"/>
      <c r="AP13" s="648"/>
    </row>
    <row r="14" spans="1:42" ht="25.5" customHeight="1">
      <c r="A14" s="971"/>
      <c r="B14" s="972"/>
      <c r="C14" s="972"/>
      <c r="D14" s="972"/>
      <c r="E14" s="972"/>
      <c r="F14" s="972"/>
      <c r="G14" s="972"/>
      <c r="H14" s="973"/>
      <c r="I14" s="15" t="s">
        <v>10</v>
      </c>
      <c r="J14" s="16">
        <f t="shared" si="4"/>
        <v>23417.360000000001</v>
      </c>
      <c r="K14" s="16">
        <f t="shared" si="4"/>
        <v>0</v>
      </c>
      <c r="L14" s="16">
        <f t="shared" si="4"/>
        <v>667536.91</v>
      </c>
      <c r="M14" s="16">
        <f t="shared" si="4"/>
        <v>627881.75</v>
      </c>
      <c r="N14" s="16">
        <f t="shared" si="4"/>
        <v>529727.44999999995</v>
      </c>
      <c r="O14" s="16">
        <f t="shared" si="4"/>
        <v>297742.64</v>
      </c>
      <c r="P14" s="16">
        <f>P20+P125</f>
        <v>529727.44999999995</v>
      </c>
      <c r="Q14" s="16">
        <f t="shared" si="4"/>
        <v>0</v>
      </c>
      <c r="R14" s="16">
        <f t="shared" si="4"/>
        <v>0</v>
      </c>
      <c r="S14" s="16">
        <f t="shared" si="4"/>
        <v>0</v>
      </c>
      <c r="T14" s="16">
        <f t="shared" si="4"/>
        <v>0</v>
      </c>
      <c r="U14" s="16">
        <f t="shared" si="4"/>
        <v>0</v>
      </c>
      <c r="V14" s="16">
        <f t="shared" si="4"/>
        <v>0</v>
      </c>
      <c r="W14" s="16">
        <f t="shared" si="4"/>
        <v>0</v>
      </c>
      <c r="X14" s="16">
        <f t="shared" si="4"/>
        <v>0</v>
      </c>
      <c r="Y14" s="16">
        <f t="shared" si="4"/>
        <v>0</v>
      </c>
      <c r="Z14" s="16">
        <f t="shared" si="4"/>
        <v>0</v>
      </c>
      <c r="AA14" s="16">
        <f t="shared" si="4"/>
        <v>0</v>
      </c>
      <c r="AB14" s="16">
        <f t="shared" si="4"/>
        <v>0</v>
      </c>
      <c r="AC14" s="16">
        <f t="shared" si="4"/>
        <v>0</v>
      </c>
      <c r="AD14" s="16">
        <f t="shared" si="4"/>
        <v>0</v>
      </c>
      <c r="AE14" s="16">
        <f t="shared" si="4"/>
        <v>0</v>
      </c>
      <c r="AF14" s="16">
        <f t="shared" si="4"/>
        <v>0</v>
      </c>
      <c r="AG14" s="16">
        <f t="shared" si="4"/>
        <v>0</v>
      </c>
      <c r="AH14" s="16">
        <f t="shared" si="4"/>
        <v>0</v>
      </c>
      <c r="AI14" s="16">
        <f t="shared" si="4"/>
        <v>0</v>
      </c>
      <c r="AJ14" s="16">
        <f t="shared" si="4"/>
        <v>0</v>
      </c>
      <c r="AK14" s="16">
        <f t="shared" si="4"/>
        <v>0</v>
      </c>
      <c r="AL14" s="388">
        <f>ROUND((Q14*100%/P14*100),2)</f>
        <v>0</v>
      </c>
      <c r="AM14" s="16">
        <f t="shared" si="5"/>
        <v>0</v>
      </c>
      <c r="AN14" s="16">
        <f t="shared" si="5"/>
        <v>0</v>
      </c>
      <c r="AO14" s="606"/>
      <c r="AP14" s="648"/>
    </row>
    <row r="15" spans="1:42" ht="25.5">
      <c r="A15" s="974"/>
      <c r="B15" s="975"/>
      <c r="C15" s="975"/>
      <c r="D15" s="975"/>
      <c r="E15" s="975"/>
      <c r="F15" s="975"/>
      <c r="G15" s="975"/>
      <c r="H15" s="976"/>
      <c r="I15" s="15" t="s">
        <v>9</v>
      </c>
      <c r="J15" s="16">
        <f t="shared" si="4"/>
        <v>702203.72</v>
      </c>
      <c r="K15" s="16">
        <f t="shared" si="4"/>
        <v>702203.72</v>
      </c>
      <c r="L15" s="16">
        <f t="shared" si="4"/>
        <v>789617.84</v>
      </c>
      <c r="M15" s="16">
        <f t="shared" si="4"/>
        <v>348941.19</v>
      </c>
      <c r="N15" s="16">
        <f t="shared" si="4"/>
        <v>196473.11</v>
      </c>
      <c r="O15" s="16">
        <f t="shared" si="4"/>
        <v>1</v>
      </c>
      <c r="P15" s="16">
        <f t="shared" si="4"/>
        <v>196473.11</v>
      </c>
      <c r="Q15" s="16">
        <f t="shared" si="4"/>
        <v>161232.33300000001</v>
      </c>
      <c r="R15" s="16">
        <f t="shared" si="4"/>
        <v>24326.764000000003</v>
      </c>
      <c r="S15" s="16">
        <f t="shared" si="4"/>
        <v>24326.764000000003</v>
      </c>
      <c r="T15" s="16">
        <f t="shared" si="4"/>
        <v>6303.6279999999997</v>
      </c>
      <c r="U15" s="16">
        <f t="shared" si="4"/>
        <v>6303.6279999999997</v>
      </c>
      <c r="V15" s="16">
        <f t="shared" si="4"/>
        <v>0</v>
      </c>
      <c r="W15" s="16">
        <f t="shared" si="4"/>
        <v>39060.368000000002</v>
      </c>
      <c r="X15" s="16">
        <f t="shared" si="4"/>
        <v>0</v>
      </c>
      <c r="Y15" s="16">
        <f t="shared" si="4"/>
        <v>91541.573000000004</v>
      </c>
      <c r="Z15" s="16">
        <f t="shared" si="4"/>
        <v>156823.72700000001</v>
      </c>
      <c r="AA15" s="16">
        <f t="shared" si="4"/>
        <v>11778.966</v>
      </c>
      <c r="AB15" s="16">
        <f t="shared" si="4"/>
        <v>6906.8810000000003</v>
      </c>
      <c r="AC15" s="16">
        <f t="shared" si="4"/>
        <v>65303.288</v>
      </c>
      <c r="AD15" s="16">
        <f t="shared" si="4"/>
        <v>72834.592000000004</v>
      </c>
      <c r="AE15" s="16">
        <f t="shared" si="4"/>
        <v>0</v>
      </c>
      <c r="AF15" s="16">
        <f t="shared" si="4"/>
        <v>0</v>
      </c>
      <c r="AG15" s="16">
        <f t="shared" si="4"/>
        <v>0</v>
      </c>
      <c r="AH15" s="16">
        <f t="shared" si="4"/>
        <v>0</v>
      </c>
      <c r="AI15" s="16">
        <f t="shared" si="4"/>
        <v>0</v>
      </c>
      <c r="AJ15" s="16">
        <f t="shared" si="4"/>
        <v>0</v>
      </c>
      <c r="AK15" s="16">
        <f t="shared" si="4"/>
        <v>0</v>
      </c>
      <c r="AL15" s="388">
        <f>ROUND((Q15*100%/P15*100),2)</f>
        <v>82.06</v>
      </c>
      <c r="AM15" s="16">
        <f t="shared" si="5"/>
        <v>0</v>
      </c>
      <c r="AN15" s="16">
        <f t="shared" si="5"/>
        <v>0</v>
      </c>
      <c r="AO15" s="606"/>
      <c r="AP15" s="648"/>
    </row>
    <row r="16" spans="1:42">
      <c r="A16" s="962" t="s">
        <v>12</v>
      </c>
      <c r="B16" s="963"/>
      <c r="C16" s="963"/>
      <c r="D16" s="963"/>
      <c r="E16" s="963"/>
      <c r="F16" s="963"/>
      <c r="G16" s="963"/>
      <c r="H16" s="964"/>
      <c r="I16" s="17"/>
      <c r="J16" s="17"/>
      <c r="K16" s="17"/>
      <c r="L16" s="18"/>
      <c r="M16" s="18"/>
      <c r="N16" s="18"/>
      <c r="O16" s="18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607"/>
      <c r="AP16" s="300"/>
    </row>
    <row r="17" spans="1:42">
      <c r="A17" s="977"/>
      <c r="B17" s="978"/>
      <c r="C17" s="978"/>
      <c r="D17" s="978"/>
      <c r="E17" s="978"/>
      <c r="F17" s="978"/>
      <c r="G17" s="978"/>
      <c r="H17" s="979"/>
      <c r="I17" s="19" t="s">
        <v>21</v>
      </c>
      <c r="J17" s="20">
        <f t="shared" ref="J17:O17" si="6">J18+J19+J20+J21</f>
        <v>1940430.69</v>
      </c>
      <c r="K17" s="20">
        <f t="shared" si="6"/>
        <v>954032.91999999993</v>
      </c>
      <c r="L17" s="20">
        <f>L18+L19+L20+L21</f>
        <v>1942433.19</v>
      </c>
      <c r="M17" s="20">
        <f>M18+M19+M20+M21</f>
        <v>605672.16</v>
      </c>
      <c r="N17" s="20">
        <f t="shared" si="6"/>
        <v>363282.47</v>
      </c>
      <c r="O17" s="20">
        <f t="shared" si="6"/>
        <v>116582.55</v>
      </c>
      <c r="P17" s="47">
        <f>P18+P19+P20+P21</f>
        <v>363282.47</v>
      </c>
      <c r="Q17" s="47">
        <f t="shared" ref="Q17:AN17" si="7">Q18+Q19+Q20+Q21</f>
        <v>195152.986</v>
      </c>
      <c r="R17" s="47">
        <f t="shared" si="7"/>
        <v>28146.019000000004</v>
      </c>
      <c r="S17" s="47">
        <f t="shared" si="7"/>
        <v>28146.019000000004</v>
      </c>
      <c r="T17" s="47">
        <f t="shared" si="7"/>
        <v>29228.659</v>
      </c>
      <c r="U17" s="47">
        <f t="shared" si="7"/>
        <v>23582.821</v>
      </c>
      <c r="V17" s="47">
        <f t="shared" si="7"/>
        <v>5956.13</v>
      </c>
      <c r="W17" s="47">
        <f t="shared" si="7"/>
        <v>45225.635000000002</v>
      </c>
      <c r="X17" s="47">
        <f t="shared" si="7"/>
        <v>6064.9049999999997</v>
      </c>
      <c r="Y17" s="47">
        <f t="shared" si="7"/>
        <v>98198.510999999999</v>
      </c>
      <c r="Z17" s="47">
        <f t="shared" si="7"/>
        <v>217951.06400000001</v>
      </c>
      <c r="AA17" s="47">
        <f t="shared" si="7"/>
        <v>33186.103999999999</v>
      </c>
      <c r="AB17" s="47">
        <f t="shared" si="7"/>
        <v>7568.174</v>
      </c>
      <c r="AC17" s="47">
        <f t="shared" si="7"/>
        <v>77737.532999999996</v>
      </c>
      <c r="AD17" s="47">
        <f t="shared" si="7"/>
        <v>99459.252999999997</v>
      </c>
      <c r="AE17" s="47">
        <f t="shared" si="7"/>
        <v>40094.974000000002</v>
      </c>
      <c r="AF17" s="47">
        <f t="shared" si="7"/>
        <v>0</v>
      </c>
      <c r="AG17" s="47">
        <f t="shared" si="7"/>
        <v>0</v>
      </c>
      <c r="AH17" s="47">
        <f t="shared" si="7"/>
        <v>40094.974000000002</v>
      </c>
      <c r="AI17" s="47">
        <f t="shared" si="7"/>
        <v>24158.33</v>
      </c>
      <c r="AJ17" s="47">
        <f t="shared" si="7"/>
        <v>91307.979999999981</v>
      </c>
      <c r="AK17" s="47">
        <f t="shared" si="7"/>
        <v>91307.979999999981</v>
      </c>
      <c r="AL17" s="47">
        <f t="shared" si="7"/>
        <v>412.8900000000001</v>
      </c>
      <c r="AM17" s="47">
        <f t="shared" si="7"/>
        <v>0</v>
      </c>
      <c r="AN17" s="47">
        <f t="shared" si="7"/>
        <v>0</v>
      </c>
      <c r="AO17" s="608"/>
      <c r="AP17" s="648"/>
    </row>
    <row r="18" spans="1:42" ht="53.25" customHeight="1">
      <c r="A18" s="980"/>
      <c r="B18" s="981"/>
      <c r="C18" s="981"/>
      <c r="D18" s="981"/>
      <c r="E18" s="981"/>
      <c r="F18" s="981"/>
      <c r="G18" s="981"/>
      <c r="H18" s="982"/>
      <c r="I18" s="15" t="s">
        <v>19</v>
      </c>
      <c r="J18" s="16">
        <f t="shared" ref="J18:AN18" si="8">J22+J112</f>
        <v>977955.46</v>
      </c>
      <c r="K18" s="16">
        <f t="shared" si="8"/>
        <v>251829.19999999995</v>
      </c>
      <c r="L18" s="16">
        <f t="shared" si="8"/>
        <v>750480.15999999992</v>
      </c>
      <c r="M18" s="16">
        <f t="shared" si="8"/>
        <v>96658.23</v>
      </c>
      <c r="N18" s="16">
        <f t="shared" si="8"/>
        <v>83716.939999999988</v>
      </c>
      <c r="O18" s="16">
        <f t="shared" si="8"/>
        <v>78886.680000000008</v>
      </c>
      <c r="P18" s="47">
        <f t="shared" si="8"/>
        <v>83716.939999999988</v>
      </c>
      <c r="Q18" s="22">
        <f t="shared" si="8"/>
        <v>1496.4949999999999</v>
      </c>
      <c r="R18" s="22">
        <f t="shared" si="8"/>
        <v>251.905</v>
      </c>
      <c r="S18" s="22">
        <f t="shared" si="8"/>
        <v>251.905</v>
      </c>
      <c r="T18" s="22">
        <f t="shared" si="8"/>
        <v>2904.136</v>
      </c>
      <c r="U18" s="22">
        <f t="shared" si="8"/>
        <v>438.42</v>
      </c>
      <c r="V18" s="22">
        <f t="shared" si="8"/>
        <v>0</v>
      </c>
      <c r="W18" s="22">
        <f t="shared" si="8"/>
        <v>209.137</v>
      </c>
      <c r="X18" s="22">
        <f t="shared" si="8"/>
        <v>5</v>
      </c>
      <c r="Y18" s="22">
        <f t="shared" si="8"/>
        <v>597.0329999999999</v>
      </c>
      <c r="Z18" s="22">
        <f t="shared" si="8"/>
        <v>1814.8739999999998</v>
      </c>
      <c r="AA18" s="22">
        <f t="shared" si="8"/>
        <v>386.46800000000002</v>
      </c>
      <c r="AB18" s="22">
        <f t="shared" si="8"/>
        <v>303.86</v>
      </c>
      <c r="AC18" s="22">
        <f t="shared" si="8"/>
        <v>408.21500000000003</v>
      </c>
      <c r="AD18" s="22">
        <f t="shared" si="8"/>
        <v>716.33100000000002</v>
      </c>
      <c r="AE18" s="22">
        <f t="shared" si="8"/>
        <v>0</v>
      </c>
      <c r="AF18" s="22">
        <f t="shared" si="8"/>
        <v>0</v>
      </c>
      <c r="AG18" s="22">
        <f t="shared" si="8"/>
        <v>0</v>
      </c>
      <c r="AH18" s="22">
        <f t="shared" si="8"/>
        <v>0</v>
      </c>
      <c r="AI18" s="22">
        <f t="shared" si="8"/>
        <v>0</v>
      </c>
      <c r="AJ18" s="22">
        <f t="shared" si="8"/>
        <v>83711.939999999988</v>
      </c>
      <c r="AK18" s="22">
        <f t="shared" si="8"/>
        <v>83711.939999999988</v>
      </c>
      <c r="AL18" s="22">
        <f t="shared" si="8"/>
        <v>0.04</v>
      </c>
      <c r="AM18" s="22">
        <f t="shared" si="8"/>
        <v>0</v>
      </c>
      <c r="AN18" s="22">
        <f t="shared" si="8"/>
        <v>0</v>
      </c>
      <c r="AO18" s="609"/>
      <c r="AP18" s="648"/>
    </row>
    <row r="19" spans="1:42" ht="38.25">
      <c r="A19" s="980"/>
      <c r="B19" s="981"/>
      <c r="C19" s="981"/>
      <c r="D19" s="981"/>
      <c r="E19" s="981"/>
      <c r="F19" s="981"/>
      <c r="G19" s="981"/>
      <c r="H19" s="982"/>
      <c r="I19" s="15" t="s">
        <v>20</v>
      </c>
      <c r="J19" s="16">
        <f>J23+J48+J54+J63+J71+J113</f>
        <v>236854.15</v>
      </c>
      <c r="K19" s="16">
        <f>K23+K63+K113</f>
        <v>0</v>
      </c>
      <c r="L19" s="16">
        <f>L23+L48+L54+L63+L71+L113</f>
        <v>230331.37</v>
      </c>
      <c r="M19" s="16">
        <f t="shared" ref="M19:AN19" si="9">M23+M48+M54+M63+M71+M113</f>
        <v>24568.73</v>
      </c>
      <c r="N19" s="16">
        <f>N23+N48+N54+N63+N71+N113</f>
        <v>46592.61</v>
      </c>
      <c r="O19" s="16">
        <f t="shared" si="9"/>
        <v>37695.869999999995</v>
      </c>
      <c r="P19" s="47">
        <f>P23+P48+P54+P63+P71+P113</f>
        <v>46592.61</v>
      </c>
      <c r="Q19" s="22">
        <f t="shared" si="9"/>
        <v>32424.157999999999</v>
      </c>
      <c r="R19" s="22">
        <f t="shared" si="9"/>
        <v>3567.3500000000004</v>
      </c>
      <c r="S19" s="22">
        <f t="shared" si="9"/>
        <v>3567.3500000000004</v>
      </c>
      <c r="T19" s="22">
        <f t="shared" si="9"/>
        <v>20020.895</v>
      </c>
      <c r="U19" s="22">
        <f t="shared" si="9"/>
        <v>16840.773000000001</v>
      </c>
      <c r="V19" s="22">
        <f t="shared" si="9"/>
        <v>5956.13</v>
      </c>
      <c r="W19" s="22">
        <f t="shared" si="9"/>
        <v>5956.13</v>
      </c>
      <c r="X19" s="22">
        <f t="shared" si="9"/>
        <v>6059.9049999999997</v>
      </c>
      <c r="Y19" s="22">
        <f t="shared" si="9"/>
        <v>6059.9049999999997</v>
      </c>
      <c r="Z19" s="22">
        <f t="shared" si="9"/>
        <v>59312.463000000003</v>
      </c>
      <c r="AA19" s="22">
        <f t="shared" si="9"/>
        <v>21020.67</v>
      </c>
      <c r="AB19" s="22">
        <f t="shared" si="9"/>
        <v>357.43299999999999</v>
      </c>
      <c r="AC19" s="22">
        <f t="shared" si="9"/>
        <v>12026.03</v>
      </c>
      <c r="AD19" s="22">
        <f t="shared" si="9"/>
        <v>25908.33</v>
      </c>
      <c r="AE19" s="22">
        <f t="shared" si="9"/>
        <v>40094.974000000002</v>
      </c>
      <c r="AF19" s="22">
        <f t="shared" si="9"/>
        <v>0</v>
      </c>
      <c r="AG19" s="22">
        <f t="shared" si="9"/>
        <v>0</v>
      </c>
      <c r="AH19" s="22">
        <f t="shared" si="9"/>
        <v>40094.974000000002</v>
      </c>
      <c r="AI19" s="22">
        <f t="shared" si="9"/>
        <v>24158.33</v>
      </c>
      <c r="AJ19" s="22">
        <f t="shared" si="9"/>
        <v>7596.04</v>
      </c>
      <c r="AK19" s="22">
        <f t="shared" si="9"/>
        <v>7596.04</v>
      </c>
      <c r="AL19" s="22">
        <f t="shared" si="9"/>
        <v>412.85000000000008</v>
      </c>
      <c r="AM19" s="22">
        <f t="shared" si="9"/>
        <v>0</v>
      </c>
      <c r="AN19" s="22">
        <f t="shared" si="9"/>
        <v>0</v>
      </c>
      <c r="AO19" s="609"/>
      <c r="AP19" s="648"/>
    </row>
    <row r="20" spans="1:42" ht="25.5">
      <c r="A20" s="980"/>
      <c r="B20" s="981"/>
      <c r="C20" s="981"/>
      <c r="D20" s="981"/>
      <c r="E20" s="981"/>
      <c r="F20" s="981"/>
      <c r="G20" s="981"/>
      <c r="H20" s="982"/>
      <c r="I20" s="15" t="s">
        <v>10</v>
      </c>
      <c r="J20" s="16">
        <f t="shared" ref="J20:AN20" si="10">J24+J64+J114+J49</f>
        <v>23417.360000000001</v>
      </c>
      <c r="K20" s="16">
        <f t="shared" si="10"/>
        <v>0</v>
      </c>
      <c r="L20" s="16">
        <f t="shared" si="10"/>
        <v>172003.82</v>
      </c>
      <c r="M20" s="16">
        <f t="shared" si="10"/>
        <v>135504.01</v>
      </c>
      <c r="N20" s="16">
        <f t="shared" si="10"/>
        <v>36499.81</v>
      </c>
      <c r="O20" s="16">
        <f t="shared" si="10"/>
        <v>0</v>
      </c>
      <c r="P20" s="22">
        <f t="shared" si="10"/>
        <v>36499.81</v>
      </c>
      <c r="Q20" s="22">
        <f t="shared" si="10"/>
        <v>0</v>
      </c>
      <c r="R20" s="22">
        <f t="shared" si="10"/>
        <v>0</v>
      </c>
      <c r="S20" s="22">
        <f t="shared" si="10"/>
        <v>0</v>
      </c>
      <c r="T20" s="22">
        <f t="shared" si="10"/>
        <v>0</v>
      </c>
      <c r="U20" s="22">
        <f t="shared" si="10"/>
        <v>0</v>
      </c>
      <c r="V20" s="22">
        <f t="shared" si="10"/>
        <v>0</v>
      </c>
      <c r="W20" s="22">
        <f t="shared" si="10"/>
        <v>0</v>
      </c>
      <c r="X20" s="22">
        <f t="shared" si="10"/>
        <v>0</v>
      </c>
      <c r="Y20" s="22">
        <f t="shared" si="10"/>
        <v>0</v>
      </c>
      <c r="Z20" s="22">
        <f t="shared" si="10"/>
        <v>0</v>
      </c>
      <c r="AA20" s="22">
        <f t="shared" si="10"/>
        <v>0</v>
      </c>
      <c r="AB20" s="22">
        <f t="shared" si="10"/>
        <v>0</v>
      </c>
      <c r="AC20" s="22">
        <f t="shared" si="10"/>
        <v>0</v>
      </c>
      <c r="AD20" s="22">
        <f t="shared" si="10"/>
        <v>0</v>
      </c>
      <c r="AE20" s="22">
        <f t="shared" si="10"/>
        <v>0</v>
      </c>
      <c r="AF20" s="22">
        <f t="shared" si="10"/>
        <v>0</v>
      </c>
      <c r="AG20" s="22">
        <f t="shared" si="10"/>
        <v>0</v>
      </c>
      <c r="AH20" s="22">
        <f t="shared" si="10"/>
        <v>0</v>
      </c>
      <c r="AI20" s="22">
        <f t="shared" si="10"/>
        <v>0</v>
      </c>
      <c r="AJ20" s="22">
        <f t="shared" si="10"/>
        <v>0</v>
      </c>
      <c r="AK20" s="22">
        <f t="shared" si="10"/>
        <v>0</v>
      </c>
      <c r="AL20" s="22">
        <f t="shared" si="10"/>
        <v>0</v>
      </c>
      <c r="AM20" s="22">
        <f t="shared" si="10"/>
        <v>0</v>
      </c>
      <c r="AN20" s="22">
        <f t="shared" si="10"/>
        <v>0</v>
      </c>
      <c r="AO20" s="609"/>
      <c r="AP20" s="648"/>
    </row>
    <row r="21" spans="1:42" ht="25.5">
      <c r="A21" s="983"/>
      <c r="B21" s="984"/>
      <c r="C21" s="984"/>
      <c r="D21" s="984"/>
      <c r="E21" s="984"/>
      <c r="F21" s="984"/>
      <c r="G21" s="984"/>
      <c r="H21" s="985"/>
      <c r="I21" s="15" t="s">
        <v>9</v>
      </c>
      <c r="J21" s="21">
        <f t="shared" ref="J21:AN21" si="11">J25+J65+J115</f>
        <v>702203.72</v>
      </c>
      <c r="K21" s="21">
        <f t="shared" si="11"/>
        <v>702203.72</v>
      </c>
      <c r="L21" s="21">
        <f t="shared" si="11"/>
        <v>789617.84</v>
      </c>
      <c r="M21" s="21">
        <f t="shared" si="11"/>
        <v>348941.19</v>
      </c>
      <c r="N21" s="21">
        <f t="shared" si="11"/>
        <v>196473.11</v>
      </c>
      <c r="O21" s="21">
        <f t="shared" si="11"/>
        <v>0</v>
      </c>
      <c r="P21" s="72">
        <f t="shared" si="11"/>
        <v>196473.11</v>
      </c>
      <c r="Q21" s="72">
        <f t="shared" si="11"/>
        <v>161232.33300000001</v>
      </c>
      <c r="R21" s="72">
        <f t="shared" si="11"/>
        <v>24326.764000000003</v>
      </c>
      <c r="S21" s="72">
        <f t="shared" si="11"/>
        <v>24326.764000000003</v>
      </c>
      <c r="T21" s="72">
        <f t="shared" si="11"/>
        <v>6303.6279999999997</v>
      </c>
      <c r="U21" s="72">
        <f t="shared" si="11"/>
        <v>6303.6279999999997</v>
      </c>
      <c r="V21" s="72">
        <f t="shared" si="11"/>
        <v>0</v>
      </c>
      <c r="W21" s="72">
        <f t="shared" si="11"/>
        <v>39060.368000000002</v>
      </c>
      <c r="X21" s="72">
        <f t="shared" si="11"/>
        <v>0</v>
      </c>
      <c r="Y21" s="72">
        <f t="shared" si="11"/>
        <v>91541.573000000004</v>
      </c>
      <c r="Z21" s="72">
        <f t="shared" si="11"/>
        <v>156823.72700000001</v>
      </c>
      <c r="AA21" s="72">
        <f t="shared" si="11"/>
        <v>11778.966</v>
      </c>
      <c r="AB21" s="72">
        <f t="shared" si="11"/>
        <v>6906.8810000000003</v>
      </c>
      <c r="AC21" s="72">
        <f t="shared" si="11"/>
        <v>65303.288</v>
      </c>
      <c r="AD21" s="72">
        <f t="shared" si="11"/>
        <v>72834.592000000004</v>
      </c>
      <c r="AE21" s="72">
        <f t="shared" si="11"/>
        <v>0</v>
      </c>
      <c r="AF21" s="72">
        <f t="shared" si="11"/>
        <v>0</v>
      </c>
      <c r="AG21" s="72">
        <f t="shared" si="11"/>
        <v>0</v>
      </c>
      <c r="AH21" s="72">
        <f t="shared" si="11"/>
        <v>0</v>
      </c>
      <c r="AI21" s="72">
        <f t="shared" si="11"/>
        <v>0</v>
      </c>
      <c r="AJ21" s="72">
        <f t="shared" si="11"/>
        <v>0</v>
      </c>
      <c r="AK21" s="72">
        <f t="shared" si="11"/>
        <v>0</v>
      </c>
      <c r="AL21" s="72">
        <f t="shared" si="11"/>
        <v>0</v>
      </c>
      <c r="AM21" s="72">
        <f t="shared" si="11"/>
        <v>0</v>
      </c>
      <c r="AN21" s="72">
        <f t="shared" si="11"/>
        <v>0</v>
      </c>
      <c r="AO21" s="610"/>
      <c r="AP21" s="648"/>
    </row>
    <row r="22" spans="1:42" ht="51.75" customHeight="1">
      <c r="A22" s="986" t="s">
        <v>25</v>
      </c>
      <c r="B22" s="921" t="s">
        <v>40</v>
      </c>
      <c r="C22" s="922"/>
      <c r="D22" s="922"/>
      <c r="E22" s="922"/>
      <c r="F22" s="922"/>
      <c r="G22" s="922"/>
      <c r="H22" s="923"/>
      <c r="I22" s="15" t="s">
        <v>19</v>
      </c>
      <c r="J22" s="22">
        <f t="shared" ref="J22:AN22" si="12">J27+J40+J43</f>
        <v>977955.46</v>
      </c>
      <c r="K22" s="22">
        <f t="shared" si="12"/>
        <v>251829.19999999995</v>
      </c>
      <c r="L22" s="16">
        <f t="shared" si="12"/>
        <v>750480.15999999992</v>
      </c>
      <c r="M22" s="16">
        <f t="shared" si="12"/>
        <v>96658.23</v>
      </c>
      <c r="N22" s="16">
        <f t="shared" si="12"/>
        <v>83716.939999999988</v>
      </c>
      <c r="O22" s="16">
        <f t="shared" si="12"/>
        <v>78886.680000000008</v>
      </c>
      <c r="P22" s="22">
        <f t="shared" si="12"/>
        <v>83716.939999999988</v>
      </c>
      <c r="Q22" s="22">
        <f>Q27+Q40+Q43</f>
        <v>1496.4949999999999</v>
      </c>
      <c r="R22" s="22">
        <f t="shared" si="12"/>
        <v>251.905</v>
      </c>
      <c r="S22" s="22">
        <f t="shared" si="12"/>
        <v>251.905</v>
      </c>
      <c r="T22" s="22">
        <f t="shared" si="12"/>
        <v>2904.136</v>
      </c>
      <c r="U22" s="22">
        <f t="shared" si="12"/>
        <v>438.42</v>
      </c>
      <c r="V22" s="22">
        <f t="shared" si="12"/>
        <v>0</v>
      </c>
      <c r="W22" s="22">
        <f t="shared" si="12"/>
        <v>209.137</v>
      </c>
      <c r="X22" s="22">
        <f t="shared" si="12"/>
        <v>5</v>
      </c>
      <c r="Y22" s="22">
        <f t="shared" si="12"/>
        <v>597.0329999999999</v>
      </c>
      <c r="Z22" s="22">
        <f t="shared" si="12"/>
        <v>1814.8739999999998</v>
      </c>
      <c r="AA22" s="22">
        <f t="shared" si="12"/>
        <v>386.46800000000002</v>
      </c>
      <c r="AB22" s="22">
        <f t="shared" si="12"/>
        <v>303.86</v>
      </c>
      <c r="AC22" s="22">
        <f t="shared" si="12"/>
        <v>408.21500000000003</v>
      </c>
      <c r="AD22" s="22">
        <f t="shared" si="12"/>
        <v>716.33100000000002</v>
      </c>
      <c r="AE22" s="22">
        <f t="shared" si="12"/>
        <v>0</v>
      </c>
      <c r="AF22" s="22">
        <f t="shared" si="12"/>
        <v>0</v>
      </c>
      <c r="AG22" s="22">
        <f t="shared" si="12"/>
        <v>0</v>
      </c>
      <c r="AH22" s="22">
        <f t="shared" si="12"/>
        <v>0</v>
      </c>
      <c r="AI22" s="22">
        <f t="shared" si="12"/>
        <v>0</v>
      </c>
      <c r="AJ22" s="22">
        <f t="shared" si="12"/>
        <v>83711.939999999988</v>
      </c>
      <c r="AK22" s="22">
        <f t="shared" si="12"/>
        <v>83711.939999999988</v>
      </c>
      <c r="AL22" s="22">
        <f t="shared" si="12"/>
        <v>0.04</v>
      </c>
      <c r="AM22" s="22">
        <f t="shared" si="12"/>
        <v>0</v>
      </c>
      <c r="AN22" s="22">
        <f t="shared" si="12"/>
        <v>0</v>
      </c>
      <c r="AO22" s="609"/>
      <c r="AP22" s="648"/>
    </row>
    <row r="23" spans="1:42" ht="38.25">
      <c r="A23" s="987"/>
      <c r="B23" s="924"/>
      <c r="C23" s="925"/>
      <c r="D23" s="925"/>
      <c r="E23" s="925"/>
      <c r="F23" s="925"/>
      <c r="G23" s="925"/>
      <c r="H23" s="926"/>
      <c r="I23" s="15" t="s">
        <v>20</v>
      </c>
      <c r="J23" s="16">
        <v>0</v>
      </c>
      <c r="K23" s="16">
        <v>0</v>
      </c>
      <c r="L23" s="16">
        <v>0</v>
      </c>
      <c r="M23" s="16">
        <v>0</v>
      </c>
      <c r="N23" s="22">
        <v>0</v>
      </c>
      <c r="O23" s="22">
        <v>2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609"/>
      <c r="AP23" s="648"/>
    </row>
    <row r="24" spans="1:42" ht="25.5">
      <c r="A24" s="987"/>
      <c r="B24" s="924"/>
      <c r="C24" s="925"/>
      <c r="D24" s="925"/>
      <c r="E24" s="925"/>
      <c r="F24" s="925"/>
      <c r="G24" s="925"/>
      <c r="H24" s="926"/>
      <c r="I24" s="15" t="s">
        <v>10</v>
      </c>
      <c r="J24" s="16">
        <v>0</v>
      </c>
      <c r="K24" s="16">
        <v>0</v>
      </c>
      <c r="L24" s="16">
        <f t="shared" ref="L24:L70" si="13">M24+N24+O24</f>
        <v>172003.82</v>
      </c>
      <c r="M24" s="16">
        <f>M37</f>
        <v>135504.01</v>
      </c>
      <c r="N24" s="22">
        <f>N37</f>
        <v>36499.81</v>
      </c>
      <c r="O24" s="22">
        <f>O37</f>
        <v>0</v>
      </c>
      <c r="P24" s="22">
        <f>P37</f>
        <v>36499.81</v>
      </c>
      <c r="Q24" s="22">
        <f>Q37</f>
        <v>0</v>
      </c>
      <c r="R24" s="22">
        <f t="shared" ref="R24:AI24" si="14">R37</f>
        <v>0</v>
      </c>
      <c r="S24" s="22">
        <f t="shared" si="14"/>
        <v>0</v>
      </c>
      <c r="T24" s="22">
        <f t="shared" si="14"/>
        <v>0</v>
      </c>
      <c r="U24" s="22">
        <f t="shared" si="14"/>
        <v>0</v>
      </c>
      <c r="V24" s="22">
        <f t="shared" si="14"/>
        <v>0</v>
      </c>
      <c r="W24" s="22">
        <f t="shared" si="14"/>
        <v>0</v>
      </c>
      <c r="X24" s="22">
        <f t="shared" si="14"/>
        <v>0</v>
      </c>
      <c r="Y24" s="22">
        <f t="shared" si="14"/>
        <v>0</v>
      </c>
      <c r="Z24" s="22">
        <f t="shared" si="14"/>
        <v>0</v>
      </c>
      <c r="AA24" s="22">
        <f t="shared" si="14"/>
        <v>0</v>
      </c>
      <c r="AB24" s="22">
        <f t="shared" si="14"/>
        <v>0</v>
      </c>
      <c r="AC24" s="22">
        <f t="shared" si="14"/>
        <v>0</v>
      </c>
      <c r="AD24" s="22">
        <f t="shared" si="14"/>
        <v>0</v>
      </c>
      <c r="AE24" s="22">
        <f t="shared" si="14"/>
        <v>0</v>
      </c>
      <c r="AF24" s="22">
        <f t="shared" si="14"/>
        <v>0</v>
      </c>
      <c r="AG24" s="22">
        <f t="shared" si="14"/>
        <v>0</v>
      </c>
      <c r="AH24" s="22">
        <f t="shared" si="14"/>
        <v>0</v>
      </c>
      <c r="AI24" s="22">
        <f t="shared" si="14"/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609"/>
      <c r="AP24" s="648"/>
    </row>
    <row r="25" spans="1:42" ht="25.5">
      <c r="A25" s="988"/>
      <c r="B25" s="927"/>
      <c r="C25" s="928"/>
      <c r="D25" s="928"/>
      <c r="E25" s="928"/>
      <c r="F25" s="928"/>
      <c r="G25" s="928"/>
      <c r="H25" s="929"/>
      <c r="I25" s="15" t="s">
        <v>9</v>
      </c>
      <c r="J25" s="16">
        <f>J35</f>
        <v>702203.72</v>
      </c>
      <c r="K25" s="16">
        <f t="shared" ref="K25" si="15">K35</f>
        <v>702203.72</v>
      </c>
      <c r="L25" s="16">
        <f>L35</f>
        <v>789617.84</v>
      </c>
      <c r="M25" s="16">
        <f>M35</f>
        <v>348941.19</v>
      </c>
      <c r="N25" s="22">
        <f t="shared" ref="N25:O25" si="16">N35</f>
        <v>196473.11</v>
      </c>
      <c r="O25" s="22">
        <f t="shared" si="16"/>
        <v>0</v>
      </c>
      <c r="P25" s="22">
        <f>P35</f>
        <v>196473.11</v>
      </c>
      <c r="Q25" s="22">
        <f t="shared" ref="Q25:AN25" si="17">Q35</f>
        <v>161232.33300000001</v>
      </c>
      <c r="R25" s="22">
        <f t="shared" si="17"/>
        <v>24326.764000000003</v>
      </c>
      <c r="S25" s="22">
        <f t="shared" si="17"/>
        <v>24326.764000000003</v>
      </c>
      <c r="T25" s="22">
        <f t="shared" si="17"/>
        <v>6303.6279999999997</v>
      </c>
      <c r="U25" s="22">
        <f t="shared" si="17"/>
        <v>6303.6279999999997</v>
      </c>
      <c r="V25" s="22">
        <f t="shared" si="17"/>
        <v>0</v>
      </c>
      <c r="W25" s="22">
        <f t="shared" si="17"/>
        <v>39060.368000000002</v>
      </c>
      <c r="X25" s="22">
        <f t="shared" si="17"/>
        <v>0</v>
      </c>
      <c r="Y25" s="22">
        <f t="shared" si="17"/>
        <v>91541.573000000004</v>
      </c>
      <c r="Z25" s="22">
        <f t="shared" si="17"/>
        <v>156823.72700000001</v>
      </c>
      <c r="AA25" s="22">
        <f t="shared" si="17"/>
        <v>11778.966</v>
      </c>
      <c r="AB25" s="22">
        <f t="shared" si="17"/>
        <v>6906.8810000000003</v>
      </c>
      <c r="AC25" s="22">
        <f t="shared" si="17"/>
        <v>65303.288</v>
      </c>
      <c r="AD25" s="22">
        <f t="shared" si="17"/>
        <v>72834.592000000004</v>
      </c>
      <c r="AE25" s="22">
        <f t="shared" si="17"/>
        <v>0</v>
      </c>
      <c r="AF25" s="22">
        <f t="shared" si="17"/>
        <v>0</v>
      </c>
      <c r="AG25" s="22">
        <f t="shared" si="17"/>
        <v>0</v>
      </c>
      <c r="AH25" s="22">
        <f t="shared" si="17"/>
        <v>0</v>
      </c>
      <c r="AI25" s="22">
        <f t="shared" si="17"/>
        <v>0</v>
      </c>
      <c r="AJ25" s="22">
        <f t="shared" si="17"/>
        <v>0</v>
      </c>
      <c r="AK25" s="22">
        <f t="shared" si="17"/>
        <v>0</v>
      </c>
      <c r="AL25" s="22">
        <f t="shared" si="17"/>
        <v>0</v>
      </c>
      <c r="AM25" s="22">
        <f t="shared" si="17"/>
        <v>0</v>
      </c>
      <c r="AN25" s="22">
        <f t="shared" si="17"/>
        <v>0</v>
      </c>
      <c r="AO25" s="609"/>
      <c r="AP25" s="648"/>
    </row>
    <row r="26" spans="1:42" ht="25.5" customHeight="1">
      <c r="A26" s="937" t="s">
        <v>26</v>
      </c>
      <c r="B26" s="78" t="s">
        <v>18</v>
      </c>
      <c r="C26" s="815"/>
      <c r="D26" s="815"/>
      <c r="E26" s="815"/>
      <c r="F26" s="989" t="s">
        <v>44</v>
      </c>
      <c r="G26" s="815">
        <v>2018</v>
      </c>
      <c r="H26" s="815">
        <v>2020</v>
      </c>
      <c r="I26" s="515"/>
      <c r="J26" s="24">
        <v>1075576.6499999999</v>
      </c>
      <c r="K26" s="25">
        <f>K27+K35</f>
        <v>954032.91999999993</v>
      </c>
      <c r="L26" s="79">
        <f>L27+L35+L37</f>
        <v>1083165.3899999999</v>
      </c>
      <c r="M26" s="79">
        <f>M27+M35+M37</f>
        <v>560860.31000000006</v>
      </c>
      <c r="N26" s="79">
        <f t="shared" ref="N26:O26" si="18">N27+N35+N37</f>
        <v>232972.91999999998</v>
      </c>
      <c r="O26" s="79">
        <f t="shared" si="18"/>
        <v>0</v>
      </c>
      <c r="P26" s="79">
        <f>P27+P35+P37</f>
        <v>232972.91999999998</v>
      </c>
      <c r="Q26" s="79">
        <f>Q27+Q35+Q37</f>
        <v>162723.82800000001</v>
      </c>
      <c r="R26" s="79">
        <f t="shared" ref="R26:X26" si="19">R27+R35</f>
        <v>24578.669000000002</v>
      </c>
      <c r="S26" s="79">
        <f t="shared" si="19"/>
        <v>24578.669000000002</v>
      </c>
      <c r="T26" s="79">
        <f t="shared" si="19"/>
        <v>9207.7639999999992</v>
      </c>
      <c r="U26" s="79">
        <f t="shared" si="19"/>
        <v>6742.0479999999998</v>
      </c>
      <c r="V26" s="79">
        <f t="shared" si="19"/>
        <v>0</v>
      </c>
      <c r="W26" s="79">
        <f t="shared" si="19"/>
        <v>39269.505000000005</v>
      </c>
      <c r="X26" s="79">
        <f t="shared" si="19"/>
        <v>0</v>
      </c>
      <c r="Y26" s="79">
        <f>Y27+Y35+Y37</f>
        <v>92133.606</v>
      </c>
      <c r="Z26" s="79">
        <f>Z27+Z35+Z37</f>
        <v>158633.60100000002</v>
      </c>
      <c r="AA26" s="79">
        <f>AA27+AA35</f>
        <v>12165.434000000001</v>
      </c>
      <c r="AB26" s="79">
        <f>AB27+AB35</f>
        <v>7210.741</v>
      </c>
      <c r="AC26" s="79">
        <f t="shared" ref="AC26:AD26" si="20">AC27+AC35</f>
        <v>65711.502999999997</v>
      </c>
      <c r="AD26" s="79">
        <f t="shared" si="20"/>
        <v>73545.92300000001</v>
      </c>
      <c r="AE26" s="79">
        <f>AE27+AE35</f>
        <v>0</v>
      </c>
      <c r="AF26" s="79">
        <f t="shared" ref="AF26:AI26" si="21">AF27+AF35</f>
        <v>0</v>
      </c>
      <c r="AG26" s="79">
        <f t="shared" si="21"/>
        <v>0</v>
      </c>
      <c r="AH26" s="79">
        <f t="shared" si="21"/>
        <v>0</v>
      </c>
      <c r="AI26" s="79">
        <f t="shared" si="21"/>
        <v>0</v>
      </c>
      <c r="AJ26" s="79">
        <f>P26-Q26</f>
        <v>70249.091999999975</v>
      </c>
      <c r="AK26" s="79">
        <f>AJ26</f>
        <v>70249.091999999975</v>
      </c>
      <c r="AL26" s="79">
        <f>ROUND((Q26*100%/P26*100),2)</f>
        <v>69.849999999999994</v>
      </c>
      <c r="AM26" s="79">
        <f>AM27+AM35</f>
        <v>0</v>
      </c>
      <c r="AN26" s="79">
        <f>AN27+AN35</f>
        <v>0</v>
      </c>
      <c r="AO26" s="611" t="s">
        <v>282</v>
      </c>
      <c r="AP26" s="1065" t="s">
        <v>319</v>
      </c>
    </row>
    <row r="27" spans="1:42" ht="51.75" customHeight="1">
      <c r="A27" s="938"/>
      <c r="B27" s="366" t="s">
        <v>16</v>
      </c>
      <c r="C27" s="816"/>
      <c r="D27" s="816"/>
      <c r="E27" s="816"/>
      <c r="F27" s="990"/>
      <c r="G27" s="816"/>
      <c r="H27" s="816"/>
      <c r="I27" s="515" t="s">
        <v>19</v>
      </c>
      <c r="J27" s="27">
        <v>373372.92999999993</v>
      </c>
      <c r="K27" s="28">
        <f>J27-L27</f>
        <v>251829.19999999995</v>
      </c>
      <c r="L27" s="3">
        <v>121543.73</v>
      </c>
      <c r="M27" s="47">
        <v>76415.11</v>
      </c>
      <c r="N27" s="47">
        <v>0</v>
      </c>
      <c r="O27" s="47">
        <v>0</v>
      </c>
      <c r="P27" s="47">
        <v>0</v>
      </c>
      <c r="Q27" s="47">
        <f>SUM(Q28:Q34)</f>
        <v>1491.4949999999999</v>
      </c>
      <c r="R27" s="47">
        <f t="shared" ref="R27:Y27" si="22">SUM(R28:R34)</f>
        <v>251.905</v>
      </c>
      <c r="S27" s="47">
        <f t="shared" si="22"/>
        <v>251.905</v>
      </c>
      <c r="T27" s="47">
        <f t="shared" si="22"/>
        <v>2904.136</v>
      </c>
      <c r="U27" s="47">
        <f t="shared" si="22"/>
        <v>438.42</v>
      </c>
      <c r="V27" s="47">
        <f t="shared" si="22"/>
        <v>0</v>
      </c>
      <c r="W27" s="47">
        <f>SUM(W28:W34)</f>
        <v>209.137</v>
      </c>
      <c r="X27" s="47">
        <f t="shared" si="22"/>
        <v>0</v>
      </c>
      <c r="Y27" s="47">
        <f t="shared" si="22"/>
        <v>592.0329999999999</v>
      </c>
      <c r="Z27" s="47">
        <f>SUM(Z28:Z34)</f>
        <v>1809.8739999999998</v>
      </c>
      <c r="AA27" s="47">
        <f>SUM(AA28:AA34)</f>
        <v>386.46800000000002</v>
      </c>
      <c r="AB27" s="47">
        <f>SUM(AB28:AB34)</f>
        <v>303.86</v>
      </c>
      <c r="AC27" s="47">
        <f t="shared" ref="AC27:AD27" si="23">SUM(AC28:AC34)</f>
        <v>408.21500000000003</v>
      </c>
      <c r="AD27" s="47">
        <f t="shared" si="23"/>
        <v>711.33100000000002</v>
      </c>
      <c r="AE27" s="47">
        <f>SUM(AE28:AE34)</f>
        <v>0</v>
      </c>
      <c r="AF27" s="47">
        <f>SUM(AF28:AF34)</f>
        <v>0</v>
      </c>
      <c r="AG27" s="47">
        <f t="shared" ref="AG27:AI27" si="24">SUM(AG28:AG34)</f>
        <v>0</v>
      </c>
      <c r="AH27" s="47">
        <f t="shared" si="24"/>
        <v>0</v>
      </c>
      <c r="AI27" s="47">
        <f t="shared" si="24"/>
        <v>0</v>
      </c>
      <c r="AJ27" s="47">
        <v>0</v>
      </c>
      <c r="AK27" s="47">
        <v>0</v>
      </c>
      <c r="AL27" s="47">
        <v>0</v>
      </c>
      <c r="AM27" s="47">
        <v>0</v>
      </c>
      <c r="AN27" s="47">
        <v>0</v>
      </c>
      <c r="AO27" s="1077"/>
      <c r="AP27" s="1064"/>
    </row>
    <row r="28" spans="1:42" s="100" customFormat="1" ht="25.5" customHeight="1">
      <c r="A28" s="938"/>
      <c r="B28" s="369" t="s">
        <v>220</v>
      </c>
      <c r="C28" s="93"/>
      <c r="D28" s="93"/>
      <c r="E28" s="93"/>
      <c r="F28" s="94"/>
      <c r="G28" s="93"/>
      <c r="H28" s="93"/>
      <c r="I28" s="276">
        <f>R27+T27+V27</f>
        <v>3156.0410000000002</v>
      </c>
      <c r="J28" s="96"/>
      <c r="K28" s="97"/>
      <c r="L28" s="98"/>
      <c r="M28" s="99"/>
      <c r="N28" s="99"/>
      <c r="O28" s="99"/>
      <c r="P28" s="99">
        <f>R28+T28+V28+X28</f>
        <v>591</v>
      </c>
      <c r="Q28" s="99">
        <f>S28+U28+W28+Y28</f>
        <v>988.99800000000005</v>
      </c>
      <c r="R28" s="99">
        <f t="shared" ref="R28:R29" si="25">S28</f>
        <v>197</v>
      </c>
      <c r="S28" s="99">
        <f>98.5+98.5</f>
        <v>197</v>
      </c>
      <c r="T28" s="99">
        <v>394</v>
      </c>
      <c r="U28" s="99">
        <v>394</v>
      </c>
      <c r="V28" s="99">
        <v>0</v>
      </c>
      <c r="W28" s="99">
        <f>66.333+66.333+66.333</f>
        <v>198.999</v>
      </c>
      <c r="X28" s="99">
        <v>0</v>
      </c>
      <c r="Y28" s="99">
        <v>198.999</v>
      </c>
      <c r="Z28" s="99">
        <f>AA28+AB28+AC28+AD28</f>
        <v>988.99800000000005</v>
      </c>
      <c r="AA28" s="99">
        <f>98.5+98.5+98.5</f>
        <v>295.5</v>
      </c>
      <c r="AB28" s="99">
        <v>295.5</v>
      </c>
      <c r="AC28" s="99">
        <f>66.333+66.333+66.333</f>
        <v>198.999</v>
      </c>
      <c r="AD28" s="99">
        <v>198.999</v>
      </c>
      <c r="AE28" s="99">
        <f t="shared" ref="AE28:AE34" si="26">SUM(AF28:AF28)</f>
        <v>0</v>
      </c>
      <c r="AF28" s="99"/>
      <c r="AG28" s="99"/>
      <c r="AH28" s="99"/>
      <c r="AI28" s="99"/>
      <c r="AJ28" s="99"/>
      <c r="AK28" s="99"/>
      <c r="AL28" s="99"/>
      <c r="AM28" s="99"/>
      <c r="AN28" s="99"/>
      <c r="AO28" s="1078"/>
      <c r="AP28" s="1064"/>
    </row>
    <row r="29" spans="1:42" s="100" customFormat="1" ht="15" customHeight="1">
      <c r="A29" s="938"/>
      <c r="B29" s="369" t="s">
        <v>221</v>
      </c>
      <c r="C29" s="93"/>
      <c r="D29" s="93"/>
      <c r="E29" s="93"/>
      <c r="F29" s="94"/>
      <c r="G29" s="93"/>
      <c r="H29" s="93"/>
      <c r="I29" s="276">
        <f>S27+U27+W27</f>
        <v>899.46199999999999</v>
      </c>
      <c r="J29" s="96"/>
      <c r="K29" s="97"/>
      <c r="L29" s="98"/>
      <c r="M29" s="99"/>
      <c r="N29" s="99"/>
      <c r="O29" s="99"/>
      <c r="P29" s="99">
        <f>Q29</f>
        <v>99.471000000000004</v>
      </c>
      <c r="Q29" s="99">
        <f>S29+U29+W29+Y29</f>
        <v>99.471000000000004</v>
      </c>
      <c r="R29" s="99">
        <f t="shared" si="25"/>
        <v>0</v>
      </c>
      <c r="S29" s="99">
        <v>0</v>
      </c>
      <c r="T29" s="99">
        <v>17.989999999999998</v>
      </c>
      <c r="U29" s="99">
        <v>17.989999999999998</v>
      </c>
      <c r="V29" s="99">
        <v>0</v>
      </c>
      <c r="W29" s="99">
        <v>10.138</v>
      </c>
      <c r="X29" s="99">
        <v>0</v>
      </c>
      <c r="Y29" s="99">
        <v>71.343000000000004</v>
      </c>
      <c r="Z29" s="99">
        <f>AA29+AB29+AC29+AD29</f>
        <v>304.40099999999995</v>
      </c>
      <c r="AA29" s="99">
        <f>5.937+12.05</f>
        <v>17.987000000000002</v>
      </c>
      <c r="AB29" s="99"/>
      <c r="AC29" s="99">
        <f>3.36+6.778+23.315+48.028</f>
        <v>81.480999999999995</v>
      </c>
      <c r="AD29" s="99">
        <v>204.93299999999999</v>
      </c>
      <c r="AE29" s="99">
        <f t="shared" si="26"/>
        <v>0</v>
      </c>
      <c r="AF29" s="99"/>
      <c r="AG29" s="99"/>
      <c r="AH29" s="99"/>
      <c r="AI29" s="99"/>
      <c r="AJ29" s="99"/>
      <c r="AK29" s="99"/>
      <c r="AL29" s="99"/>
      <c r="AM29" s="99"/>
      <c r="AN29" s="99"/>
      <c r="AO29" s="1078"/>
      <c r="AP29" s="1064"/>
    </row>
    <row r="30" spans="1:42" s="100" customFormat="1" ht="15" customHeight="1">
      <c r="A30" s="938"/>
      <c r="B30" s="369" t="s">
        <v>222</v>
      </c>
      <c r="C30" s="93"/>
      <c r="D30" s="93"/>
      <c r="E30" s="93"/>
      <c r="F30" s="94"/>
      <c r="G30" s="93"/>
      <c r="H30" s="93"/>
      <c r="I30" s="95"/>
      <c r="J30" s="96"/>
      <c r="K30" s="97"/>
      <c r="L30" s="98"/>
      <c r="M30" s="99"/>
      <c r="N30" s="99"/>
      <c r="O30" s="99"/>
      <c r="P30" s="99">
        <f t="shared" ref="P30:P31" si="27">R30</f>
        <v>54.905000000000001</v>
      </c>
      <c r="Q30" s="99">
        <f t="shared" ref="Q30:Q32" si="28">S30+U30+W30+Y30</f>
        <v>403.02599999999995</v>
      </c>
      <c r="R30" s="99">
        <f>S30</f>
        <v>54.905000000000001</v>
      </c>
      <c r="S30" s="99">
        <f>8.905+46</f>
        <v>54.905000000000001</v>
      </c>
      <c r="T30" s="99">
        <f>U30</f>
        <v>26.43</v>
      </c>
      <c r="U30" s="99">
        <v>26.43</v>
      </c>
      <c r="V30" s="99">
        <v>0</v>
      </c>
      <c r="W30" s="99">
        <v>0</v>
      </c>
      <c r="X30" s="99">
        <v>0</v>
      </c>
      <c r="Y30" s="99">
        <v>321.69099999999997</v>
      </c>
      <c r="Z30" s="99">
        <f>AA30+AB30+AC30+AD30</f>
        <v>516.47500000000002</v>
      </c>
      <c r="AA30" s="99">
        <f>46+8.905+18.076</f>
        <v>72.980999999999995</v>
      </c>
      <c r="AB30" s="99">
        <v>8.36</v>
      </c>
      <c r="AC30" s="99">
        <v>127.735</v>
      </c>
      <c r="AD30" s="99">
        <v>307.399</v>
      </c>
      <c r="AE30" s="99">
        <f t="shared" si="26"/>
        <v>0</v>
      </c>
      <c r="AF30" s="99"/>
      <c r="AG30" s="99"/>
      <c r="AH30" s="99"/>
      <c r="AI30" s="99"/>
      <c r="AJ30" s="99"/>
      <c r="AK30" s="99"/>
      <c r="AL30" s="99"/>
      <c r="AM30" s="99"/>
      <c r="AN30" s="99"/>
      <c r="AO30" s="1078"/>
      <c r="AP30" s="1064"/>
    </row>
    <row r="31" spans="1:42" s="100" customFormat="1" ht="15" customHeight="1">
      <c r="A31" s="938"/>
      <c r="B31" s="369" t="s">
        <v>223</v>
      </c>
      <c r="C31" s="93"/>
      <c r="D31" s="93"/>
      <c r="E31" s="93"/>
      <c r="F31" s="94"/>
      <c r="G31" s="93"/>
      <c r="H31" s="93"/>
      <c r="I31" s="95"/>
      <c r="J31" s="96"/>
      <c r="K31" s="97"/>
      <c r="L31" s="98"/>
      <c r="M31" s="99"/>
      <c r="N31" s="99"/>
      <c r="O31" s="99"/>
      <c r="P31" s="99">
        <f t="shared" si="27"/>
        <v>0</v>
      </c>
      <c r="Q31" s="99">
        <f t="shared" si="28"/>
        <v>0</v>
      </c>
      <c r="R31" s="99">
        <v>0</v>
      </c>
      <c r="S31" s="99">
        <v>0</v>
      </c>
      <c r="T31" s="99">
        <v>0</v>
      </c>
      <c r="U31" s="99">
        <v>0</v>
      </c>
      <c r="V31" s="99">
        <v>0</v>
      </c>
      <c r="W31" s="99">
        <v>0</v>
      </c>
      <c r="X31" s="99">
        <v>0</v>
      </c>
      <c r="Y31" s="99">
        <v>0</v>
      </c>
      <c r="Z31" s="99">
        <f t="shared" ref="Z31:Z33" si="29">AA31+AB31+AC31</f>
        <v>0</v>
      </c>
      <c r="AA31" s="99">
        <v>0</v>
      </c>
      <c r="AB31" s="99"/>
      <c r="AC31" s="99"/>
      <c r="AD31" s="99"/>
      <c r="AE31" s="99">
        <f t="shared" si="26"/>
        <v>0</v>
      </c>
      <c r="AF31" s="99"/>
      <c r="AG31" s="99"/>
      <c r="AH31" s="99"/>
      <c r="AI31" s="99"/>
      <c r="AJ31" s="99"/>
      <c r="AK31" s="99"/>
      <c r="AL31" s="99"/>
      <c r="AM31" s="99"/>
      <c r="AN31" s="99"/>
      <c r="AO31" s="1078"/>
      <c r="AP31" s="1064"/>
    </row>
    <row r="32" spans="1:42" s="100" customFormat="1" ht="15" customHeight="1">
      <c r="A32" s="938"/>
      <c r="B32" s="369" t="s">
        <v>269</v>
      </c>
      <c r="C32" s="93"/>
      <c r="D32" s="93"/>
      <c r="E32" s="93"/>
      <c r="F32" s="94"/>
      <c r="G32" s="93"/>
      <c r="H32" s="93"/>
      <c r="I32" s="95"/>
      <c r="J32" s="96"/>
      <c r="K32" s="97"/>
      <c r="L32" s="98"/>
      <c r="M32" s="99"/>
      <c r="N32" s="99"/>
      <c r="O32" s="99"/>
      <c r="P32" s="99">
        <v>0</v>
      </c>
      <c r="Q32" s="99">
        <f t="shared" si="28"/>
        <v>0</v>
      </c>
      <c r="R32" s="99">
        <v>0</v>
      </c>
      <c r="S32" s="99">
        <v>0</v>
      </c>
      <c r="T32" s="99">
        <v>0</v>
      </c>
      <c r="U32" s="99">
        <v>0</v>
      </c>
      <c r="V32" s="99">
        <v>0</v>
      </c>
      <c r="W32" s="99">
        <v>0</v>
      </c>
      <c r="X32" s="99">
        <v>0</v>
      </c>
      <c r="Y32" s="99">
        <v>0</v>
      </c>
      <c r="Z32" s="99">
        <f t="shared" si="29"/>
        <v>0</v>
      </c>
      <c r="AA32" s="99">
        <v>0</v>
      </c>
      <c r="AB32" s="99"/>
      <c r="AC32" s="99"/>
      <c r="AD32" s="99"/>
      <c r="AE32" s="99">
        <f t="shared" si="26"/>
        <v>0</v>
      </c>
      <c r="AF32" s="99"/>
      <c r="AG32" s="99"/>
      <c r="AH32" s="99"/>
      <c r="AI32" s="99"/>
      <c r="AJ32" s="99"/>
      <c r="AK32" s="99"/>
      <c r="AL32" s="99"/>
      <c r="AM32" s="99"/>
      <c r="AN32" s="99"/>
      <c r="AO32" s="1078"/>
      <c r="AP32" s="1064"/>
    </row>
    <row r="33" spans="1:42" s="100" customFormat="1" ht="15" customHeight="1">
      <c r="A33" s="938"/>
      <c r="B33" s="369" t="s">
        <v>228</v>
      </c>
      <c r="C33" s="93"/>
      <c r="D33" s="93"/>
      <c r="E33" s="93"/>
      <c r="F33" s="94"/>
      <c r="G33" s="93"/>
      <c r="H33" s="93"/>
      <c r="I33" s="95"/>
      <c r="J33" s="96"/>
      <c r="K33" s="97"/>
      <c r="L33" s="98"/>
      <c r="M33" s="99"/>
      <c r="N33" s="99"/>
      <c r="O33" s="99"/>
      <c r="P33" s="99">
        <v>0</v>
      </c>
      <c r="Q33" s="99">
        <f>S33+U33+W33+Y33</f>
        <v>0</v>
      </c>
      <c r="R33" s="99">
        <v>0</v>
      </c>
      <c r="S33" s="99">
        <v>0</v>
      </c>
      <c r="T33" s="99">
        <v>0</v>
      </c>
      <c r="U33" s="99">
        <v>0</v>
      </c>
      <c r="V33" s="99">
        <v>0</v>
      </c>
      <c r="W33" s="99">
        <v>0</v>
      </c>
      <c r="X33" s="99">
        <v>0</v>
      </c>
      <c r="Y33" s="99">
        <v>0</v>
      </c>
      <c r="Z33" s="99">
        <f t="shared" si="29"/>
        <v>0</v>
      </c>
      <c r="AA33" s="99">
        <v>0</v>
      </c>
      <c r="AB33" s="99"/>
      <c r="AC33" s="99"/>
      <c r="AD33" s="99"/>
      <c r="AE33" s="99">
        <f t="shared" si="26"/>
        <v>0</v>
      </c>
      <c r="AF33" s="99"/>
      <c r="AG33" s="99"/>
      <c r="AH33" s="99"/>
      <c r="AI33" s="99"/>
      <c r="AJ33" s="99"/>
      <c r="AK33" s="99"/>
      <c r="AL33" s="99"/>
      <c r="AM33" s="99"/>
      <c r="AN33" s="99"/>
      <c r="AO33" s="1078"/>
      <c r="AP33" s="1064"/>
    </row>
    <row r="34" spans="1:42" s="100" customFormat="1" ht="31.5" customHeight="1">
      <c r="A34" s="938"/>
      <c r="B34" s="369" t="s">
        <v>226</v>
      </c>
      <c r="C34" s="93"/>
      <c r="D34" s="93"/>
      <c r="E34" s="93"/>
      <c r="F34" s="94"/>
      <c r="G34" s="93"/>
      <c r="H34" s="93"/>
      <c r="I34" s="95"/>
      <c r="J34" s="96"/>
      <c r="K34" s="97"/>
      <c r="L34" s="98"/>
      <c r="M34" s="99"/>
      <c r="N34" s="99"/>
      <c r="O34" s="99"/>
      <c r="P34" s="99">
        <f>R34</f>
        <v>0</v>
      </c>
      <c r="Q34" s="99">
        <f>S34+U34+W34+Y34</f>
        <v>0</v>
      </c>
      <c r="R34" s="99">
        <f>S34</f>
        <v>0</v>
      </c>
      <c r="S34" s="99">
        <v>0</v>
      </c>
      <c r="T34" s="99">
        <v>2465.7159999999999</v>
      </c>
      <c r="U34" s="99">
        <v>0</v>
      </c>
      <c r="V34" s="99">
        <v>0</v>
      </c>
      <c r="W34" s="99">
        <v>0</v>
      </c>
      <c r="X34" s="99">
        <v>0</v>
      </c>
      <c r="Y34" s="99">
        <v>0</v>
      </c>
      <c r="Z34" s="99">
        <f>SUM(AA34:AD34)</f>
        <v>0</v>
      </c>
      <c r="AA34" s="99">
        <v>0</v>
      </c>
      <c r="AB34" s="99">
        <v>0</v>
      </c>
      <c r="AC34" s="99">
        <v>0</v>
      </c>
      <c r="AD34" s="99">
        <v>0</v>
      </c>
      <c r="AE34" s="99">
        <f t="shared" si="26"/>
        <v>0</v>
      </c>
      <c r="AF34" s="99"/>
      <c r="AG34" s="99"/>
      <c r="AH34" s="99"/>
      <c r="AI34" s="99"/>
      <c r="AJ34" s="99"/>
      <c r="AK34" s="99"/>
      <c r="AL34" s="99"/>
      <c r="AM34" s="99"/>
      <c r="AN34" s="99"/>
      <c r="AO34" s="1078"/>
      <c r="AP34" s="1064"/>
    </row>
    <row r="35" spans="1:42" ht="29.25" customHeight="1">
      <c r="A35" s="938"/>
      <c r="B35" s="459"/>
      <c r="C35" s="522"/>
      <c r="D35" s="522"/>
      <c r="E35" s="522"/>
      <c r="F35" s="551"/>
      <c r="G35" s="522"/>
      <c r="H35" s="522"/>
      <c r="I35" s="15" t="s">
        <v>9</v>
      </c>
      <c r="J35" s="539">
        <f>K35</f>
        <v>702203.72</v>
      </c>
      <c r="K35" s="29">
        <v>702203.72</v>
      </c>
      <c r="L35" s="74">
        <v>789617.84</v>
      </c>
      <c r="M35" s="74">
        <v>348941.19</v>
      </c>
      <c r="N35" s="74">
        <v>196473.11</v>
      </c>
      <c r="O35" s="74">
        <v>0</v>
      </c>
      <c r="P35" s="74">
        <f>N35</f>
        <v>196473.11</v>
      </c>
      <c r="Q35" s="74">
        <f>SUM(Q36:Q36)</f>
        <v>161232.33300000001</v>
      </c>
      <c r="R35" s="74">
        <f>SUM(R36:R36)</f>
        <v>24326.764000000003</v>
      </c>
      <c r="S35" s="74">
        <f>SUM(S36:S36)</f>
        <v>24326.764000000003</v>
      </c>
      <c r="T35" s="74">
        <f t="shared" ref="T35:AI35" si="30">SUM(T36:T36)</f>
        <v>6303.6279999999997</v>
      </c>
      <c r="U35" s="74">
        <f t="shared" si="30"/>
        <v>6303.6279999999997</v>
      </c>
      <c r="V35" s="74">
        <f t="shared" si="30"/>
        <v>0</v>
      </c>
      <c r="W35" s="74">
        <f t="shared" si="30"/>
        <v>39060.368000000002</v>
      </c>
      <c r="X35" s="74">
        <v>0</v>
      </c>
      <c r="Y35" s="74">
        <f t="shared" si="30"/>
        <v>91541.573000000004</v>
      </c>
      <c r="Z35" s="74">
        <f t="shared" si="30"/>
        <v>156823.72700000001</v>
      </c>
      <c r="AA35" s="74">
        <f>SUM(AA36:AA36)</f>
        <v>11778.966</v>
      </c>
      <c r="AB35" s="74">
        <f>SUM(AB36:AB36)</f>
        <v>6906.8810000000003</v>
      </c>
      <c r="AC35" s="74">
        <f t="shared" ref="AC35:AD35" si="31">SUM(AC36:AC36)</f>
        <v>65303.288</v>
      </c>
      <c r="AD35" s="74">
        <f t="shared" si="31"/>
        <v>72834.592000000004</v>
      </c>
      <c r="AE35" s="74">
        <f t="shared" si="30"/>
        <v>0</v>
      </c>
      <c r="AF35" s="74">
        <f t="shared" si="30"/>
        <v>0</v>
      </c>
      <c r="AG35" s="74">
        <f t="shared" si="30"/>
        <v>0</v>
      </c>
      <c r="AH35" s="74">
        <f t="shared" si="30"/>
        <v>0</v>
      </c>
      <c r="AI35" s="74">
        <f t="shared" si="30"/>
        <v>0</v>
      </c>
      <c r="AJ35" s="74">
        <v>0</v>
      </c>
      <c r="AK35" s="74">
        <v>0</v>
      </c>
      <c r="AL35" s="74">
        <v>0</v>
      </c>
      <c r="AM35" s="74">
        <v>0</v>
      </c>
      <c r="AN35" s="74">
        <v>0</v>
      </c>
      <c r="AO35" s="1078"/>
      <c r="AP35" s="1064"/>
    </row>
    <row r="36" spans="1:42" s="100" customFormat="1" ht="15.75" customHeight="1">
      <c r="A36" s="329"/>
      <c r="B36" s="437" t="s">
        <v>253</v>
      </c>
      <c r="C36" s="93"/>
      <c r="D36" s="93"/>
      <c r="E36" s="93"/>
      <c r="F36" s="94"/>
      <c r="G36" s="93"/>
      <c r="H36" s="93"/>
      <c r="I36" s="104"/>
      <c r="J36" s="101"/>
      <c r="K36" s="102"/>
      <c r="L36" s="103"/>
      <c r="M36" s="103"/>
      <c r="N36" s="103"/>
      <c r="O36" s="103"/>
      <c r="P36" s="99">
        <f>Q36</f>
        <v>161232.33300000001</v>
      </c>
      <c r="Q36" s="99">
        <f>S36+U36+W36+Y36</f>
        <v>161232.33300000001</v>
      </c>
      <c r="R36" s="99">
        <f>S36</f>
        <v>24326.764000000003</v>
      </c>
      <c r="S36" s="103">
        <f>15333.514+2968.295+6024.955</f>
        <v>24326.764000000003</v>
      </c>
      <c r="T36" s="103">
        <v>6303.6279999999997</v>
      </c>
      <c r="U36" s="103">
        <v>6303.6279999999997</v>
      </c>
      <c r="V36" s="103">
        <v>0</v>
      </c>
      <c r="W36" s="103">
        <f>3388.969+11657.579+24013.82</f>
        <v>39060.368000000002</v>
      </c>
      <c r="X36" s="103">
        <v>0</v>
      </c>
      <c r="Y36" s="103">
        <v>91541.573000000004</v>
      </c>
      <c r="Z36" s="99">
        <f>SUM(AA36:AD36)</f>
        <v>156823.72700000001</v>
      </c>
      <c r="AA36" s="103">
        <f>2968.295+6024.955+2785.716</f>
        <v>11778.966</v>
      </c>
      <c r="AB36" s="103">
        <v>6906.8810000000003</v>
      </c>
      <c r="AC36" s="103">
        <f>11657.579+24013.82+29631.889</f>
        <v>65303.288</v>
      </c>
      <c r="AD36" s="103">
        <v>72834.592000000004</v>
      </c>
      <c r="AE36" s="99">
        <f>SUM(AF36:AF36)</f>
        <v>0</v>
      </c>
      <c r="AF36" s="103"/>
      <c r="AG36" s="103"/>
      <c r="AH36" s="103"/>
      <c r="AI36" s="103"/>
      <c r="AJ36" s="103"/>
      <c r="AK36" s="103"/>
      <c r="AL36" s="103"/>
      <c r="AM36" s="103"/>
      <c r="AN36" s="103"/>
      <c r="AO36" s="1078"/>
      <c r="AP36" s="1064"/>
    </row>
    <row r="37" spans="1:42" ht="25.5">
      <c r="A37" s="547"/>
      <c r="B37" s="459"/>
      <c r="C37" s="522"/>
      <c r="D37" s="522"/>
      <c r="E37" s="522"/>
      <c r="F37" s="551"/>
      <c r="G37" s="522"/>
      <c r="H37" s="522"/>
      <c r="I37" s="537" t="s">
        <v>10</v>
      </c>
      <c r="J37" s="535"/>
      <c r="K37" s="290"/>
      <c r="L37" s="74">
        <f>SUM(L38:L39)</f>
        <v>172003.82</v>
      </c>
      <c r="M37" s="74">
        <v>135504.01</v>
      </c>
      <c r="N37" s="74">
        <f>SUM(N38:N39)</f>
        <v>36499.81</v>
      </c>
      <c r="O37" s="74">
        <v>0</v>
      </c>
      <c r="P37" s="74">
        <f>N37</f>
        <v>36499.81</v>
      </c>
      <c r="Q37" s="47">
        <f>SUM(Q38:Q39)</f>
        <v>0</v>
      </c>
      <c r="R37" s="47">
        <f t="shared" ref="R37:AI37" si="32">SUM(R38:R39)</f>
        <v>0</v>
      </c>
      <c r="S37" s="47">
        <f t="shared" si="32"/>
        <v>0</v>
      </c>
      <c r="T37" s="47">
        <f t="shared" si="32"/>
        <v>0</v>
      </c>
      <c r="U37" s="47">
        <f t="shared" si="32"/>
        <v>0</v>
      </c>
      <c r="V37" s="47">
        <f t="shared" si="32"/>
        <v>0</v>
      </c>
      <c r="W37" s="47">
        <f t="shared" si="32"/>
        <v>0</v>
      </c>
      <c r="X37" s="47">
        <v>0</v>
      </c>
      <c r="Y37" s="47">
        <f t="shared" si="32"/>
        <v>0</v>
      </c>
      <c r="Z37" s="47">
        <f t="shared" si="32"/>
        <v>0</v>
      </c>
      <c r="AA37" s="47">
        <f t="shared" si="32"/>
        <v>0</v>
      </c>
      <c r="AB37" s="47">
        <f t="shared" si="32"/>
        <v>0</v>
      </c>
      <c r="AC37" s="47">
        <f t="shared" si="32"/>
        <v>0</v>
      </c>
      <c r="AD37" s="47">
        <f t="shared" si="32"/>
        <v>0</v>
      </c>
      <c r="AE37" s="47">
        <f t="shared" si="32"/>
        <v>0</v>
      </c>
      <c r="AF37" s="47">
        <f t="shared" si="32"/>
        <v>0</v>
      </c>
      <c r="AG37" s="47">
        <f t="shared" si="32"/>
        <v>0</v>
      </c>
      <c r="AH37" s="47">
        <f t="shared" si="32"/>
        <v>0</v>
      </c>
      <c r="AI37" s="47">
        <f t="shared" si="32"/>
        <v>0</v>
      </c>
      <c r="AJ37" s="74"/>
      <c r="AK37" s="74"/>
      <c r="AL37" s="74"/>
      <c r="AM37" s="74"/>
      <c r="AN37" s="74"/>
      <c r="AO37" s="1079"/>
      <c r="AP37" s="1064"/>
    </row>
    <row r="38" spans="1:42">
      <c r="A38" s="547"/>
      <c r="B38" s="495" t="s">
        <v>224</v>
      </c>
      <c r="C38" s="522"/>
      <c r="D38" s="522"/>
      <c r="E38" s="522"/>
      <c r="F38" s="551"/>
      <c r="G38" s="522"/>
      <c r="H38" s="522"/>
      <c r="I38" s="537"/>
      <c r="J38" s="535"/>
      <c r="K38" s="290"/>
      <c r="L38" s="74">
        <v>90003.82</v>
      </c>
      <c r="M38" s="74"/>
      <c r="N38" s="74">
        <v>62531.64</v>
      </c>
      <c r="O38" s="74"/>
      <c r="P38" s="47">
        <f t="shared" ref="P38:P39" si="33">Q38</f>
        <v>0</v>
      </c>
      <c r="Q38" s="47">
        <f>S38+U38+W38+Y38</f>
        <v>0</v>
      </c>
      <c r="R38" s="74">
        <v>0</v>
      </c>
      <c r="S38" s="74">
        <v>0</v>
      </c>
      <c r="T38" s="74">
        <v>0</v>
      </c>
      <c r="U38" s="74">
        <v>0</v>
      </c>
      <c r="V38" s="74">
        <v>0</v>
      </c>
      <c r="W38" s="74">
        <v>0</v>
      </c>
      <c r="X38" s="74">
        <v>0</v>
      </c>
      <c r="Y38" s="74">
        <v>0</v>
      </c>
      <c r="Z38" s="74">
        <v>0</v>
      </c>
      <c r="AA38" s="74">
        <v>0</v>
      </c>
      <c r="AB38" s="74"/>
      <c r="AC38" s="74"/>
      <c r="AD38" s="74"/>
      <c r="AE38" s="47">
        <f>SUM(AF38:AF38)</f>
        <v>0</v>
      </c>
      <c r="AF38" s="74"/>
      <c r="AG38" s="74"/>
      <c r="AH38" s="74"/>
      <c r="AI38" s="74"/>
      <c r="AJ38" s="74"/>
      <c r="AK38" s="74"/>
      <c r="AL38" s="74"/>
      <c r="AM38" s="74"/>
      <c r="AN38" s="74"/>
      <c r="AO38" s="612"/>
      <c r="AP38" s="1064"/>
    </row>
    <row r="39" spans="1:42">
      <c r="A39" s="547"/>
      <c r="B39" s="495" t="s">
        <v>225</v>
      </c>
      <c r="C39" s="522"/>
      <c r="D39" s="522"/>
      <c r="E39" s="522"/>
      <c r="F39" s="551"/>
      <c r="G39" s="522"/>
      <c r="H39" s="522"/>
      <c r="I39" s="537"/>
      <c r="J39" s="535"/>
      <c r="K39" s="290"/>
      <c r="L39" s="74">
        <v>82000</v>
      </c>
      <c r="M39" s="74"/>
      <c r="N39" s="74">
        <v>-26031.83</v>
      </c>
      <c r="O39" s="74"/>
      <c r="P39" s="47">
        <f t="shared" si="33"/>
        <v>0</v>
      </c>
      <c r="Q39" s="47">
        <f>S39+U39+W39</f>
        <v>0</v>
      </c>
      <c r="R39" s="74">
        <v>0</v>
      </c>
      <c r="S39" s="74">
        <v>0</v>
      </c>
      <c r="T39" s="74">
        <v>0</v>
      </c>
      <c r="U39" s="74">
        <v>0</v>
      </c>
      <c r="V39" s="74">
        <v>0</v>
      </c>
      <c r="W39" s="74">
        <v>0</v>
      </c>
      <c r="X39" s="74">
        <v>0</v>
      </c>
      <c r="Y39" s="74">
        <v>0</v>
      </c>
      <c r="Z39" s="74">
        <v>0</v>
      </c>
      <c r="AA39" s="74">
        <v>0</v>
      </c>
      <c r="AB39" s="74"/>
      <c r="AC39" s="74"/>
      <c r="AD39" s="74"/>
      <c r="AE39" s="47">
        <f>SUM(AF39:AF39)</f>
        <v>0</v>
      </c>
      <c r="AF39" s="74"/>
      <c r="AG39" s="74"/>
      <c r="AH39" s="74"/>
      <c r="AI39" s="74"/>
      <c r="AJ39" s="74"/>
      <c r="AK39" s="74"/>
      <c r="AL39" s="74"/>
      <c r="AM39" s="74"/>
      <c r="AN39" s="74"/>
      <c r="AO39" s="612"/>
      <c r="AP39" s="992"/>
    </row>
    <row r="40" spans="1:42" ht="38.25">
      <c r="A40" s="937" t="s">
        <v>33</v>
      </c>
      <c r="B40" s="80" t="s">
        <v>28</v>
      </c>
      <c r="C40" s="30"/>
      <c r="D40" s="30"/>
      <c r="E40" s="30"/>
      <c r="F40" s="31">
        <v>30000</v>
      </c>
      <c r="G40" s="543"/>
      <c r="H40" s="543"/>
      <c r="I40" s="820" t="s">
        <v>19</v>
      </c>
      <c r="J40" s="882">
        <f>K40+L40</f>
        <v>260501.25</v>
      </c>
      <c r="K40" s="882">
        <v>0</v>
      </c>
      <c r="L40" s="81">
        <f>L42+L41</f>
        <v>260501.25</v>
      </c>
      <c r="M40" s="81">
        <f>M42+M41</f>
        <v>0</v>
      </c>
      <c r="N40" s="81">
        <f t="shared" ref="N40:O40" si="34">N42+N41</f>
        <v>69943.709999999992</v>
      </c>
      <c r="O40" s="81">
        <f t="shared" si="34"/>
        <v>69943.710000000006</v>
      </c>
      <c r="P40" s="81">
        <f>N40</f>
        <v>69943.709999999992</v>
      </c>
      <c r="Q40" s="81">
        <f t="shared" ref="Q40:AN40" si="35">Q42</f>
        <v>0</v>
      </c>
      <c r="R40" s="81">
        <f t="shared" si="35"/>
        <v>0</v>
      </c>
      <c r="S40" s="81">
        <f t="shared" si="35"/>
        <v>0</v>
      </c>
      <c r="T40" s="81">
        <f t="shared" si="35"/>
        <v>0</v>
      </c>
      <c r="U40" s="81">
        <f t="shared" si="35"/>
        <v>0</v>
      </c>
      <c r="V40" s="81">
        <f t="shared" si="35"/>
        <v>0</v>
      </c>
      <c r="W40" s="81">
        <f t="shared" si="35"/>
        <v>0</v>
      </c>
      <c r="X40" s="81">
        <f t="shared" si="35"/>
        <v>0</v>
      </c>
      <c r="Y40" s="81">
        <f t="shared" si="35"/>
        <v>0</v>
      </c>
      <c r="Z40" s="81">
        <f t="shared" si="35"/>
        <v>0</v>
      </c>
      <c r="AA40" s="81">
        <f t="shared" si="35"/>
        <v>0</v>
      </c>
      <c r="AB40" s="81">
        <f t="shared" si="35"/>
        <v>0</v>
      </c>
      <c r="AC40" s="81">
        <f t="shared" si="35"/>
        <v>0</v>
      </c>
      <c r="AD40" s="81">
        <f t="shared" si="35"/>
        <v>0</v>
      </c>
      <c r="AE40" s="81">
        <f t="shared" si="35"/>
        <v>0</v>
      </c>
      <c r="AF40" s="81">
        <f t="shared" si="35"/>
        <v>0</v>
      </c>
      <c r="AG40" s="81">
        <f t="shared" si="35"/>
        <v>0</v>
      </c>
      <c r="AH40" s="81">
        <f t="shared" si="35"/>
        <v>0</v>
      </c>
      <c r="AI40" s="81">
        <f t="shared" si="35"/>
        <v>0</v>
      </c>
      <c r="AJ40" s="82">
        <f>P40-Q40</f>
        <v>69943.709999999992</v>
      </c>
      <c r="AK40" s="82">
        <f>AJ40</f>
        <v>69943.709999999992</v>
      </c>
      <c r="AL40" s="81">
        <f t="shared" si="35"/>
        <v>0</v>
      </c>
      <c r="AM40" s="81">
        <f t="shared" si="35"/>
        <v>0</v>
      </c>
      <c r="AN40" s="81">
        <f t="shared" si="35"/>
        <v>0</v>
      </c>
      <c r="AO40" s="613" t="s">
        <v>247</v>
      </c>
      <c r="AP40" s="1060"/>
    </row>
    <row r="41" spans="1:42" s="292" customFormat="1" ht="23.25" customHeight="1">
      <c r="A41" s="938"/>
      <c r="B41" s="1" t="s">
        <v>15</v>
      </c>
      <c r="C41" s="293"/>
      <c r="D41" s="293"/>
      <c r="E41" s="293"/>
      <c r="F41" s="294"/>
      <c r="G41" s="543"/>
      <c r="H41" s="543"/>
      <c r="I41" s="822"/>
      <c r="J41" s="917"/>
      <c r="K41" s="917"/>
      <c r="L41" s="75">
        <v>10164.5</v>
      </c>
      <c r="M41" s="75">
        <v>0</v>
      </c>
      <c r="N41" s="75">
        <v>4946.26</v>
      </c>
      <c r="O41" s="75">
        <v>0</v>
      </c>
      <c r="P41" s="75">
        <f>N41+630</f>
        <v>5576.26</v>
      </c>
      <c r="Q41" s="75">
        <v>0</v>
      </c>
      <c r="R41" s="75">
        <v>0</v>
      </c>
      <c r="S41" s="75">
        <v>0</v>
      </c>
      <c r="T41" s="75">
        <v>0</v>
      </c>
      <c r="U41" s="75">
        <v>0</v>
      </c>
      <c r="V41" s="75">
        <v>0</v>
      </c>
      <c r="W41" s="75">
        <v>0</v>
      </c>
      <c r="X41" s="75">
        <v>0</v>
      </c>
      <c r="Y41" s="75">
        <v>0</v>
      </c>
      <c r="Z41" s="75">
        <v>0</v>
      </c>
      <c r="AA41" s="75">
        <v>0</v>
      </c>
      <c r="AB41" s="75">
        <v>0</v>
      </c>
      <c r="AC41" s="75">
        <v>0</v>
      </c>
      <c r="AD41" s="75">
        <v>0</v>
      </c>
      <c r="AE41" s="75">
        <v>0</v>
      </c>
      <c r="AF41" s="75">
        <v>0</v>
      </c>
      <c r="AG41" s="75">
        <v>0</v>
      </c>
      <c r="AH41" s="75">
        <v>0</v>
      </c>
      <c r="AI41" s="75">
        <v>0</v>
      </c>
      <c r="AJ41" s="295">
        <v>0</v>
      </c>
      <c r="AK41" s="295">
        <v>0</v>
      </c>
      <c r="AL41" s="75">
        <v>0</v>
      </c>
      <c r="AM41" s="75">
        <v>0</v>
      </c>
      <c r="AN41" s="75">
        <v>0</v>
      </c>
      <c r="AO41" s="1080"/>
      <c r="AP41" s="1061"/>
    </row>
    <row r="42" spans="1:42" ht="15.75" customHeight="1">
      <c r="A42" s="939"/>
      <c r="B42" s="1" t="s">
        <v>32</v>
      </c>
      <c r="C42" s="30"/>
      <c r="D42" s="30"/>
      <c r="E42" s="30"/>
      <c r="F42" s="32"/>
      <c r="G42" s="543">
        <v>2020</v>
      </c>
      <c r="H42" s="543">
        <v>2021</v>
      </c>
      <c r="I42" s="821"/>
      <c r="J42" s="883"/>
      <c r="K42" s="883"/>
      <c r="L42" s="75">
        <v>250336.75</v>
      </c>
      <c r="M42" s="75">
        <v>0</v>
      </c>
      <c r="N42" s="75">
        <v>64997.45</v>
      </c>
      <c r="O42" s="75">
        <v>69943.710000000006</v>
      </c>
      <c r="P42" s="75">
        <f>N42+4946.265</f>
        <v>69943.714999999997</v>
      </c>
      <c r="Q42" s="75">
        <v>0</v>
      </c>
      <c r="R42" s="75">
        <v>0</v>
      </c>
      <c r="S42" s="75">
        <v>0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75">
        <v>0</v>
      </c>
      <c r="Z42" s="75">
        <v>0</v>
      </c>
      <c r="AA42" s="75">
        <v>0</v>
      </c>
      <c r="AB42" s="75">
        <v>0</v>
      </c>
      <c r="AC42" s="75">
        <v>0</v>
      </c>
      <c r="AD42" s="75">
        <v>0</v>
      </c>
      <c r="AE42" s="75">
        <v>0</v>
      </c>
      <c r="AF42" s="75">
        <v>0</v>
      </c>
      <c r="AG42" s="75">
        <v>0</v>
      </c>
      <c r="AH42" s="75">
        <v>0</v>
      </c>
      <c r="AI42" s="75">
        <v>0</v>
      </c>
      <c r="AJ42" s="75">
        <v>0</v>
      </c>
      <c r="AK42" s="75">
        <v>0</v>
      </c>
      <c r="AL42" s="75">
        <v>0</v>
      </c>
      <c r="AM42" s="75">
        <v>0</v>
      </c>
      <c r="AN42" s="75">
        <v>0</v>
      </c>
      <c r="AO42" s="1081"/>
      <c r="AP42" s="1062"/>
    </row>
    <row r="43" spans="1:42" ht="33" customHeight="1">
      <c r="A43" s="937" t="s">
        <v>37</v>
      </c>
      <c r="B43" s="80" t="s">
        <v>36</v>
      </c>
      <c r="C43" s="30"/>
      <c r="D43" s="30"/>
      <c r="E43" s="30"/>
      <c r="F43" s="32"/>
      <c r="G43" s="543"/>
      <c r="H43" s="543"/>
      <c r="I43" s="820" t="s">
        <v>19</v>
      </c>
      <c r="J43" s="33">
        <v>344081.28</v>
      </c>
      <c r="K43" s="809">
        <v>0</v>
      </c>
      <c r="L43" s="79">
        <f>L44+L46</f>
        <v>368435.18</v>
      </c>
      <c r="M43" s="79">
        <f>M44+M46</f>
        <v>20243.12</v>
      </c>
      <c r="N43" s="79">
        <f>N44+N46</f>
        <v>13773.23</v>
      </c>
      <c r="O43" s="79">
        <f t="shared" ref="O43" si="36">O44+O46</f>
        <v>8942.9699999999993</v>
      </c>
      <c r="P43" s="79">
        <f>N43</f>
        <v>13773.23</v>
      </c>
      <c r="Q43" s="79">
        <f t="shared" ref="Q43:AN43" si="37">Q44+Q46</f>
        <v>5</v>
      </c>
      <c r="R43" s="79">
        <f t="shared" si="37"/>
        <v>0</v>
      </c>
      <c r="S43" s="79">
        <f t="shared" si="37"/>
        <v>0</v>
      </c>
      <c r="T43" s="79">
        <f t="shared" si="37"/>
        <v>0</v>
      </c>
      <c r="U43" s="79">
        <f t="shared" si="37"/>
        <v>0</v>
      </c>
      <c r="V43" s="79">
        <f t="shared" si="37"/>
        <v>0</v>
      </c>
      <c r="W43" s="79">
        <f t="shared" si="37"/>
        <v>0</v>
      </c>
      <c r="X43" s="79">
        <f t="shared" si="37"/>
        <v>5</v>
      </c>
      <c r="Y43" s="79">
        <f t="shared" si="37"/>
        <v>5</v>
      </c>
      <c r="Z43" s="79">
        <f t="shared" si="37"/>
        <v>5</v>
      </c>
      <c r="AA43" s="79">
        <f t="shared" si="37"/>
        <v>0</v>
      </c>
      <c r="AB43" s="79">
        <f t="shared" si="37"/>
        <v>0</v>
      </c>
      <c r="AC43" s="79">
        <f t="shared" si="37"/>
        <v>0</v>
      </c>
      <c r="AD43" s="79">
        <f t="shared" si="37"/>
        <v>5</v>
      </c>
      <c r="AE43" s="79">
        <f t="shared" si="37"/>
        <v>0</v>
      </c>
      <c r="AF43" s="79">
        <f t="shared" si="37"/>
        <v>0</v>
      </c>
      <c r="AG43" s="79">
        <f t="shared" si="37"/>
        <v>0</v>
      </c>
      <c r="AH43" s="79">
        <f t="shared" si="37"/>
        <v>0</v>
      </c>
      <c r="AI43" s="79">
        <f t="shared" si="37"/>
        <v>0</v>
      </c>
      <c r="AJ43" s="79">
        <f>P43-Q43</f>
        <v>13768.23</v>
      </c>
      <c r="AK43" s="79">
        <f>AJ43</f>
        <v>13768.23</v>
      </c>
      <c r="AL43" s="79">
        <f>ROUND((Q43*100%/P43*100),2)</f>
        <v>0.04</v>
      </c>
      <c r="AM43" s="79">
        <f t="shared" si="37"/>
        <v>0</v>
      </c>
      <c r="AN43" s="79">
        <f t="shared" si="37"/>
        <v>0</v>
      </c>
      <c r="AO43" s="614" t="s">
        <v>250</v>
      </c>
      <c r="AP43" s="1060"/>
    </row>
    <row r="44" spans="1:42" ht="15" customHeight="1">
      <c r="A44" s="938"/>
      <c r="B44" s="1" t="s">
        <v>15</v>
      </c>
      <c r="C44" s="30"/>
      <c r="D44" s="30"/>
      <c r="E44" s="30"/>
      <c r="F44" s="32"/>
      <c r="G44" s="543">
        <v>2019</v>
      </c>
      <c r="H44" s="543">
        <v>2019</v>
      </c>
      <c r="I44" s="822"/>
      <c r="J44" s="16">
        <v>31543.64</v>
      </c>
      <c r="K44" s="810"/>
      <c r="L44" s="47">
        <f>SUM(M44:O44)</f>
        <v>31543.64</v>
      </c>
      <c r="M44" s="4">
        <v>20243.12</v>
      </c>
      <c r="N44" s="4">
        <v>11300.52</v>
      </c>
      <c r="O44" s="4">
        <v>0</v>
      </c>
      <c r="P44" s="4">
        <f>N44*1.2</f>
        <v>13560.624</v>
      </c>
      <c r="Q44" s="4">
        <f>Q45</f>
        <v>5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f>X45</f>
        <v>5</v>
      </c>
      <c r="Y44" s="4">
        <f>Y45</f>
        <v>5</v>
      </c>
      <c r="Z44" s="4">
        <f>Z45</f>
        <v>5</v>
      </c>
      <c r="AA44" s="4">
        <v>0</v>
      </c>
      <c r="AB44" s="4">
        <v>0</v>
      </c>
      <c r="AC44" s="4">
        <v>0</v>
      </c>
      <c r="AD44" s="4">
        <f>AD45</f>
        <v>5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615"/>
      <c r="AP44" s="1061"/>
    </row>
    <row r="45" spans="1:42" s="100" customFormat="1" ht="15" hidden="1" customHeight="1">
      <c r="A45" s="938"/>
      <c r="B45" s="105" t="s">
        <v>301</v>
      </c>
      <c r="C45" s="506"/>
      <c r="D45" s="506"/>
      <c r="E45" s="506"/>
      <c r="F45" s="507"/>
      <c r="G45" s="508"/>
      <c r="H45" s="508"/>
      <c r="I45" s="822"/>
      <c r="J45" s="110"/>
      <c r="K45" s="810"/>
      <c r="L45" s="99"/>
      <c r="M45" s="275"/>
      <c r="N45" s="275"/>
      <c r="O45" s="275"/>
      <c r="P45" s="275"/>
      <c r="Q45" s="275">
        <f>Y45</f>
        <v>5</v>
      </c>
      <c r="R45" s="275"/>
      <c r="S45" s="275"/>
      <c r="T45" s="275"/>
      <c r="U45" s="275"/>
      <c r="V45" s="275"/>
      <c r="W45" s="275"/>
      <c r="X45" s="275">
        <v>5</v>
      </c>
      <c r="Y45" s="275">
        <v>5</v>
      </c>
      <c r="Z45" s="275">
        <f>AD45</f>
        <v>5</v>
      </c>
      <c r="AA45" s="275"/>
      <c r="AB45" s="275"/>
      <c r="AC45" s="275"/>
      <c r="AD45" s="275">
        <v>5</v>
      </c>
      <c r="AE45" s="275"/>
      <c r="AF45" s="275"/>
      <c r="AG45" s="275"/>
      <c r="AH45" s="275"/>
      <c r="AI45" s="275"/>
      <c r="AJ45" s="275"/>
      <c r="AK45" s="275"/>
      <c r="AL45" s="275"/>
      <c r="AM45" s="275"/>
      <c r="AN45" s="275"/>
      <c r="AO45" s="616"/>
      <c r="AP45" s="1061"/>
    </row>
    <row r="46" spans="1:42" ht="14.25" customHeight="1">
      <c r="A46" s="939"/>
      <c r="B46" s="1" t="s">
        <v>16</v>
      </c>
      <c r="C46" s="30"/>
      <c r="D46" s="30"/>
      <c r="E46" s="30"/>
      <c r="F46" s="32"/>
      <c r="G46" s="543">
        <v>2020</v>
      </c>
      <c r="H46" s="543">
        <v>2021</v>
      </c>
      <c r="I46" s="821"/>
      <c r="J46" s="16">
        <v>312537.64</v>
      </c>
      <c r="K46" s="811"/>
      <c r="L46" s="47">
        <v>336891.54</v>
      </c>
      <c r="M46" s="4">
        <v>0</v>
      </c>
      <c r="N46" s="4">
        <v>2472.71</v>
      </c>
      <c r="O46" s="4">
        <v>8942.9699999999993</v>
      </c>
      <c r="P46" s="4">
        <f>N46*1.2</f>
        <v>2967.252</v>
      </c>
      <c r="Q46" s="47">
        <v>0</v>
      </c>
      <c r="R46" s="47">
        <v>0</v>
      </c>
      <c r="S46" s="47">
        <v>0</v>
      </c>
      <c r="T46" s="47">
        <v>0</v>
      </c>
      <c r="U46" s="47">
        <v>0</v>
      </c>
      <c r="V46" s="47">
        <v>0</v>
      </c>
      <c r="W46" s="47">
        <v>0</v>
      </c>
      <c r="X46" s="47">
        <v>0</v>
      </c>
      <c r="Y46" s="47">
        <v>0</v>
      </c>
      <c r="Z46" s="47">
        <v>0</v>
      </c>
      <c r="AA46" s="47">
        <v>0</v>
      </c>
      <c r="AB46" s="47">
        <v>0</v>
      </c>
      <c r="AC46" s="47">
        <v>0</v>
      </c>
      <c r="AD46" s="47">
        <v>0</v>
      </c>
      <c r="AE46" s="47">
        <v>0</v>
      </c>
      <c r="AF46" s="47">
        <v>0</v>
      </c>
      <c r="AG46" s="47">
        <v>0</v>
      </c>
      <c r="AH46" s="47">
        <v>0</v>
      </c>
      <c r="AI46" s="47">
        <v>0</v>
      </c>
      <c r="AJ46" s="47">
        <v>0</v>
      </c>
      <c r="AK46" s="47">
        <v>0</v>
      </c>
      <c r="AL46" s="47">
        <v>0</v>
      </c>
      <c r="AM46" s="47">
        <v>0</v>
      </c>
      <c r="AN46" s="47">
        <v>0</v>
      </c>
      <c r="AO46" s="608"/>
      <c r="AP46" s="1062"/>
    </row>
    <row r="47" spans="1:42" ht="53.25" customHeight="1">
      <c r="A47" s="937" t="s">
        <v>22</v>
      </c>
      <c r="B47" s="889" t="s">
        <v>49</v>
      </c>
      <c r="C47" s="890"/>
      <c r="D47" s="890"/>
      <c r="E47" s="890"/>
      <c r="F47" s="890"/>
      <c r="G47" s="890"/>
      <c r="H47" s="891"/>
      <c r="I47" s="15" t="s">
        <v>19</v>
      </c>
      <c r="J47" s="16">
        <v>0</v>
      </c>
      <c r="K47" s="16">
        <v>0</v>
      </c>
      <c r="L47" s="3">
        <v>0</v>
      </c>
      <c r="M47" s="325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615"/>
      <c r="AP47" s="648"/>
    </row>
    <row r="48" spans="1:42" ht="44.25" customHeight="1">
      <c r="A48" s="938"/>
      <c r="B48" s="892"/>
      <c r="C48" s="893"/>
      <c r="D48" s="893"/>
      <c r="E48" s="893"/>
      <c r="F48" s="893"/>
      <c r="G48" s="893"/>
      <c r="H48" s="894"/>
      <c r="I48" s="15" t="s">
        <v>20</v>
      </c>
      <c r="J48" s="16">
        <v>0</v>
      </c>
      <c r="K48" s="16">
        <v>0</v>
      </c>
      <c r="L48" s="3">
        <f>L51</f>
        <v>4674.0700000000006</v>
      </c>
      <c r="M48" s="3">
        <f t="shared" ref="M48:V48" si="38">M51</f>
        <v>0</v>
      </c>
      <c r="N48" s="47">
        <f t="shared" si="38"/>
        <v>0</v>
      </c>
      <c r="O48" s="47">
        <f t="shared" si="38"/>
        <v>0</v>
      </c>
      <c r="P48" s="47">
        <f t="shared" si="38"/>
        <v>0</v>
      </c>
      <c r="Q48" s="47">
        <f t="shared" si="38"/>
        <v>0</v>
      </c>
      <c r="R48" s="47">
        <f t="shared" si="38"/>
        <v>0</v>
      </c>
      <c r="S48" s="47">
        <f t="shared" si="38"/>
        <v>0</v>
      </c>
      <c r="T48" s="47">
        <f t="shared" si="38"/>
        <v>0</v>
      </c>
      <c r="U48" s="47">
        <f t="shared" si="38"/>
        <v>0</v>
      </c>
      <c r="V48" s="47">
        <f t="shared" si="38"/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615"/>
      <c r="AP48" s="648"/>
    </row>
    <row r="49" spans="1:42" ht="27.75" customHeight="1">
      <c r="A49" s="938"/>
      <c r="B49" s="892"/>
      <c r="C49" s="893"/>
      <c r="D49" s="893"/>
      <c r="E49" s="893"/>
      <c r="F49" s="893"/>
      <c r="G49" s="893"/>
      <c r="H49" s="894"/>
      <c r="I49" s="15" t="s">
        <v>10</v>
      </c>
      <c r="J49" s="16">
        <f t="shared" ref="J49:AN49" si="39">J51</f>
        <v>23417.360000000001</v>
      </c>
      <c r="K49" s="16">
        <f t="shared" si="39"/>
        <v>0</v>
      </c>
      <c r="L49" s="3">
        <v>0</v>
      </c>
      <c r="M49" s="325">
        <f t="shared" si="39"/>
        <v>0</v>
      </c>
      <c r="N49" s="4">
        <f t="shared" si="39"/>
        <v>0</v>
      </c>
      <c r="O49" s="4">
        <f t="shared" si="39"/>
        <v>0</v>
      </c>
      <c r="P49" s="4">
        <f t="shared" si="39"/>
        <v>0</v>
      </c>
      <c r="Q49" s="4">
        <f t="shared" si="39"/>
        <v>0</v>
      </c>
      <c r="R49" s="4">
        <f t="shared" si="39"/>
        <v>0</v>
      </c>
      <c r="S49" s="4">
        <f t="shared" si="39"/>
        <v>0</v>
      </c>
      <c r="T49" s="4">
        <f t="shared" si="39"/>
        <v>0</v>
      </c>
      <c r="U49" s="4">
        <f t="shared" si="39"/>
        <v>0</v>
      </c>
      <c r="V49" s="4">
        <f t="shared" si="39"/>
        <v>0</v>
      </c>
      <c r="W49" s="4">
        <f t="shared" si="39"/>
        <v>0</v>
      </c>
      <c r="X49" s="4">
        <f t="shared" si="39"/>
        <v>0</v>
      </c>
      <c r="Y49" s="4">
        <f t="shared" si="39"/>
        <v>0</v>
      </c>
      <c r="Z49" s="4">
        <f t="shared" si="39"/>
        <v>0</v>
      </c>
      <c r="AA49" s="4">
        <f t="shared" si="39"/>
        <v>0</v>
      </c>
      <c r="AB49" s="4">
        <f t="shared" si="39"/>
        <v>0</v>
      </c>
      <c r="AC49" s="4">
        <f t="shared" si="39"/>
        <v>0</v>
      </c>
      <c r="AD49" s="4">
        <f t="shared" si="39"/>
        <v>0</v>
      </c>
      <c r="AE49" s="4">
        <f t="shared" si="39"/>
        <v>0</v>
      </c>
      <c r="AF49" s="4">
        <f t="shared" si="39"/>
        <v>0</v>
      </c>
      <c r="AG49" s="4">
        <f t="shared" si="39"/>
        <v>0</v>
      </c>
      <c r="AH49" s="4">
        <f t="shared" si="39"/>
        <v>0</v>
      </c>
      <c r="AI49" s="4">
        <f t="shared" si="39"/>
        <v>0</v>
      </c>
      <c r="AJ49" s="4">
        <f t="shared" si="39"/>
        <v>0</v>
      </c>
      <c r="AK49" s="4">
        <f t="shared" si="39"/>
        <v>0</v>
      </c>
      <c r="AL49" s="4">
        <f t="shared" si="39"/>
        <v>0</v>
      </c>
      <c r="AM49" s="4">
        <f t="shared" si="39"/>
        <v>0</v>
      </c>
      <c r="AN49" s="4">
        <f t="shared" si="39"/>
        <v>0</v>
      </c>
      <c r="AO49" s="615"/>
      <c r="AP49" s="648"/>
    </row>
    <row r="50" spans="1:42" ht="27.75" customHeight="1">
      <c r="A50" s="938"/>
      <c r="B50" s="895"/>
      <c r="C50" s="896"/>
      <c r="D50" s="896"/>
      <c r="E50" s="896"/>
      <c r="F50" s="896"/>
      <c r="G50" s="896"/>
      <c r="H50" s="897"/>
      <c r="I50" s="15" t="s">
        <v>9</v>
      </c>
      <c r="J50" s="16">
        <v>0</v>
      </c>
      <c r="K50" s="16">
        <v>0</v>
      </c>
      <c r="L50" s="3">
        <v>0</v>
      </c>
      <c r="M50" s="325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615"/>
      <c r="AP50" s="648"/>
    </row>
    <row r="51" spans="1:42" ht="27.75" customHeight="1">
      <c r="A51" s="965" t="s">
        <v>23</v>
      </c>
      <c r="B51" s="80" t="s">
        <v>285</v>
      </c>
      <c r="C51" s="542">
        <v>900</v>
      </c>
      <c r="D51" s="35">
        <v>28000</v>
      </c>
      <c r="E51" s="542"/>
      <c r="F51" s="36"/>
      <c r="G51" s="523"/>
      <c r="H51" s="523"/>
      <c r="I51" s="918" t="s">
        <v>20</v>
      </c>
      <c r="J51" s="882">
        <v>23417.360000000001</v>
      </c>
      <c r="K51" s="882">
        <v>0</v>
      </c>
      <c r="L51" s="81">
        <f>SUM(L52:L53)</f>
        <v>4674.0700000000006</v>
      </c>
      <c r="M51" s="81">
        <f t="shared" ref="M51:V51" si="40">SUM(M52:M53)</f>
        <v>0</v>
      </c>
      <c r="N51" s="81">
        <f t="shared" si="40"/>
        <v>0</v>
      </c>
      <c r="O51" s="81">
        <f t="shared" si="40"/>
        <v>0</v>
      </c>
      <c r="P51" s="81">
        <f t="shared" si="40"/>
        <v>0</v>
      </c>
      <c r="Q51" s="81">
        <f t="shared" si="40"/>
        <v>0</v>
      </c>
      <c r="R51" s="81">
        <f t="shared" si="40"/>
        <v>0</v>
      </c>
      <c r="S51" s="81">
        <f t="shared" si="40"/>
        <v>0</v>
      </c>
      <c r="T51" s="81">
        <f t="shared" si="40"/>
        <v>0</v>
      </c>
      <c r="U51" s="81">
        <f t="shared" si="40"/>
        <v>0</v>
      </c>
      <c r="V51" s="81">
        <f t="shared" si="40"/>
        <v>0</v>
      </c>
      <c r="W51" s="81">
        <v>0</v>
      </c>
      <c r="X51" s="81">
        <v>0</v>
      </c>
      <c r="Y51" s="81">
        <v>0</v>
      </c>
      <c r="Z51" s="81">
        <v>0</v>
      </c>
      <c r="AA51" s="81">
        <v>0</v>
      </c>
      <c r="AB51" s="81">
        <v>0</v>
      </c>
      <c r="AC51" s="81">
        <v>0</v>
      </c>
      <c r="AD51" s="81">
        <v>0</v>
      </c>
      <c r="AE51" s="81">
        <v>0</v>
      </c>
      <c r="AF51" s="81">
        <v>0</v>
      </c>
      <c r="AG51" s="81">
        <v>0</v>
      </c>
      <c r="AH51" s="81">
        <v>0</v>
      </c>
      <c r="AI51" s="81">
        <v>0</v>
      </c>
      <c r="AJ51" s="82">
        <f>P51-Q51</f>
        <v>0</v>
      </c>
      <c r="AK51" s="82">
        <f>AJ51</f>
        <v>0</v>
      </c>
      <c r="AL51" s="81">
        <v>0</v>
      </c>
      <c r="AM51" s="81">
        <v>0</v>
      </c>
      <c r="AN51" s="81">
        <v>0</v>
      </c>
      <c r="AO51" s="617"/>
      <c r="AP51" s="1065"/>
    </row>
    <row r="52" spans="1:42" s="292" customFormat="1" ht="15.75" customHeight="1">
      <c r="A52" s="966"/>
      <c r="B52" s="515" t="s">
        <v>15</v>
      </c>
      <c r="C52" s="542"/>
      <c r="D52" s="35"/>
      <c r="E52" s="542"/>
      <c r="F52" s="36"/>
      <c r="G52" s="523"/>
      <c r="H52" s="523"/>
      <c r="I52" s="919"/>
      <c r="J52" s="917"/>
      <c r="K52" s="917"/>
      <c r="L52" s="75">
        <v>521.89</v>
      </c>
      <c r="M52" s="541"/>
      <c r="N52" s="541">
        <v>0</v>
      </c>
      <c r="O52" s="497"/>
      <c r="P52" s="541"/>
      <c r="Q52" s="541"/>
      <c r="R52" s="541"/>
      <c r="S52" s="541"/>
      <c r="T52" s="541"/>
      <c r="U52" s="541"/>
      <c r="V52" s="541"/>
      <c r="W52" s="541"/>
      <c r="X52" s="541"/>
      <c r="Y52" s="541"/>
      <c r="Z52" s="541"/>
      <c r="AA52" s="541"/>
      <c r="AB52" s="541"/>
      <c r="AC52" s="541"/>
      <c r="AD52" s="541"/>
      <c r="AE52" s="541"/>
      <c r="AF52" s="541"/>
      <c r="AG52" s="541"/>
      <c r="AH52" s="541"/>
      <c r="AI52" s="541"/>
      <c r="AJ52" s="498"/>
      <c r="AK52" s="498"/>
      <c r="AL52" s="541"/>
      <c r="AM52" s="541"/>
      <c r="AN52" s="541"/>
      <c r="AO52" s="618"/>
      <c r="AP52" s="1064"/>
    </row>
    <row r="53" spans="1:42" ht="14.25" customHeight="1">
      <c r="A53" s="967"/>
      <c r="B53" s="515" t="s">
        <v>16</v>
      </c>
      <c r="C53" s="542"/>
      <c r="D53" s="542"/>
      <c r="E53" s="542"/>
      <c r="F53" s="36"/>
      <c r="G53" s="523">
        <v>2020</v>
      </c>
      <c r="H53" s="523">
        <v>2020</v>
      </c>
      <c r="I53" s="920"/>
      <c r="J53" s="883"/>
      <c r="K53" s="883"/>
      <c r="L53" s="500">
        <v>4152.18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5">
        <v>0</v>
      </c>
      <c r="V53" s="75">
        <v>0</v>
      </c>
      <c r="W53" s="75">
        <v>0</v>
      </c>
      <c r="X53" s="75">
        <v>0</v>
      </c>
      <c r="Y53" s="75">
        <v>0</v>
      </c>
      <c r="Z53" s="75">
        <v>0</v>
      </c>
      <c r="AA53" s="75">
        <v>0</v>
      </c>
      <c r="AB53" s="75">
        <v>0</v>
      </c>
      <c r="AC53" s="75">
        <v>0</v>
      </c>
      <c r="AD53" s="75">
        <v>0</v>
      </c>
      <c r="AE53" s="75">
        <v>0</v>
      </c>
      <c r="AF53" s="75">
        <f t="shared" ref="AF53:AI54" si="41">AF56+AF59</f>
        <v>0</v>
      </c>
      <c r="AG53" s="75">
        <f t="shared" si="41"/>
        <v>0</v>
      </c>
      <c r="AH53" s="75">
        <f t="shared" si="41"/>
        <v>0</v>
      </c>
      <c r="AI53" s="75">
        <f t="shared" si="41"/>
        <v>0</v>
      </c>
      <c r="AJ53" s="75">
        <v>0</v>
      </c>
      <c r="AK53" s="75">
        <v>0</v>
      </c>
      <c r="AL53" s="75">
        <v>0</v>
      </c>
      <c r="AM53" s="75">
        <v>0</v>
      </c>
      <c r="AN53" s="75">
        <v>0</v>
      </c>
      <c r="AO53" s="619"/>
      <c r="AP53" s="1064"/>
    </row>
    <row r="54" spans="1:42" ht="49.5" customHeight="1">
      <c r="A54" s="833" t="s">
        <v>29</v>
      </c>
      <c r="B54" s="889" t="s">
        <v>62</v>
      </c>
      <c r="C54" s="890"/>
      <c r="D54" s="890"/>
      <c r="E54" s="890"/>
      <c r="F54" s="890"/>
      <c r="G54" s="890"/>
      <c r="H54" s="891"/>
      <c r="I54" s="37" t="s">
        <v>20</v>
      </c>
      <c r="J54" s="536">
        <f>L54</f>
        <v>924.64</v>
      </c>
      <c r="K54" s="536">
        <v>0</v>
      </c>
      <c r="L54" s="518">
        <f>L60</f>
        <v>924.64</v>
      </c>
      <c r="M54" s="75">
        <f>M57+M60</f>
        <v>0</v>
      </c>
      <c r="N54" s="75">
        <f t="shared" ref="N54:O54" si="42">N57+N60</f>
        <v>0</v>
      </c>
      <c r="O54" s="75">
        <f t="shared" si="42"/>
        <v>0</v>
      </c>
      <c r="P54" s="75">
        <f>P57+P60</f>
        <v>0</v>
      </c>
      <c r="Q54" s="75">
        <f>Q57+Q60</f>
        <v>0</v>
      </c>
      <c r="R54" s="75">
        <f t="shared" ref="R54:S54" si="43">R57+R60</f>
        <v>0</v>
      </c>
      <c r="S54" s="75">
        <f t="shared" si="43"/>
        <v>0</v>
      </c>
      <c r="T54" s="75">
        <f>T57+T60</f>
        <v>0</v>
      </c>
      <c r="U54" s="75">
        <f t="shared" ref="U54:AN54" si="44">U57+U60</f>
        <v>0</v>
      </c>
      <c r="V54" s="75">
        <f t="shared" si="44"/>
        <v>0</v>
      </c>
      <c r="W54" s="75">
        <f t="shared" si="44"/>
        <v>0</v>
      </c>
      <c r="X54" s="75">
        <f t="shared" si="44"/>
        <v>0</v>
      </c>
      <c r="Y54" s="75">
        <f t="shared" si="44"/>
        <v>0</v>
      </c>
      <c r="Z54" s="75">
        <f t="shared" si="44"/>
        <v>0</v>
      </c>
      <c r="AA54" s="75">
        <f t="shared" si="44"/>
        <v>0</v>
      </c>
      <c r="AB54" s="75">
        <f t="shared" si="44"/>
        <v>0</v>
      </c>
      <c r="AC54" s="75">
        <f t="shared" si="44"/>
        <v>0</v>
      </c>
      <c r="AD54" s="75">
        <f t="shared" si="44"/>
        <v>0</v>
      </c>
      <c r="AE54" s="75">
        <f t="shared" si="44"/>
        <v>0</v>
      </c>
      <c r="AF54" s="75">
        <f t="shared" si="41"/>
        <v>0</v>
      </c>
      <c r="AG54" s="75">
        <f t="shared" si="41"/>
        <v>0</v>
      </c>
      <c r="AH54" s="75">
        <f t="shared" si="41"/>
        <v>0</v>
      </c>
      <c r="AI54" s="75">
        <f t="shared" si="41"/>
        <v>0</v>
      </c>
      <c r="AJ54" s="75">
        <f t="shared" si="44"/>
        <v>0</v>
      </c>
      <c r="AK54" s="75">
        <f t="shared" si="44"/>
        <v>0</v>
      </c>
      <c r="AL54" s="75">
        <f t="shared" si="44"/>
        <v>0</v>
      </c>
      <c r="AM54" s="75">
        <f t="shared" si="44"/>
        <v>0</v>
      </c>
      <c r="AN54" s="75">
        <f t="shared" si="44"/>
        <v>0</v>
      </c>
      <c r="AO54" s="619"/>
      <c r="AP54" s="1064"/>
    </row>
    <row r="55" spans="1:42" ht="31.5" customHeight="1">
      <c r="A55" s="834"/>
      <c r="B55" s="892"/>
      <c r="C55" s="893"/>
      <c r="D55" s="893"/>
      <c r="E55" s="893"/>
      <c r="F55" s="893"/>
      <c r="G55" s="893"/>
      <c r="H55" s="894"/>
      <c r="I55" s="37" t="s">
        <v>10</v>
      </c>
      <c r="J55" s="536">
        <f t="shared" ref="J55:J56" si="45">L55</f>
        <v>0</v>
      </c>
      <c r="K55" s="536">
        <v>0</v>
      </c>
      <c r="L55" s="518">
        <v>0</v>
      </c>
      <c r="M55" s="75">
        <v>0</v>
      </c>
      <c r="N55" s="75">
        <v>0</v>
      </c>
      <c r="O55" s="76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5">
        <v>0</v>
      </c>
      <c r="V55" s="75">
        <v>0</v>
      </c>
      <c r="W55" s="75">
        <v>0</v>
      </c>
      <c r="X55" s="75">
        <v>0</v>
      </c>
      <c r="Y55" s="75">
        <v>0</v>
      </c>
      <c r="Z55" s="75">
        <v>0</v>
      </c>
      <c r="AA55" s="75">
        <v>0</v>
      </c>
      <c r="AB55" s="75">
        <v>0</v>
      </c>
      <c r="AC55" s="75">
        <v>0</v>
      </c>
      <c r="AD55" s="75">
        <v>0</v>
      </c>
      <c r="AE55" s="75">
        <v>0</v>
      </c>
      <c r="AF55" s="75">
        <v>0</v>
      </c>
      <c r="AG55" s="75">
        <v>0</v>
      </c>
      <c r="AH55" s="75">
        <v>0</v>
      </c>
      <c r="AI55" s="75">
        <v>0</v>
      </c>
      <c r="AJ55" s="75">
        <v>0</v>
      </c>
      <c r="AK55" s="75">
        <v>0</v>
      </c>
      <c r="AL55" s="75">
        <v>0</v>
      </c>
      <c r="AM55" s="75">
        <v>0</v>
      </c>
      <c r="AN55" s="75">
        <v>0</v>
      </c>
      <c r="AO55" s="619"/>
      <c r="AP55" s="1064"/>
    </row>
    <row r="56" spans="1:42" ht="28.5" customHeight="1">
      <c r="A56" s="835"/>
      <c r="B56" s="895"/>
      <c r="C56" s="896"/>
      <c r="D56" s="896"/>
      <c r="E56" s="896"/>
      <c r="F56" s="896"/>
      <c r="G56" s="896"/>
      <c r="H56" s="897"/>
      <c r="I56" s="37" t="s">
        <v>9</v>
      </c>
      <c r="J56" s="536">
        <f t="shared" si="45"/>
        <v>0</v>
      </c>
      <c r="K56" s="536">
        <v>0</v>
      </c>
      <c r="L56" s="518">
        <v>0</v>
      </c>
      <c r="M56" s="75">
        <v>0</v>
      </c>
      <c r="N56" s="75">
        <v>0</v>
      </c>
      <c r="O56" s="76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5">
        <v>0</v>
      </c>
      <c r="V56" s="75">
        <v>0</v>
      </c>
      <c r="W56" s="75">
        <v>0</v>
      </c>
      <c r="X56" s="75">
        <v>0</v>
      </c>
      <c r="Y56" s="75">
        <v>0</v>
      </c>
      <c r="Z56" s="75">
        <v>0</v>
      </c>
      <c r="AA56" s="75">
        <v>0</v>
      </c>
      <c r="AB56" s="75">
        <v>0</v>
      </c>
      <c r="AC56" s="75">
        <v>0</v>
      </c>
      <c r="AD56" s="75">
        <v>0</v>
      </c>
      <c r="AE56" s="75">
        <v>0</v>
      </c>
      <c r="AF56" s="75">
        <v>0</v>
      </c>
      <c r="AG56" s="75">
        <v>0</v>
      </c>
      <c r="AH56" s="75">
        <v>0</v>
      </c>
      <c r="AI56" s="75">
        <v>0</v>
      </c>
      <c r="AJ56" s="75">
        <v>0</v>
      </c>
      <c r="AK56" s="75">
        <v>0</v>
      </c>
      <c r="AL56" s="75">
        <v>0</v>
      </c>
      <c r="AM56" s="75">
        <v>0</v>
      </c>
      <c r="AN56" s="75">
        <v>0</v>
      </c>
      <c r="AO56" s="619"/>
      <c r="AP56" s="992"/>
    </row>
    <row r="57" spans="1:42" ht="30" hidden="1" customHeight="1">
      <c r="A57" s="965" t="s">
        <v>46</v>
      </c>
      <c r="B57" s="80" t="s">
        <v>53</v>
      </c>
      <c r="C57" s="815">
        <v>300</v>
      </c>
      <c r="D57" s="815">
        <v>17</v>
      </c>
      <c r="E57" s="815"/>
      <c r="F57" s="867"/>
      <c r="G57" s="538"/>
      <c r="H57" s="538"/>
      <c r="I57" s="995" t="s">
        <v>20</v>
      </c>
      <c r="J57" s="71">
        <f>L57</f>
        <v>0</v>
      </c>
      <c r="K57" s="71"/>
      <c r="L57" s="291">
        <f>M57+N57+O57</f>
        <v>0</v>
      </c>
      <c r="M57" s="81">
        <f>M58+M59</f>
        <v>0</v>
      </c>
      <c r="N57" s="81">
        <f t="shared" ref="N57:O57" si="46">N58+N59</f>
        <v>0</v>
      </c>
      <c r="O57" s="81">
        <f t="shared" si="46"/>
        <v>0</v>
      </c>
      <c r="P57" s="81">
        <f>P58+P59</f>
        <v>0</v>
      </c>
      <c r="Q57" s="81">
        <f>Q58+Q59</f>
        <v>0</v>
      </c>
      <c r="R57" s="81">
        <f t="shared" ref="R57:AN57" si="47">R58+R59</f>
        <v>0</v>
      </c>
      <c r="S57" s="81">
        <f t="shared" si="47"/>
        <v>0</v>
      </c>
      <c r="T57" s="81">
        <f t="shared" si="47"/>
        <v>0</v>
      </c>
      <c r="U57" s="81">
        <f t="shared" si="47"/>
        <v>0</v>
      </c>
      <c r="V57" s="81">
        <f t="shared" si="47"/>
        <v>0</v>
      </c>
      <c r="W57" s="81">
        <f t="shared" si="47"/>
        <v>0</v>
      </c>
      <c r="X57" s="81">
        <f t="shared" si="47"/>
        <v>0</v>
      </c>
      <c r="Y57" s="81">
        <f t="shared" si="47"/>
        <v>0</v>
      </c>
      <c r="Z57" s="81">
        <f t="shared" si="47"/>
        <v>0</v>
      </c>
      <c r="AA57" s="81">
        <f t="shared" si="47"/>
        <v>0</v>
      </c>
      <c r="AB57" s="81">
        <f t="shared" si="47"/>
        <v>0</v>
      </c>
      <c r="AC57" s="81">
        <f t="shared" si="47"/>
        <v>0</v>
      </c>
      <c r="AD57" s="81">
        <f t="shared" si="47"/>
        <v>0</v>
      </c>
      <c r="AE57" s="81">
        <f t="shared" si="47"/>
        <v>0</v>
      </c>
      <c r="AF57" s="81">
        <f t="shared" si="47"/>
        <v>0</v>
      </c>
      <c r="AG57" s="81">
        <f t="shared" si="47"/>
        <v>0</v>
      </c>
      <c r="AH57" s="81">
        <f t="shared" si="47"/>
        <v>0</v>
      </c>
      <c r="AI57" s="81"/>
      <c r="AJ57" s="82">
        <f>P57-Q57</f>
        <v>0</v>
      </c>
      <c r="AK57" s="82">
        <f>AJ57</f>
        <v>0</v>
      </c>
      <c r="AL57" s="79">
        <v>0</v>
      </c>
      <c r="AM57" s="81">
        <f t="shared" si="47"/>
        <v>0</v>
      </c>
      <c r="AN57" s="81">
        <f t="shared" si="47"/>
        <v>0</v>
      </c>
      <c r="AO57" s="620" t="s">
        <v>163</v>
      </c>
      <c r="AP57" s="648"/>
    </row>
    <row r="58" spans="1:42" ht="14.25" hidden="1" customHeight="1">
      <c r="A58" s="966"/>
      <c r="B58" s="40" t="s">
        <v>15</v>
      </c>
      <c r="C58" s="816"/>
      <c r="D58" s="816"/>
      <c r="E58" s="816"/>
      <c r="F58" s="819"/>
      <c r="G58" s="538">
        <v>2019</v>
      </c>
      <c r="H58" s="538">
        <v>2019</v>
      </c>
      <c r="I58" s="878"/>
      <c r="J58" s="71">
        <f t="shared" ref="J58:J62" si="48">L58</f>
        <v>0</v>
      </c>
      <c r="K58" s="71"/>
      <c r="L58" s="541">
        <f t="shared" ref="L58:L59" si="49">M58+N58+O58</f>
        <v>0</v>
      </c>
      <c r="M58" s="74">
        <v>0</v>
      </c>
      <c r="N58" s="74">
        <v>0</v>
      </c>
      <c r="O58" s="74">
        <v>0</v>
      </c>
      <c r="P58" s="74">
        <v>0</v>
      </c>
      <c r="Q58" s="74">
        <v>0</v>
      </c>
      <c r="R58" s="74">
        <v>0</v>
      </c>
      <c r="S58" s="74">
        <v>0</v>
      </c>
      <c r="T58" s="74">
        <v>0</v>
      </c>
      <c r="U58" s="74">
        <v>0</v>
      </c>
      <c r="V58" s="74">
        <v>0</v>
      </c>
      <c r="W58" s="74">
        <v>0</v>
      </c>
      <c r="X58" s="74">
        <v>0</v>
      </c>
      <c r="Y58" s="74">
        <v>0</v>
      </c>
      <c r="Z58" s="74">
        <v>0</v>
      </c>
      <c r="AA58" s="74">
        <v>0</v>
      </c>
      <c r="AB58" s="74">
        <v>0</v>
      </c>
      <c r="AC58" s="74">
        <v>0</v>
      </c>
      <c r="AD58" s="74">
        <v>0</v>
      </c>
      <c r="AE58" s="74">
        <v>0</v>
      </c>
      <c r="AF58" s="74">
        <v>0</v>
      </c>
      <c r="AG58" s="74">
        <v>0</v>
      </c>
      <c r="AH58" s="74">
        <v>0</v>
      </c>
      <c r="AI58" s="74"/>
      <c r="AJ58" s="74">
        <v>0</v>
      </c>
      <c r="AK58" s="74">
        <v>0</v>
      </c>
      <c r="AL58" s="74">
        <v>0</v>
      </c>
      <c r="AM58" s="74">
        <v>0</v>
      </c>
      <c r="AN58" s="74">
        <v>0</v>
      </c>
      <c r="AO58" s="621"/>
      <c r="AP58" s="648"/>
    </row>
    <row r="59" spans="1:42" ht="14.25" hidden="1" customHeight="1">
      <c r="A59" s="967"/>
      <c r="B59" s="40" t="s">
        <v>16</v>
      </c>
      <c r="C59" s="900"/>
      <c r="D59" s="900"/>
      <c r="E59" s="900"/>
      <c r="F59" s="868"/>
      <c r="G59" s="543">
        <v>2019</v>
      </c>
      <c r="H59" s="543">
        <v>2019</v>
      </c>
      <c r="I59" s="996"/>
      <c r="J59" s="71">
        <f t="shared" si="48"/>
        <v>0</v>
      </c>
      <c r="K59" s="524"/>
      <c r="L59" s="541">
        <f t="shared" si="49"/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74">
        <v>0</v>
      </c>
      <c r="AA59" s="74">
        <v>0</v>
      </c>
      <c r="AB59" s="74">
        <v>0</v>
      </c>
      <c r="AC59" s="74">
        <v>0</v>
      </c>
      <c r="AD59" s="74">
        <v>0</v>
      </c>
      <c r="AE59" s="74">
        <v>0</v>
      </c>
      <c r="AF59" s="74">
        <v>0</v>
      </c>
      <c r="AG59" s="74">
        <v>0</v>
      </c>
      <c r="AH59" s="74">
        <v>0</v>
      </c>
      <c r="AI59" s="74"/>
      <c r="AJ59" s="74">
        <v>0</v>
      </c>
      <c r="AK59" s="74">
        <v>0</v>
      </c>
      <c r="AL59" s="74">
        <v>0</v>
      </c>
      <c r="AM59" s="74">
        <v>0</v>
      </c>
      <c r="AN59" s="74">
        <v>0</v>
      </c>
      <c r="AO59" s="622"/>
      <c r="AP59" s="648"/>
    </row>
    <row r="60" spans="1:42" ht="26.25" customHeight="1">
      <c r="A60" s="937" t="s">
        <v>46</v>
      </c>
      <c r="B60" s="83" t="s">
        <v>54</v>
      </c>
      <c r="C60" s="815">
        <v>200</v>
      </c>
      <c r="D60" s="815">
        <v>10</v>
      </c>
      <c r="E60" s="997"/>
      <c r="F60" s="1000"/>
      <c r="G60" s="543"/>
      <c r="H60" s="543"/>
      <c r="I60" s="995" t="s">
        <v>20</v>
      </c>
      <c r="J60" s="71">
        <f t="shared" si="48"/>
        <v>924.64</v>
      </c>
      <c r="K60" s="524"/>
      <c r="L60" s="291">
        <f>SUM(L61:L62)</f>
        <v>924.64</v>
      </c>
      <c r="M60" s="79">
        <f>M61+M62</f>
        <v>0</v>
      </c>
      <c r="N60" s="79">
        <f t="shared" ref="N60:O60" si="50">N61+N62</f>
        <v>0</v>
      </c>
      <c r="O60" s="79">
        <f t="shared" si="50"/>
        <v>0</v>
      </c>
      <c r="P60" s="79">
        <f>P61+P62</f>
        <v>0</v>
      </c>
      <c r="Q60" s="79">
        <f>Q61+Q62</f>
        <v>0</v>
      </c>
      <c r="R60" s="79">
        <f t="shared" ref="R60:AN60" si="51">R61+R62</f>
        <v>0</v>
      </c>
      <c r="S60" s="79">
        <f t="shared" si="51"/>
        <v>0</v>
      </c>
      <c r="T60" s="79">
        <f t="shared" si="51"/>
        <v>0</v>
      </c>
      <c r="U60" s="79">
        <f t="shared" si="51"/>
        <v>0</v>
      </c>
      <c r="V60" s="79">
        <f t="shared" si="51"/>
        <v>0</v>
      </c>
      <c r="W60" s="79">
        <f t="shared" si="51"/>
        <v>0</v>
      </c>
      <c r="X60" s="79">
        <f t="shared" si="51"/>
        <v>0</v>
      </c>
      <c r="Y60" s="79">
        <f t="shared" si="51"/>
        <v>0</v>
      </c>
      <c r="Z60" s="79">
        <f t="shared" si="51"/>
        <v>0</v>
      </c>
      <c r="AA60" s="79">
        <f t="shared" si="51"/>
        <v>0</v>
      </c>
      <c r="AB60" s="79">
        <f t="shared" si="51"/>
        <v>0</v>
      </c>
      <c r="AC60" s="79">
        <f t="shared" si="51"/>
        <v>0</v>
      </c>
      <c r="AD60" s="79">
        <f t="shared" si="51"/>
        <v>0</v>
      </c>
      <c r="AE60" s="79">
        <f t="shared" si="51"/>
        <v>0</v>
      </c>
      <c r="AF60" s="79">
        <f t="shared" si="51"/>
        <v>0</v>
      </c>
      <c r="AG60" s="79">
        <f t="shared" si="51"/>
        <v>0</v>
      </c>
      <c r="AH60" s="79">
        <f t="shared" si="51"/>
        <v>0</v>
      </c>
      <c r="AI60" s="79">
        <f t="shared" si="51"/>
        <v>0</v>
      </c>
      <c r="AJ60" s="82">
        <f>P60-Q60</f>
        <v>0</v>
      </c>
      <c r="AK60" s="82">
        <f>AJ60</f>
        <v>0</v>
      </c>
      <c r="AL60" s="79">
        <v>0</v>
      </c>
      <c r="AM60" s="79">
        <f t="shared" si="51"/>
        <v>0</v>
      </c>
      <c r="AN60" s="79">
        <f t="shared" si="51"/>
        <v>0</v>
      </c>
      <c r="AO60" s="620"/>
      <c r="AP60" s="1065"/>
    </row>
    <row r="61" spans="1:42" ht="14.25" customHeight="1">
      <c r="A61" s="938"/>
      <c r="B61" s="42" t="s">
        <v>15</v>
      </c>
      <c r="C61" s="816"/>
      <c r="D61" s="816"/>
      <c r="E61" s="998"/>
      <c r="F61" s="1001"/>
      <c r="G61" s="543">
        <v>2019</v>
      </c>
      <c r="H61" s="543">
        <v>2019</v>
      </c>
      <c r="I61" s="878"/>
      <c r="J61" s="71">
        <f t="shared" si="48"/>
        <v>250</v>
      </c>
      <c r="K61" s="524"/>
      <c r="L61" s="75">
        <v>250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615"/>
      <c r="AP61" s="1074"/>
    </row>
    <row r="62" spans="1:42" ht="14.25" customHeight="1">
      <c r="A62" s="939"/>
      <c r="B62" s="42" t="s">
        <v>16</v>
      </c>
      <c r="C62" s="900"/>
      <c r="D62" s="900"/>
      <c r="E62" s="999"/>
      <c r="F62" s="1002"/>
      <c r="G62" s="543">
        <v>2019</v>
      </c>
      <c r="H62" s="543">
        <v>2019</v>
      </c>
      <c r="I62" s="996"/>
      <c r="J62" s="71">
        <f t="shared" si="48"/>
        <v>674.64</v>
      </c>
      <c r="K62" s="524"/>
      <c r="L62" s="75">
        <v>674.64</v>
      </c>
      <c r="M62" s="4">
        <v>0</v>
      </c>
      <c r="N62" s="4">
        <v>0</v>
      </c>
      <c r="O62" s="4">
        <v>0</v>
      </c>
      <c r="P62" s="4">
        <v>0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47">
        <v>0</v>
      </c>
      <c r="AA62" s="47">
        <v>0</v>
      </c>
      <c r="AB62" s="47">
        <v>0</v>
      </c>
      <c r="AC62" s="47">
        <v>0</v>
      </c>
      <c r="AD62" s="47">
        <v>0</v>
      </c>
      <c r="AE62" s="47">
        <v>0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  <c r="AK62" s="47">
        <v>0</v>
      </c>
      <c r="AL62" s="47">
        <v>0</v>
      </c>
      <c r="AM62" s="47">
        <v>0</v>
      </c>
      <c r="AN62" s="47">
        <v>0</v>
      </c>
      <c r="AO62" s="608"/>
      <c r="AP62" s="1074"/>
    </row>
    <row r="63" spans="1:42" ht="38.25">
      <c r="A63" s="833" t="s">
        <v>47</v>
      </c>
      <c r="B63" s="889" t="s">
        <v>17</v>
      </c>
      <c r="C63" s="890"/>
      <c r="D63" s="890"/>
      <c r="E63" s="890"/>
      <c r="F63" s="890"/>
      <c r="G63" s="890"/>
      <c r="H63" s="891"/>
      <c r="I63" s="15" t="s">
        <v>20</v>
      </c>
      <c r="J63" s="16">
        <f>J66</f>
        <v>18824.2</v>
      </c>
      <c r="K63" s="16">
        <f>K66</f>
        <v>0</v>
      </c>
      <c r="L63" s="16">
        <f>L66</f>
        <v>5710.74</v>
      </c>
      <c r="M63" s="16">
        <f>M66</f>
        <v>893.45</v>
      </c>
      <c r="N63" s="22">
        <f t="shared" ref="N63:O63" si="52">N66</f>
        <v>1051.49</v>
      </c>
      <c r="O63" s="22">
        <f t="shared" si="52"/>
        <v>11206.2</v>
      </c>
      <c r="P63" s="22">
        <f>P66</f>
        <v>1051.49</v>
      </c>
      <c r="Q63" s="22">
        <f t="shared" ref="Q63:AN63" si="53">Q66</f>
        <v>720</v>
      </c>
      <c r="R63" s="22">
        <f t="shared" si="53"/>
        <v>400</v>
      </c>
      <c r="S63" s="22">
        <f t="shared" si="53"/>
        <v>400</v>
      </c>
      <c r="T63" s="22">
        <f t="shared" si="53"/>
        <v>320</v>
      </c>
      <c r="U63" s="22">
        <f t="shared" si="53"/>
        <v>320</v>
      </c>
      <c r="V63" s="22">
        <f t="shared" si="53"/>
        <v>0</v>
      </c>
      <c r="W63" s="22">
        <f t="shared" si="53"/>
        <v>0</v>
      </c>
      <c r="X63" s="22">
        <f t="shared" si="53"/>
        <v>0</v>
      </c>
      <c r="Y63" s="22">
        <f t="shared" si="53"/>
        <v>0</v>
      </c>
      <c r="Z63" s="22">
        <f t="shared" si="53"/>
        <v>720</v>
      </c>
      <c r="AA63" s="22">
        <f t="shared" si="53"/>
        <v>720</v>
      </c>
      <c r="AB63" s="22">
        <f t="shared" si="53"/>
        <v>0</v>
      </c>
      <c r="AC63" s="22">
        <f t="shared" si="53"/>
        <v>0</v>
      </c>
      <c r="AD63" s="22">
        <f t="shared" si="53"/>
        <v>0</v>
      </c>
      <c r="AE63" s="22">
        <f t="shared" si="53"/>
        <v>0</v>
      </c>
      <c r="AF63" s="22">
        <f t="shared" si="53"/>
        <v>0</v>
      </c>
      <c r="AG63" s="22">
        <f t="shared" si="53"/>
        <v>0</v>
      </c>
      <c r="AH63" s="22">
        <f t="shared" si="53"/>
        <v>0</v>
      </c>
      <c r="AI63" s="22">
        <f t="shared" si="53"/>
        <v>0</v>
      </c>
      <c r="AJ63" s="22">
        <f t="shared" si="53"/>
        <v>331.49</v>
      </c>
      <c r="AK63" s="22">
        <f t="shared" si="53"/>
        <v>331.49</v>
      </c>
      <c r="AL63" s="22">
        <f t="shared" si="53"/>
        <v>68.47</v>
      </c>
      <c r="AM63" s="22">
        <f t="shared" si="53"/>
        <v>0</v>
      </c>
      <c r="AN63" s="22">
        <f t="shared" si="53"/>
        <v>0</v>
      </c>
      <c r="AO63" s="609"/>
      <c r="AP63" s="1074"/>
    </row>
    <row r="64" spans="1:42" ht="25.5" customHeight="1">
      <c r="A64" s="834"/>
      <c r="B64" s="892"/>
      <c r="C64" s="893"/>
      <c r="D64" s="893"/>
      <c r="E64" s="893"/>
      <c r="F64" s="893"/>
      <c r="G64" s="893"/>
      <c r="H64" s="894"/>
      <c r="I64" s="15" t="s">
        <v>10</v>
      </c>
      <c r="J64" s="16">
        <v>0</v>
      </c>
      <c r="K64" s="16">
        <v>0</v>
      </c>
      <c r="L64" s="16">
        <f t="shared" si="13"/>
        <v>0</v>
      </c>
      <c r="M64" s="16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609"/>
      <c r="AP64" s="1074"/>
    </row>
    <row r="65" spans="1:42" ht="25.5" customHeight="1">
      <c r="A65" s="835"/>
      <c r="B65" s="895"/>
      <c r="C65" s="896"/>
      <c r="D65" s="896"/>
      <c r="E65" s="896"/>
      <c r="F65" s="896"/>
      <c r="G65" s="896"/>
      <c r="H65" s="897"/>
      <c r="I65" s="15" t="s">
        <v>9</v>
      </c>
      <c r="J65" s="16">
        <v>0</v>
      </c>
      <c r="K65" s="16">
        <v>0</v>
      </c>
      <c r="L65" s="16">
        <f t="shared" si="13"/>
        <v>0</v>
      </c>
      <c r="M65" s="16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609"/>
      <c r="AP65" s="1066"/>
    </row>
    <row r="66" spans="1:42" ht="52.5" customHeight="1">
      <c r="A66" s="812" t="s">
        <v>48</v>
      </c>
      <c r="B66" s="78" t="s">
        <v>286</v>
      </c>
      <c r="C66" s="815">
        <v>200</v>
      </c>
      <c r="D66" s="815">
        <v>180</v>
      </c>
      <c r="E66" s="815"/>
      <c r="F66" s="815"/>
      <c r="G66" s="521"/>
      <c r="H66" s="521"/>
      <c r="I66" s="820" t="s">
        <v>20</v>
      </c>
      <c r="J66" s="806">
        <v>18824.2</v>
      </c>
      <c r="K66" s="16">
        <v>0</v>
      </c>
      <c r="L66" s="82">
        <f>L67+L69</f>
        <v>5710.74</v>
      </c>
      <c r="M66" s="82">
        <f t="shared" ref="M66:O66" si="54">M67+M69</f>
        <v>893.45</v>
      </c>
      <c r="N66" s="82">
        <f t="shared" si="54"/>
        <v>1051.49</v>
      </c>
      <c r="O66" s="82">
        <f t="shared" si="54"/>
        <v>11206.2</v>
      </c>
      <c r="P66" s="82">
        <f>P67+P69</f>
        <v>1051.49</v>
      </c>
      <c r="Q66" s="82">
        <f>Q67+Q69</f>
        <v>720</v>
      </c>
      <c r="R66" s="82">
        <f t="shared" ref="R66:AN66" si="55">R67+R69</f>
        <v>400</v>
      </c>
      <c r="S66" s="82">
        <f t="shared" si="55"/>
        <v>400</v>
      </c>
      <c r="T66" s="82">
        <f t="shared" si="55"/>
        <v>320</v>
      </c>
      <c r="U66" s="82">
        <f t="shared" si="55"/>
        <v>320</v>
      </c>
      <c r="V66" s="82">
        <f t="shared" si="55"/>
        <v>0</v>
      </c>
      <c r="W66" s="82">
        <f t="shared" si="55"/>
        <v>0</v>
      </c>
      <c r="X66" s="82">
        <f t="shared" si="55"/>
        <v>0</v>
      </c>
      <c r="Y66" s="82">
        <f t="shared" si="55"/>
        <v>0</v>
      </c>
      <c r="Z66" s="82">
        <f t="shared" si="55"/>
        <v>720</v>
      </c>
      <c r="AA66" s="82">
        <f t="shared" si="55"/>
        <v>720</v>
      </c>
      <c r="AB66" s="82">
        <f t="shared" si="55"/>
        <v>0</v>
      </c>
      <c r="AC66" s="82">
        <f t="shared" si="55"/>
        <v>0</v>
      </c>
      <c r="AD66" s="82">
        <f t="shared" si="55"/>
        <v>0</v>
      </c>
      <c r="AE66" s="82">
        <f t="shared" si="55"/>
        <v>0</v>
      </c>
      <c r="AF66" s="82">
        <f t="shared" si="55"/>
        <v>0</v>
      </c>
      <c r="AG66" s="82">
        <f t="shared" si="55"/>
        <v>0</v>
      </c>
      <c r="AH66" s="82">
        <f t="shared" si="55"/>
        <v>0</v>
      </c>
      <c r="AI66" s="82">
        <f t="shared" si="55"/>
        <v>0</v>
      </c>
      <c r="AJ66" s="82">
        <f>P66-Q66</f>
        <v>331.49</v>
      </c>
      <c r="AK66" s="82">
        <f>AJ66</f>
        <v>331.49</v>
      </c>
      <c r="AL66" s="79">
        <f>ROUND((Q66*100%/P66*100),2)</f>
        <v>68.47</v>
      </c>
      <c r="AM66" s="82">
        <f t="shared" si="55"/>
        <v>0</v>
      </c>
      <c r="AN66" s="82">
        <f t="shared" si="55"/>
        <v>0</v>
      </c>
      <c r="AO66" s="623" t="s">
        <v>281</v>
      </c>
      <c r="AP66" s="1060"/>
    </row>
    <row r="67" spans="1:42" ht="15.75" customHeight="1">
      <c r="A67" s="813"/>
      <c r="B67" s="515" t="s">
        <v>15</v>
      </c>
      <c r="C67" s="816"/>
      <c r="D67" s="816"/>
      <c r="E67" s="816"/>
      <c r="F67" s="816"/>
      <c r="G67" s="523">
        <v>2019</v>
      </c>
      <c r="H67" s="523">
        <v>2019</v>
      </c>
      <c r="I67" s="822"/>
      <c r="J67" s="807"/>
      <c r="K67" s="16"/>
      <c r="L67" s="22">
        <v>1944.94</v>
      </c>
      <c r="M67" s="47">
        <v>893.45</v>
      </c>
      <c r="N67" s="47">
        <v>1051.49</v>
      </c>
      <c r="O67" s="47">
        <v>0</v>
      </c>
      <c r="P67" s="47">
        <f>N67</f>
        <v>1051.49</v>
      </c>
      <c r="Q67" s="47">
        <f>SUM(Q68)</f>
        <v>720</v>
      </c>
      <c r="R67" s="47">
        <f t="shared" ref="R67:AF67" si="56">SUM(R68)</f>
        <v>400</v>
      </c>
      <c r="S67" s="47">
        <f t="shared" si="56"/>
        <v>400</v>
      </c>
      <c r="T67" s="47">
        <f t="shared" si="56"/>
        <v>320</v>
      </c>
      <c r="U67" s="47">
        <f t="shared" si="56"/>
        <v>320</v>
      </c>
      <c r="V67" s="47">
        <f t="shared" si="56"/>
        <v>0</v>
      </c>
      <c r="W67" s="47">
        <f t="shared" si="56"/>
        <v>0</v>
      </c>
      <c r="X67" s="47">
        <v>0</v>
      </c>
      <c r="Y67" s="47">
        <f t="shared" si="56"/>
        <v>0</v>
      </c>
      <c r="Z67" s="47">
        <f>SUM(Z68)</f>
        <v>720</v>
      </c>
      <c r="AA67" s="47">
        <f t="shared" si="56"/>
        <v>720</v>
      </c>
      <c r="AB67" s="47">
        <v>0</v>
      </c>
      <c r="AC67" s="47">
        <v>0</v>
      </c>
      <c r="AD67" s="47">
        <v>0</v>
      </c>
      <c r="AE67" s="47">
        <f t="shared" si="56"/>
        <v>0</v>
      </c>
      <c r="AF67" s="47">
        <f t="shared" si="56"/>
        <v>0</v>
      </c>
      <c r="AG67" s="47">
        <v>0</v>
      </c>
      <c r="AH67" s="47">
        <v>0</v>
      </c>
      <c r="AI67" s="47">
        <v>0</v>
      </c>
      <c r="AJ67" s="47">
        <v>0</v>
      </c>
      <c r="AK67" s="47">
        <v>0</v>
      </c>
      <c r="AL67" s="47">
        <v>0</v>
      </c>
      <c r="AM67" s="47">
        <v>0</v>
      </c>
      <c r="AN67" s="47">
        <v>0</v>
      </c>
      <c r="AO67" s="608"/>
      <c r="AP67" s="1061"/>
    </row>
    <row r="68" spans="1:42" s="100" customFormat="1" ht="15.75" hidden="1" customHeight="1">
      <c r="A68" s="813"/>
      <c r="B68" s="95" t="s">
        <v>258</v>
      </c>
      <c r="C68" s="816"/>
      <c r="D68" s="816"/>
      <c r="E68" s="816"/>
      <c r="F68" s="816"/>
      <c r="G68" s="267"/>
      <c r="H68" s="267"/>
      <c r="I68" s="822"/>
      <c r="J68" s="807"/>
      <c r="K68" s="110"/>
      <c r="L68" s="110"/>
      <c r="M68" s="99"/>
      <c r="N68" s="98"/>
      <c r="O68" s="98"/>
      <c r="P68" s="47"/>
      <c r="Q68" s="99">
        <f>S68+U68+W68</f>
        <v>720</v>
      </c>
      <c r="R68" s="99">
        <f>S68</f>
        <v>400</v>
      </c>
      <c r="S68" s="99">
        <f>240+160</f>
        <v>400</v>
      </c>
      <c r="T68" s="99">
        <v>320</v>
      </c>
      <c r="U68" s="99">
        <v>320</v>
      </c>
      <c r="V68" s="99">
        <v>0</v>
      </c>
      <c r="W68" s="99">
        <v>0</v>
      </c>
      <c r="X68" s="99"/>
      <c r="Y68" s="99"/>
      <c r="Z68" s="99">
        <f>AA68</f>
        <v>720</v>
      </c>
      <c r="AA68" s="99">
        <v>720</v>
      </c>
      <c r="AB68" s="99">
        <v>0</v>
      </c>
      <c r="AC68" s="99">
        <v>0</v>
      </c>
      <c r="AD68" s="99">
        <v>0</v>
      </c>
      <c r="AE68" s="99">
        <f>SUM(AF68:AF68)</f>
        <v>0</v>
      </c>
      <c r="AF68" s="99"/>
      <c r="AG68" s="99"/>
      <c r="AH68" s="99"/>
      <c r="AI68" s="99"/>
      <c r="AJ68" s="99"/>
      <c r="AK68" s="99"/>
      <c r="AL68" s="99"/>
      <c r="AM68" s="99"/>
      <c r="AN68" s="99"/>
      <c r="AO68" s="624"/>
      <c r="AP68" s="1061"/>
    </row>
    <row r="69" spans="1:42" ht="15.75" customHeight="1">
      <c r="A69" s="813"/>
      <c r="B69" s="515" t="s">
        <v>16</v>
      </c>
      <c r="C69" s="816"/>
      <c r="D69" s="816"/>
      <c r="E69" s="816"/>
      <c r="F69" s="816"/>
      <c r="G69" s="523">
        <v>2020</v>
      </c>
      <c r="H69" s="523">
        <v>2020</v>
      </c>
      <c r="I69" s="821"/>
      <c r="J69" s="808"/>
      <c r="K69" s="22">
        <v>0</v>
      </c>
      <c r="L69" s="22">
        <v>3765.8</v>
      </c>
      <c r="M69" s="47">
        <v>0</v>
      </c>
      <c r="N69" s="47">
        <v>0</v>
      </c>
      <c r="O69" s="47">
        <v>11206.2</v>
      </c>
      <c r="P69" s="47">
        <f>M69*1.2</f>
        <v>0</v>
      </c>
      <c r="Q69" s="47">
        <v>0</v>
      </c>
      <c r="R69" s="47">
        <v>0</v>
      </c>
      <c r="S69" s="47">
        <v>0</v>
      </c>
      <c r="T69" s="47">
        <v>0</v>
      </c>
      <c r="U69" s="47">
        <v>0</v>
      </c>
      <c r="V69" s="47">
        <v>0</v>
      </c>
      <c r="W69" s="47">
        <v>0</v>
      </c>
      <c r="X69" s="47">
        <v>0</v>
      </c>
      <c r="Y69" s="47">
        <v>0</v>
      </c>
      <c r="Z69" s="47">
        <v>0</v>
      </c>
      <c r="AA69" s="47">
        <v>0</v>
      </c>
      <c r="AB69" s="47">
        <v>0</v>
      </c>
      <c r="AC69" s="47">
        <v>0</v>
      </c>
      <c r="AD69" s="47">
        <v>0</v>
      </c>
      <c r="AE69" s="47">
        <v>0</v>
      </c>
      <c r="AF69" s="47">
        <v>0</v>
      </c>
      <c r="AG69" s="47">
        <v>0</v>
      </c>
      <c r="AH69" s="47">
        <v>0</v>
      </c>
      <c r="AI69" s="47">
        <v>0</v>
      </c>
      <c r="AJ69" s="47">
        <v>0</v>
      </c>
      <c r="AK69" s="47">
        <v>0</v>
      </c>
      <c r="AL69" s="47">
        <v>0</v>
      </c>
      <c r="AM69" s="47">
        <v>0</v>
      </c>
      <c r="AN69" s="47">
        <v>0</v>
      </c>
      <c r="AO69" s="608"/>
      <c r="AP69" s="1062"/>
    </row>
    <row r="70" spans="1:42" ht="52.5" customHeight="1">
      <c r="A70" s="833" t="s">
        <v>56</v>
      </c>
      <c r="B70" s="889" t="s">
        <v>41</v>
      </c>
      <c r="C70" s="890"/>
      <c r="D70" s="890"/>
      <c r="E70" s="890"/>
      <c r="F70" s="890"/>
      <c r="G70" s="890"/>
      <c r="H70" s="891"/>
      <c r="I70" s="15" t="s">
        <v>19</v>
      </c>
      <c r="J70" s="517">
        <v>0</v>
      </c>
      <c r="K70" s="517">
        <v>0</v>
      </c>
      <c r="L70" s="16">
        <f t="shared" si="13"/>
        <v>0</v>
      </c>
      <c r="M70" s="16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609"/>
      <c r="AP70" s="648"/>
    </row>
    <row r="71" spans="1:42" ht="48" customHeight="1">
      <c r="A71" s="834"/>
      <c r="B71" s="892"/>
      <c r="C71" s="893"/>
      <c r="D71" s="893"/>
      <c r="E71" s="893"/>
      <c r="F71" s="893"/>
      <c r="G71" s="893"/>
      <c r="H71" s="894"/>
      <c r="I71" s="15" t="s">
        <v>20</v>
      </c>
      <c r="J71" s="517">
        <f>L71</f>
        <v>212998.96</v>
      </c>
      <c r="K71" s="517">
        <f>K74+K113+K114+K115</f>
        <v>0</v>
      </c>
      <c r="L71" s="16">
        <f>L74+L78+L82+L83+L85+L87+L90+L96+L101+L103+L106+L109</f>
        <v>212998.96</v>
      </c>
      <c r="M71" s="16">
        <f t="shared" ref="M71:Y71" si="57">M74+M78+M82+M83+M85+M87+M90+M96</f>
        <v>23675.279999999999</v>
      </c>
      <c r="N71" s="22">
        <f>N74+N78+N82+N83+N85+N87+N90+N96+N101+N103+N106+N109</f>
        <v>44561.120000000003</v>
      </c>
      <c r="O71" s="22">
        <f t="shared" ref="O71:P71" si="58">O74+O78+O82+O83+O85+O87+O90+O96+O101+O103+O106+O109</f>
        <v>26487.67</v>
      </c>
      <c r="P71" s="22">
        <f t="shared" si="58"/>
        <v>44561.120000000003</v>
      </c>
      <c r="Q71" s="22">
        <f t="shared" si="57"/>
        <v>31684.157999999999</v>
      </c>
      <c r="R71" s="22">
        <f t="shared" si="57"/>
        <v>3147.3500000000004</v>
      </c>
      <c r="S71" s="22">
        <f t="shared" si="57"/>
        <v>3147.3500000000004</v>
      </c>
      <c r="T71" s="22">
        <f t="shared" si="57"/>
        <v>19700.895</v>
      </c>
      <c r="U71" s="22">
        <f t="shared" si="57"/>
        <v>16520.773000000001</v>
      </c>
      <c r="V71" s="22">
        <f t="shared" si="57"/>
        <v>5956.13</v>
      </c>
      <c r="W71" s="22">
        <f t="shared" si="57"/>
        <v>5956.13</v>
      </c>
      <c r="X71" s="22">
        <f t="shared" si="57"/>
        <v>6059.9049999999997</v>
      </c>
      <c r="Y71" s="22">
        <f t="shared" si="57"/>
        <v>6059.9049999999997</v>
      </c>
      <c r="Z71" s="22">
        <f>Z74+Z78+Z82+Z83+Z85+Z87+Z90+Z96+Z101+Z103+Z106+Z109</f>
        <v>57592.463000000003</v>
      </c>
      <c r="AA71" s="22">
        <f t="shared" ref="AA71:AD71" si="59">AA74+AA78+AA82+AA83+AA85+AA87+AA90+AA96+AA101+AA103+AA106+AA109</f>
        <v>19300.669999999998</v>
      </c>
      <c r="AB71" s="22">
        <f t="shared" si="59"/>
        <v>357.43299999999999</v>
      </c>
      <c r="AC71" s="22">
        <f t="shared" si="59"/>
        <v>12026.03</v>
      </c>
      <c r="AD71" s="22">
        <f t="shared" si="59"/>
        <v>25908.33</v>
      </c>
      <c r="AE71" s="22">
        <f t="shared" ref="AE71:AN71" si="60">AE74+AE78+AE82</f>
        <v>40094.974000000002</v>
      </c>
      <c r="AF71" s="22">
        <f t="shared" si="60"/>
        <v>0</v>
      </c>
      <c r="AG71" s="22">
        <f t="shared" si="60"/>
        <v>0</v>
      </c>
      <c r="AH71" s="22">
        <f t="shared" si="60"/>
        <v>40094.974000000002</v>
      </c>
      <c r="AI71" s="22">
        <f>AI74+AI78+AI82+AI109</f>
        <v>24158.33</v>
      </c>
      <c r="AJ71" s="22">
        <f t="shared" si="60"/>
        <v>6304.55</v>
      </c>
      <c r="AK71" s="22">
        <f t="shared" si="60"/>
        <v>6304.55</v>
      </c>
      <c r="AL71" s="22">
        <f t="shared" si="60"/>
        <v>342.34000000000003</v>
      </c>
      <c r="AM71" s="22">
        <f t="shared" si="60"/>
        <v>0</v>
      </c>
      <c r="AN71" s="22">
        <f t="shared" si="60"/>
        <v>0</v>
      </c>
      <c r="AO71" s="609"/>
      <c r="AP71" s="648"/>
    </row>
    <row r="72" spans="1:42" ht="27" customHeight="1">
      <c r="A72" s="834"/>
      <c r="B72" s="892"/>
      <c r="C72" s="893"/>
      <c r="D72" s="893"/>
      <c r="E72" s="893"/>
      <c r="F72" s="893"/>
      <c r="G72" s="893"/>
      <c r="H72" s="894"/>
      <c r="I72" s="15" t="s">
        <v>10</v>
      </c>
      <c r="J72" s="517">
        <f t="shared" ref="J72:J73" si="61">L72</f>
        <v>0</v>
      </c>
      <c r="K72" s="517">
        <v>0</v>
      </c>
      <c r="L72" s="16">
        <f t="shared" ref="L72:L82" si="62">M72+N72+O72</f>
        <v>0</v>
      </c>
      <c r="M72" s="16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609"/>
      <c r="AP72" s="648"/>
    </row>
    <row r="73" spans="1:42" ht="27" customHeight="1">
      <c r="A73" s="835"/>
      <c r="B73" s="895"/>
      <c r="C73" s="896"/>
      <c r="D73" s="896"/>
      <c r="E73" s="896"/>
      <c r="F73" s="896"/>
      <c r="G73" s="896"/>
      <c r="H73" s="897"/>
      <c r="I73" s="15" t="s">
        <v>9</v>
      </c>
      <c r="J73" s="517">
        <f t="shared" si="61"/>
        <v>0</v>
      </c>
      <c r="K73" s="517">
        <v>0</v>
      </c>
      <c r="L73" s="16">
        <f t="shared" si="62"/>
        <v>0</v>
      </c>
      <c r="M73" s="16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609"/>
      <c r="AP73" s="648"/>
    </row>
    <row r="74" spans="1:42" ht="41.25" customHeight="1">
      <c r="A74" s="812" t="s">
        <v>57</v>
      </c>
      <c r="B74" s="80" t="s">
        <v>205</v>
      </c>
      <c r="C74" s="542"/>
      <c r="D74" s="542"/>
      <c r="E74" s="542"/>
      <c r="F74" s="542"/>
      <c r="G74" s="538">
        <v>2019</v>
      </c>
      <c r="H74" s="538">
        <v>2019</v>
      </c>
      <c r="I74" s="820" t="s">
        <v>20</v>
      </c>
      <c r="J74" s="16">
        <f>L74</f>
        <v>30833.33</v>
      </c>
      <c r="K74" s="22"/>
      <c r="L74" s="82">
        <f>L75</f>
        <v>30833.33</v>
      </c>
      <c r="M74" s="82">
        <f t="shared" ref="M74:O74" si="63">M75</f>
        <v>20000</v>
      </c>
      <c r="N74" s="82">
        <f t="shared" si="63"/>
        <v>9151.41</v>
      </c>
      <c r="O74" s="82">
        <f t="shared" si="63"/>
        <v>0</v>
      </c>
      <c r="P74" s="82">
        <f>N74</f>
        <v>9151.41</v>
      </c>
      <c r="Q74" s="82">
        <f>Q75</f>
        <v>30833.344999999998</v>
      </c>
      <c r="R74" s="82">
        <f>R75</f>
        <v>2916.67</v>
      </c>
      <c r="S74" s="82">
        <f>S75</f>
        <v>2916.67</v>
      </c>
      <c r="T74" s="82">
        <f t="shared" ref="T74:AB74" si="64">T75</f>
        <v>19080.761999999999</v>
      </c>
      <c r="U74" s="82">
        <f t="shared" si="64"/>
        <v>15900.64</v>
      </c>
      <c r="V74" s="82">
        <f t="shared" si="64"/>
        <v>5956.13</v>
      </c>
      <c r="W74" s="82">
        <f t="shared" si="64"/>
        <v>5956.13</v>
      </c>
      <c r="X74" s="82">
        <f t="shared" si="64"/>
        <v>6059.9049999999997</v>
      </c>
      <c r="Y74" s="82">
        <f t="shared" si="64"/>
        <v>6059.9049999999997</v>
      </c>
      <c r="Z74" s="82">
        <f t="shared" si="64"/>
        <v>30833.33</v>
      </c>
      <c r="AA74" s="82">
        <f t="shared" si="64"/>
        <v>18817.3</v>
      </c>
      <c r="AB74" s="82">
        <f t="shared" si="64"/>
        <v>0</v>
      </c>
      <c r="AC74" s="82">
        <f>AC75</f>
        <v>12016.03</v>
      </c>
      <c r="AD74" s="82">
        <f t="shared" ref="AD74:AI74" si="65">AD75</f>
        <v>0</v>
      </c>
      <c r="AE74" s="82">
        <f t="shared" si="65"/>
        <v>40094.974000000002</v>
      </c>
      <c r="AF74" s="82">
        <f t="shared" si="65"/>
        <v>0</v>
      </c>
      <c r="AG74" s="82">
        <f t="shared" si="65"/>
        <v>0</v>
      </c>
      <c r="AH74" s="82">
        <f t="shared" si="65"/>
        <v>40094.974000000002</v>
      </c>
      <c r="AI74" s="82">
        <f t="shared" si="65"/>
        <v>0</v>
      </c>
      <c r="AJ74" s="82">
        <v>0</v>
      </c>
      <c r="AK74" s="82">
        <f>AJ74</f>
        <v>0</v>
      </c>
      <c r="AL74" s="79">
        <f>ROUND((Q74*100%/P74*100),2)</f>
        <v>336.92</v>
      </c>
      <c r="AM74" s="82">
        <v>0</v>
      </c>
      <c r="AN74" s="82">
        <v>0</v>
      </c>
      <c r="AO74" s="623" t="s">
        <v>282</v>
      </c>
      <c r="AP74" s="1065" t="s">
        <v>320</v>
      </c>
    </row>
    <row r="75" spans="1:42" s="292" customFormat="1" ht="14.25" customHeight="1">
      <c r="A75" s="814"/>
      <c r="B75" s="1" t="s">
        <v>206</v>
      </c>
      <c r="C75" s="523"/>
      <c r="D75" s="523"/>
      <c r="E75" s="523"/>
      <c r="F75" s="523"/>
      <c r="G75" s="538"/>
      <c r="H75" s="538"/>
      <c r="I75" s="877"/>
      <c r="J75" s="47"/>
      <c r="K75" s="47"/>
      <c r="L75" s="47">
        <v>30833.33</v>
      </c>
      <c r="M75" s="47">
        <v>20000</v>
      </c>
      <c r="N75" s="47">
        <v>9151.41</v>
      </c>
      <c r="O75" s="47">
        <v>0</v>
      </c>
      <c r="P75" s="47">
        <f>N75</f>
        <v>9151.41</v>
      </c>
      <c r="Q75" s="47">
        <f>SUM(Q76:Q77)</f>
        <v>30833.344999999998</v>
      </c>
      <c r="R75" s="47">
        <f>SUM(R76:R77)</f>
        <v>2916.67</v>
      </c>
      <c r="S75" s="47">
        <f>SUM(S76:S77)</f>
        <v>2916.67</v>
      </c>
      <c r="T75" s="47">
        <f t="shared" ref="T75:AB75" si="66">SUM(T76:T77)</f>
        <v>19080.761999999999</v>
      </c>
      <c r="U75" s="47">
        <f t="shared" si="66"/>
        <v>15900.64</v>
      </c>
      <c r="V75" s="47">
        <f t="shared" si="66"/>
        <v>5956.13</v>
      </c>
      <c r="W75" s="47">
        <f t="shared" si="66"/>
        <v>5956.13</v>
      </c>
      <c r="X75" s="47">
        <f t="shared" si="66"/>
        <v>6059.9049999999997</v>
      </c>
      <c r="Y75" s="47">
        <f t="shared" si="66"/>
        <v>6059.9049999999997</v>
      </c>
      <c r="Z75" s="47">
        <f t="shared" si="66"/>
        <v>30833.33</v>
      </c>
      <c r="AA75" s="47">
        <f t="shared" si="66"/>
        <v>18817.3</v>
      </c>
      <c r="AB75" s="47">
        <f t="shared" si="66"/>
        <v>0</v>
      </c>
      <c r="AC75" s="47">
        <f>SUM(AC76:AC77)</f>
        <v>12016.03</v>
      </c>
      <c r="AD75" s="47">
        <f t="shared" ref="AD75:AI75" si="67">SUM(AD76:AD77)</f>
        <v>0</v>
      </c>
      <c r="AE75" s="47">
        <f t="shared" si="67"/>
        <v>40094.974000000002</v>
      </c>
      <c r="AF75" s="47">
        <f t="shared" si="67"/>
        <v>0</v>
      </c>
      <c r="AG75" s="47">
        <f t="shared" si="67"/>
        <v>0</v>
      </c>
      <c r="AH75" s="47">
        <f t="shared" si="67"/>
        <v>40094.974000000002</v>
      </c>
      <c r="AI75" s="47">
        <f t="shared" si="67"/>
        <v>0</v>
      </c>
      <c r="AJ75" s="47">
        <v>0</v>
      </c>
      <c r="AK75" s="47">
        <v>0</v>
      </c>
      <c r="AL75" s="4">
        <v>0</v>
      </c>
      <c r="AM75" s="47">
        <v>0</v>
      </c>
      <c r="AN75" s="47">
        <v>0</v>
      </c>
      <c r="AO75" s="608"/>
      <c r="AP75" s="1064"/>
    </row>
    <row r="76" spans="1:42" s="273" customFormat="1" ht="15.75" hidden="1" customHeight="1">
      <c r="A76" s="520"/>
      <c r="B76" s="105" t="s">
        <v>277</v>
      </c>
      <c r="C76" s="267"/>
      <c r="D76" s="267"/>
      <c r="E76" s="267"/>
      <c r="F76" s="267"/>
      <c r="G76" s="107"/>
      <c r="H76" s="107"/>
      <c r="I76" s="545"/>
      <c r="J76" s="99"/>
      <c r="K76" s="99"/>
      <c r="L76" s="99"/>
      <c r="M76" s="99"/>
      <c r="N76" s="99"/>
      <c r="O76" s="99"/>
      <c r="P76" s="47">
        <f>Q76</f>
        <v>30833.344999999998</v>
      </c>
      <c r="Q76" s="99">
        <f>S76+U76+W76+Y76</f>
        <v>30833.344999999998</v>
      </c>
      <c r="R76" s="99">
        <f>S76</f>
        <v>2916.67</v>
      </c>
      <c r="S76" s="99">
        <v>2916.67</v>
      </c>
      <c r="T76" s="99">
        <v>19080.761999999999</v>
      </c>
      <c r="U76" s="99">
        <v>15900.64</v>
      </c>
      <c r="V76" s="99">
        <f>W76</f>
        <v>5956.13</v>
      </c>
      <c r="W76" s="99">
        <v>5956.13</v>
      </c>
      <c r="X76" s="99">
        <f>Y76</f>
        <v>6059.9049999999997</v>
      </c>
      <c r="Y76" s="99">
        <v>6059.9049999999997</v>
      </c>
      <c r="Z76" s="99">
        <f>AA76+AC76</f>
        <v>30833.33</v>
      </c>
      <c r="AA76" s="99">
        <v>18817.3</v>
      </c>
      <c r="AB76" s="99">
        <v>0</v>
      </c>
      <c r="AC76" s="99">
        <v>12016.03</v>
      </c>
      <c r="AD76" s="99">
        <v>0</v>
      </c>
      <c r="AE76" s="99">
        <f>AF76+AG76+AH76</f>
        <v>40094.974000000002</v>
      </c>
      <c r="AF76" s="99"/>
      <c r="AG76" s="99"/>
      <c r="AH76" s="99">
        <v>40094.974000000002</v>
      </c>
      <c r="AI76" s="99"/>
      <c r="AJ76" s="99"/>
      <c r="AK76" s="99"/>
      <c r="AL76" s="275"/>
      <c r="AM76" s="99"/>
      <c r="AN76" s="99"/>
      <c r="AO76" s="624"/>
      <c r="AP76" s="1064"/>
    </row>
    <row r="77" spans="1:42" s="292" customFormat="1" ht="14.25" customHeight="1">
      <c r="A77" s="520"/>
      <c r="B77" s="1"/>
      <c r="C77" s="523"/>
      <c r="D77" s="523"/>
      <c r="E77" s="523"/>
      <c r="F77" s="523"/>
      <c r="G77" s="538"/>
      <c r="H77" s="538"/>
      <c r="I77" s="545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"/>
      <c r="AM77" s="47"/>
      <c r="AN77" s="47"/>
      <c r="AO77" s="608"/>
      <c r="AP77" s="992"/>
    </row>
    <row r="78" spans="1:42" ht="42" customHeight="1">
      <c r="A78" s="44" t="s">
        <v>58</v>
      </c>
      <c r="B78" s="80" t="s">
        <v>87</v>
      </c>
      <c r="C78" s="815"/>
      <c r="D78" s="815"/>
      <c r="E78" s="815"/>
      <c r="F78" s="815"/>
      <c r="G78" s="538"/>
      <c r="H78" s="538"/>
      <c r="I78" s="820" t="s">
        <v>20</v>
      </c>
      <c r="J78" s="16">
        <f t="shared" ref="J78:J81" si="68">L78</f>
        <v>20425.87</v>
      </c>
      <c r="K78" s="22"/>
      <c r="L78" s="82">
        <f>L79+L81</f>
        <v>20425.87</v>
      </c>
      <c r="M78" s="82">
        <f>M79+M81</f>
        <v>616.66</v>
      </c>
      <c r="N78" s="82">
        <f t="shared" ref="N78:O78" si="69">N79+N81</f>
        <v>6665.55</v>
      </c>
      <c r="O78" s="82">
        <f t="shared" si="69"/>
        <v>4018.39</v>
      </c>
      <c r="P78" s="82">
        <f>N78</f>
        <v>6665.55</v>
      </c>
      <c r="Q78" s="82">
        <f t="shared" ref="Q78:AN78" si="70">Q79+Q81</f>
        <v>361</v>
      </c>
      <c r="R78" s="82">
        <f t="shared" si="70"/>
        <v>108.3</v>
      </c>
      <c r="S78" s="82">
        <f t="shared" si="70"/>
        <v>108.3</v>
      </c>
      <c r="T78" s="82">
        <f t="shared" si="70"/>
        <v>252.7</v>
      </c>
      <c r="U78" s="82">
        <f t="shared" si="70"/>
        <v>252.7</v>
      </c>
      <c r="V78" s="82">
        <f t="shared" si="70"/>
        <v>0</v>
      </c>
      <c r="W78" s="82">
        <f t="shared" si="70"/>
        <v>0</v>
      </c>
      <c r="X78" s="82">
        <f t="shared" si="70"/>
        <v>0</v>
      </c>
      <c r="Y78" s="82">
        <f t="shared" si="70"/>
        <v>0</v>
      </c>
      <c r="Z78" s="82">
        <f t="shared" si="70"/>
        <v>361</v>
      </c>
      <c r="AA78" s="82">
        <f t="shared" si="70"/>
        <v>361</v>
      </c>
      <c r="AB78" s="82">
        <f t="shared" si="70"/>
        <v>0</v>
      </c>
      <c r="AC78" s="82">
        <f t="shared" si="70"/>
        <v>0</v>
      </c>
      <c r="AD78" s="82">
        <f t="shared" si="70"/>
        <v>0</v>
      </c>
      <c r="AE78" s="82">
        <f t="shared" si="70"/>
        <v>0</v>
      </c>
      <c r="AF78" s="82">
        <f t="shared" si="70"/>
        <v>0</v>
      </c>
      <c r="AG78" s="82">
        <f t="shared" si="70"/>
        <v>0</v>
      </c>
      <c r="AH78" s="82">
        <f t="shared" si="70"/>
        <v>0</v>
      </c>
      <c r="AI78" s="82">
        <f t="shared" si="70"/>
        <v>0</v>
      </c>
      <c r="AJ78" s="82">
        <f>P78-Q78</f>
        <v>6304.55</v>
      </c>
      <c r="AK78" s="82">
        <f>AJ78</f>
        <v>6304.55</v>
      </c>
      <c r="AL78" s="79">
        <f>ROUND((Q78*100%/P78*100),2)</f>
        <v>5.42</v>
      </c>
      <c r="AM78" s="82">
        <f t="shared" si="70"/>
        <v>0</v>
      </c>
      <c r="AN78" s="82">
        <f t="shared" si="70"/>
        <v>0</v>
      </c>
      <c r="AO78" s="623" t="s">
        <v>248</v>
      </c>
      <c r="AP78" s="1060"/>
    </row>
    <row r="79" spans="1:42" ht="19.5" customHeight="1">
      <c r="A79" s="44"/>
      <c r="B79" s="1" t="s">
        <v>15</v>
      </c>
      <c r="C79" s="816"/>
      <c r="D79" s="816"/>
      <c r="E79" s="816"/>
      <c r="F79" s="816"/>
      <c r="G79" s="538">
        <v>2020</v>
      </c>
      <c r="H79" s="538">
        <v>2020</v>
      </c>
      <c r="I79" s="822"/>
      <c r="J79" s="16">
        <f t="shared" si="68"/>
        <v>7560.63</v>
      </c>
      <c r="K79" s="22"/>
      <c r="L79" s="16">
        <v>7560.63</v>
      </c>
      <c r="M79" s="47">
        <v>616.66</v>
      </c>
      <c r="N79" s="47">
        <v>6665.55</v>
      </c>
      <c r="O79" s="47">
        <v>0</v>
      </c>
      <c r="P79" s="47">
        <f>N79*1.2</f>
        <v>7998.66</v>
      </c>
      <c r="Q79" s="47">
        <f>Q80</f>
        <v>361</v>
      </c>
      <c r="R79" s="47">
        <f t="shared" ref="R79:Y79" si="71">R80</f>
        <v>108.3</v>
      </c>
      <c r="S79" s="47">
        <f t="shared" si="71"/>
        <v>108.3</v>
      </c>
      <c r="T79" s="47">
        <f t="shared" si="71"/>
        <v>252.7</v>
      </c>
      <c r="U79" s="47">
        <f t="shared" si="71"/>
        <v>252.7</v>
      </c>
      <c r="V79" s="47">
        <f t="shared" si="71"/>
        <v>0</v>
      </c>
      <c r="W79" s="47">
        <f t="shared" si="71"/>
        <v>0</v>
      </c>
      <c r="X79" s="47">
        <v>0</v>
      </c>
      <c r="Y79" s="47">
        <f t="shared" si="71"/>
        <v>0</v>
      </c>
      <c r="Z79" s="47">
        <f>Z80</f>
        <v>361</v>
      </c>
      <c r="AA79" s="47">
        <f t="shared" ref="AA79:AD79" si="72">AA80</f>
        <v>361</v>
      </c>
      <c r="AB79" s="47">
        <f t="shared" si="72"/>
        <v>0</v>
      </c>
      <c r="AC79" s="47">
        <f t="shared" si="72"/>
        <v>0</v>
      </c>
      <c r="AD79" s="47">
        <f t="shared" si="72"/>
        <v>0</v>
      </c>
      <c r="AE79" s="47">
        <f>AE80</f>
        <v>0</v>
      </c>
      <c r="AF79" s="47">
        <f t="shared" ref="AF79:AI79" si="73">AF80</f>
        <v>0</v>
      </c>
      <c r="AG79" s="47">
        <f t="shared" si="73"/>
        <v>0</v>
      </c>
      <c r="AH79" s="47">
        <f t="shared" si="73"/>
        <v>0</v>
      </c>
      <c r="AI79" s="47">
        <f t="shared" si="73"/>
        <v>0</v>
      </c>
      <c r="AJ79" s="47">
        <v>0</v>
      </c>
      <c r="AK79" s="47">
        <v>0</v>
      </c>
      <c r="AL79" s="47">
        <v>0</v>
      </c>
      <c r="AM79" s="47">
        <v>0</v>
      </c>
      <c r="AN79" s="47">
        <v>0</v>
      </c>
      <c r="AO79" s="608"/>
      <c r="AP79" s="1061"/>
    </row>
    <row r="80" spans="1:42" s="100" customFormat="1" ht="16.5" hidden="1" customHeight="1">
      <c r="A80" s="256"/>
      <c r="B80" s="105" t="s">
        <v>263</v>
      </c>
      <c r="C80" s="816"/>
      <c r="D80" s="816"/>
      <c r="E80" s="816"/>
      <c r="F80" s="816"/>
      <c r="G80" s="107"/>
      <c r="H80" s="107"/>
      <c r="I80" s="822"/>
      <c r="J80" s="110"/>
      <c r="K80" s="178"/>
      <c r="L80" s="110"/>
      <c r="M80" s="99"/>
      <c r="N80" s="98"/>
      <c r="O80" s="98"/>
      <c r="P80" s="47">
        <v>0</v>
      </c>
      <c r="Q80" s="99">
        <f>S80+U80+Y80</f>
        <v>361</v>
      </c>
      <c r="R80" s="99">
        <f>S80</f>
        <v>108.3</v>
      </c>
      <c r="S80" s="99">
        <v>108.3</v>
      </c>
      <c r="T80" s="99">
        <v>252.7</v>
      </c>
      <c r="U80" s="99">
        <v>252.7</v>
      </c>
      <c r="V80" s="99"/>
      <c r="W80" s="99"/>
      <c r="X80" s="99"/>
      <c r="Y80" s="99">
        <v>0</v>
      </c>
      <c r="Z80" s="99">
        <f>AA80</f>
        <v>361</v>
      </c>
      <c r="AA80" s="99">
        <v>361</v>
      </c>
      <c r="AB80" s="99">
        <v>0</v>
      </c>
      <c r="AC80" s="99"/>
      <c r="AD80" s="99"/>
      <c r="AE80" s="99">
        <f>SUM(AF80:AF80)</f>
        <v>0</v>
      </c>
      <c r="AF80" s="99"/>
      <c r="AG80" s="99"/>
      <c r="AH80" s="99"/>
      <c r="AI80" s="99"/>
      <c r="AJ80" s="99">
        <v>0</v>
      </c>
      <c r="AK80" s="99">
        <v>0</v>
      </c>
      <c r="AL80" s="99">
        <v>0</v>
      </c>
      <c r="AM80" s="99">
        <v>0</v>
      </c>
      <c r="AN80" s="99">
        <v>0</v>
      </c>
      <c r="AO80" s="624"/>
      <c r="AP80" s="1061"/>
    </row>
    <row r="81" spans="1:42" ht="18.75" customHeight="1">
      <c r="A81" s="44"/>
      <c r="B81" s="1" t="s">
        <v>16</v>
      </c>
      <c r="C81" s="900"/>
      <c r="D81" s="900"/>
      <c r="E81" s="900"/>
      <c r="F81" s="900"/>
      <c r="G81" s="538">
        <v>2020</v>
      </c>
      <c r="H81" s="538">
        <v>2020</v>
      </c>
      <c r="I81" s="821"/>
      <c r="J81" s="16">
        <f t="shared" si="68"/>
        <v>12865.24</v>
      </c>
      <c r="K81" s="22"/>
      <c r="L81" s="16">
        <v>12865.24</v>
      </c>
      <c r="M81" s="47">
        <v>0</v>
      </c>
      <c r="N81" s="47">
        <v>0</v>
      </c>
      <c r="O81" s="3">
        <v>4018.39</v>
      </c>
      <c r="P81" s="47">
        <f>N81*1.2</f>
        <v>0</v>
      </c>
      <c r="Q81" s="47">
        <v>0</v>
      </c>
      <c r="R81" s="47">
        <v>0</v>
      </c>
      <c r="S81" s="47">
        <v>0</v>
      </c>
      <c r="T81" s="47">
        <v>0</v>
      </c>
      <c r="U81" s="47">
        <v>0</v>
      </c>
      <c r="V81" s="47">
        <v>0</v>
      </c>
      <c r="W81" s="47">
        <v>0</v>
      </c>
      <c r="X81" s="47">
        <v>0</v>
      </c>
      <c r="Y81" s="47">
        <v>0</v>
      </c>
      <c r="Z81" s="47">
        <v>0</v>
      </c>
      <c r="AA81" s="47">
        <v>0</v>
      </c>
      <c r="AB81" s="47">
        <v>0</v>
      </c>
      <c r="AC81" s="47">
        <v>0</v>
      </c>
      <c r="AD81" s="47">
        <v>0</v>
      </c>
      <c r="AE81" s="47">
        <v>0</v>
      </c>
      <c r="AF81" s="47">
        <v>0</v>
      </c>
      <c r="AG81" s="47">
        <v>0</v>
      </c>
      <c r="AH81" s="47">
        <v>0</v>
      </c>
      <c r="AI81" s="47">
        <v>0</v>
      </c>
      <c r="AJ81" s="47">
        <v>0</v>
      </c>
      <c r="AK81" s="47">
        <v>0</v>
      </c>
      <c r="AL81" s="47">
        <v>0</v>
      </c>
      <c r="AM81" s="47">
        <v>0</v>
      </c>
      <c r="AN81" s="47">
        <v>0</v>
      </c>
      <c r="AO81" s="608"/>
      <c r="AP81" s="1062"/>
    </row>
    <row r="82" spans="1:42" ht="44.25" hidden="1" customHeight="1">
      <c r="A82" s="44" t="s">
        <v>59</v>
      </c>
      <c r="B82" s="353" t="s">
        <v>55</v>
      </c>
      <c r="C82" s="542"/>
      <c r="D82" s="542"/>
      <c r="E82" s="542"/>
      <c r="F82" s="542"/>
      <c r="G82" s="538">
        <v>2021</v>
      </c>
      <c r="H82" s="538"/>
      <c r="I82" s="524" t="s">
        <v>20</v>
      </c>
      <c r="J82" s="518">
        <v>313558.92</v>
      </c>
      <c r="K82" s="22"/>
      <c r="L82" s="357">
        <f t="shared" si="62"/>
        <v>0</v>
      </c>
      <c r="M82" s="357">
        <v>0</v>
      </c>
      <c r="N82" s="357">
        <v>0</v>
      </c>
      <c r="O82" s="357">
        <v>0</v>
      </c>
      <c r="P82" s="357">
        <v>0</v>
      </c>
      <c r="Q82" s="357">
        <v>0</v>
      </c>
      <c r="R82" s="357">
        <v>0</v>
      </c>
      <c r="S82" s="357">
        <v>0</v>
      </c>
      <c r="T82" s="357">
        <v>0</v>
      </c>
      <c r="U82" s="357">
        <v>0</v>
      </c>
      <c r="V82" s="357">
        <v>0</v>
      </c>
      <c r="W82" s="357">
        <v>0</v>
      </c>
      <c r="X82" s="357">
        <v>0</v>
      </c>
      <c r="Y82" s="357">
        <v>0</v>
      </c>
      <c r="Z82" s="357">
        <v>0</v>
      </c>
      <c r="AA82" s="357">
        <v>0</v>
      </c>
      <c r="AB82" s="357"/>
      <c r="AC82" s="357"/>
      <c r="AD82" s="357"/>
      <c r="AE82" s="357">
        <v>0</v>
      </c>
      <c r="AF82" s="357"/>
      <c r="AG82" s="357"/>
      <c r="AH82" s="357"/>
      <c r="AI82" s="357"/>
      <c r="AJ82" s="357">
        <f>P82-Q82</f>
        <v>0</v>
      </c>
      <c r="AK82" s="357">
        <f>AJ82</f>
        <v>0</v>
      </c>
      <c r="AL82" s="364">
        <v>0</v>
      </c>
      <c r="AM82" s="357">
        <v>0</v>
      </c>
      <c r="AN82" s="357">
        <v>0</v>
      </c>
      <c r="AO82" s="625" t="s">
        <v>163</v>
      </c>
      <c r="AP82" s="648"/>
    </row>
    <row r="83" spans="1:42" s="292" customFormat="1" ht="51.75" customHeight="1">
      <c r="A83" s="519" t="s">
        <v>287</v>
      </c>
      <c r="B83" s="83" t="s">
        <v>207</v>
      </c>
      <c r="C83" s="322"/>
      <c r="D83" s="322"/>
      <c r="E83" s="322"/>
      <c r="F83" s="322"/>
      <c r="G83" s="323"/>
      <c r="H83" s="324"/>
      <c r="I83" s="820" t="s">
        <v>20</v>
      </c>
      <c r="J83" s="291"/>
      <c r="K83" s="175"/>
      <c r="L83" s="82">
        <f>L84</f>
        <v>4214.49</v>
      </c>
      <c r="M83" s="82">
        <f>M84</f>
        <v>0</v>
      </c>
      <c r="N83" s="82">
        <f t="shared" ref="N83:AN83" si="74">N84</f>
        <v>3995.07</v>
      </c>
      <c r="O83" s="82">
        <f t="shared" si="74"/>
        <v>0</v>
      </c>
      <c r="P83" s="82">
        <f>N83</f>
        <v>3995.07</v>
      </c>
      <c r="Q83" s="82">
        <f t="shared" si="74"/>
        <v>0</v>
      </c>
      <c r="R83" s="82">
        <f t="shared" si="74"/>
        <v>0</v>
      </c>
      <c r="S83" s="82">
        <f t="shared" si="74"/>
        <v>0</v>
      </c>
      <c r="T83" s="82">
        <f t="shared" si="74"/>
        <v>0</v>
      </c>
      <c r="U83" s="82">
        <f t="shared" si="74"/>
        <v>0</v>
      </c>
      <c r="V83" s="82">
        <f t="shared" si="74"/>
        <v>0</v>
      </c>
      <c r="W83" s="82">
        <f t="shared" si="74"/>
        <v>0</v>
      </c>
      <c r="X83" s="82">
        <f t="shared" si="74"/>
        <v>0</v>
      </c>
      <c r="Y83" s="82">
        <f t="shared" si="74"/>
        <v>0</v>
      </c>
      <c r="Z83" s="82">
        <f t="shared" si="74"/>
        <v>0</v>
      </c>
      <c r="AA83" s="82">
        <f t="shared" si="74"/>
        <v>0</v>
      </c>
      <c r="AB83" s="82">
        <f t="shared" si="74"/>
        <v>0</v>
      </c>
      <c r="AC83" s="82">
        <f t="shared" si="74"/>
        <v>0</v>
      </c>
      <c r="AD83" s="82">
        <f t="shared" si="74"/>
        <v>0</v>
      </c>
      <c r="AE83" s="82">
        <f t="shared" si="74"/>
        <v>0</v>
      </c>
      <c r="AF83" s="82">
        <f t="shared" si="74"/>
        <v>0</v>
      </c>
      <c r="AG83" s="82">
        <f t="shared" si="74"/>
        <v>0</v>
      </c>
      <c r="AH83" s="82">
        <f t="shared" si="74"/>
        <v>0</v>
      </c>
      <c r="AI83" s="82">
        <f t="shared" si="74"/>
        <v>0</v>
      </c>
      <c r="AJ83" s="82">
        <f t="shared" si="74"/>
        <v>0</v>
      </c>
      <c r="AK83" s="82">
        <f t="shared" si="74"/>
        <v>0</v>
      </c>
      <c r="AL83" s="82">
        <f t="shared" si="74"/>
        <v>0</v>
      </c>
      <c r="AM83" s="82">
        <f t="shared" si="74"/>
        <v>0</v>
      </c>
      <c r="AN83" s="82">
        <f t="shared" si="74"/>
        <v>0</v>
      </c>
      <c r="AO83" s="623" t="s">
        <v>249</v>
      </c>
      <c r="AP83" s="1060"/>
    </row>
    <row r="84" spans="1:42" s="292" customFormat="1" ht="17.25" customHeight="1">
      <c r="A84" s="519"/>
      <c r="B84" s="42" t="s">
        <v>208</v>
      </c>
      <c r="C84" s="320"/>
      <c r="D84" s="320"/>
      <c r="E84" s="320"/>
      <c r="F84" s="320"/>
      <c r="G84" s="320"/>
      <c r="H84" s="321"/>
      <c r="I84" s="877"/>
      <c r="J84" s="75"/>
      <c r="K84" s="47"/>
      <c r="L84" s="47">
        <v>4214.49</v>
      </c>
      <c r="M84" s="47">
        <v>0</v>
      </c>
      <c r="N84" s="47">
        <v>3995.07</v>
      </c>
      <c r="O84" s="47">
        <v>0</v>
      </c>
      <c r="P84" s="47">
        <f>N84</f>
        <v>3995.07</v>
      </c>
      <c r="Q84" s="47">
        <v>0</v>
      </c>
      <c r="R84" s="47">
        <v>0</v>
      </c>
      <c r="S84" s="47">
        <v>0</v>
      </c>
      <c r="T84" s="47">
        <v>0</v>
      </c>
      <c r="U84" s="47">
        <v>0</v>
      </c>
      <c r="V84" s="47">
        <v>0</v>
      </c>
      <c r="W84" s="47">
        <v>0</v>
      </c>
      <c r="X84" s="47">
        <v>0</v>
      </c>
      <c r="Y84" s="47">
        <v>0</v>
      </c>
      <c r="Z84" s="47">
        <v>0</v>
      </c>
      <c r="AA84" s="47">
        <v>0</v>
      </c>
      <c r="AB84" s="47">
        <v>0</v>
      </c>
      <c r="AC84" s="47">
        <v>0</v>
      </c>
      <c r="AD84" s="47">
        <v>0</v>
      </c>
      <c r="AE84" s="47">
        <v>0</v>
      </c>
      <c r="AF84" s="47">
        <v>0</v>
      </c>
      <c r="AG84" s="47">
        <v>0</v>
      </c>
      <c r="AH84" s="47">
        <v>0</v>
      </c>
      <c r="AI84" s="47">
        <v>0</v>
      </c>
      <c r="AJ84" s="47">
        <v>0</v>
      </c>
      <c r="AK84" s="47">
        <v>0</v>
      </c>
      <c r="AL84" s="47">
        <v>0</v>
      </c>
      <c r="AM84" s="47">
        <v>0</v>
      </c>
      <c r="AN84" s="47">
        <v>0</v>
      </c>
      <c r="AO84" s="608"/>
      <c r="AP84" s="1068"/>
    </row>
    <row r="85" spans="1:42" s="292" customFormat="1" ht="51.75" customHeight="1">
      <c r="A85" s="812" t="s">
        <v>288</v>
      </c>
      <c r="B85" s="83" t="s">
        <v>209</v>
      </c>
      <c r="C85" s="322"/>
      <c r="D85" s="322"/>
      <c r="E85" s="322"/>
      <c r="F85" s="322"/>
      <c r="G85" s="323"/>
      <c r="H85" s="324"/>
      <c r="I85" s="820" t="s">
        <v>20</v>
      </c>
      <c r="J85" s="291"/>
      <c r="K85" s="175"/>
      <c r="L85" s="82">
        <f>L86</f>
        <v>3214.56</v>
      </c>
      <c r="M85" s="82">
        <f>M86</f>
        <v>0</v>
      </c>
      <c r="N85" s="82">
        <f t="shared" ref="N85:AN85" si="75">N86</f>
        <v>2956.68</v>
      </c>
      <c r="O85" s="82">
        <f t="shared" si="75"/>
        <v>0</v>
      </c>
      <c r="P85" s="82">
        <f>N85</f>
        <v>2956.68</v>
      </c>
      <c r="Q85" s="82">
        <f t="shared" si="75"/>
        <v>0</v>
      </c>
      <c r="R85" s="82">
        <f t="shared" si="75"/>
        <v>0</v>
      </c>
      <c r="S85" s="82">
        <f t="shared" si="75"/>
        <v>0</v>
      </c>
      <c r="T85" s="82">
        <f t="shared" si="75"/>
        <v>0</v>
      </c>
      <c r="U85" s="82">
        <f t="shared" si="75"/>
        <v>0</v>
      </c>
      <c r="V85" s="82">
        <f t="shared" si="75"/>
        <v>0</v>
      </c>
      <c r="W85" s="82">
        <f t="shared" si="75"/>
        <v>0</v>
      </c>
      <c r="X85" s="82">
        <f t="shared" si="75"/>
        <v>0</v>
      </c>
      <c r="Y85" s="82">
        <f t="shared" si="75"/>
        <v>0</v>
      </c>
      <c r="Z85" s="82">
        <f t="shared" si="75"/>
        <v>0</v>
      </c>
      <c r="AA85" s="82">
        <f t="shared" si="75"/>
        <v>0</v>
      </c>
      <c r="AB85" s="82">
        <f t="shared" si="75"/>
        <v>0</v>
      </c>
      <c r="AC85" s="82">
        <f t="shared" si="75"/>
        <v>0</v>
      </c>
      <c r="AD85" s="82">
        <f t="shared" si="75"/>
        <v>0</v>
      </c>
      <c r="AE85" s="82">
        <f>AE86</f>
        <v>0</v>
      </c>
      <c r="AF85" s="82">
        <f t="shared" si="75"/>
        <v>0</v>
      </c>
      <c r="AG85" s="82">
        <f t="shared" si="75"/>
        <v>0</v>
      </c>
      <c r="AH85" s="82">
        <f t="shared" si="75"/>
        <v>0</v>
      </c>
      <c r="AI85" s="82">
        <f t="shared" si="75"/>
        <v>0</v>
      </c>
      <c r="AJ85" s="82">
        <f t="shared" si="75"/>
        <v>0</v>
      </c>
      <c r="AK85" s="82">
        <f t="shared" si="75"/>
        <v>0</v>
      </c>
      <c r="AL85" s="82">
        <f t="shared" si="75"/>
        <v>0</v>
      </c>
      <c r="AM85" s="82">
        <f t="shared" si="75"/>
        <v>0</v>
      </c>
      <c r="AN85" s="82">
        <f t="shared" si="75"/>
        <v>0</v>
      </c>
      <c r="AO85" s="623" t="s">
        <v>249</v>
      </c>
      <c r="AP85" s="1060"/>
    </row>
    <row r="86" spans="1:42" s="292" customFormat="1" ht="17.25" customHeight="1">
      <c r="A86" s="814"/>
      <c r="B86" s="42" t="s">
        <v>208</v>
      </c>
      <c r="C86" s="320"/>
      <c r="D86" s="320"/>
      <c r="E86" s="320"/>
      <c r="F86" s="320"/>
      <c r="G86" s="320"/>
      <c r="H86" s="321"/>
      <c r="I86" s="877"/>
      <c r="J86" s="75"/>
      <c r="K86" s="47"/>
      <c r="L86" s="47">
        <v>3214.56</v>
      </c>
      <c r="M86" s="47">
        <v>0</v>
      </c>
      <c r="N86" s="47">
        <v>2956.68</v>
      </c>
      <c r="O86" s="47">
        <v>0</v>
      </c>
      <c r="P86" s="47">
        <f>N86*1.2</f>
        <v>3548.0159999999996</v>
      </c>
      <c r="Q86" s="47">
        <v>0</v>
      </c>
      <c r="R86" s="47">
        <v>0</v>
      </c>
      <c r="S86" s="47">
        <v>0</v>
      </c>
      <c r="T86" s="47">
        <v>0</v>
      </c>
      <c r="U86" s="47">
        <v>0</v>
      </c>
      <c r="V86" s="47">
        <v>0</v>
      </c>
      <c r="W86" s="47">
        <v>0</v>
      </c>
      <c r="X86" s="47">
        <v>0</v>
      </c>
      <c r="Y86" s="47">
        <v>0</v>
      </c>
      <c r="Z86" s="47">
        <v>0</v>
      </c>
      <c r="AA86" s="47">
        <v>0</v>
      </c>
      <c r="AB86" s="47">
        <v>0</v>
      </c>
      <c r="AC86" s="47">
        <v>0</v>
      </c>
      <c r="AD86" s="47">
        <v>0</v>
      </c>
      <c r="AE86" s="47">
        <v>0</v>
      </c>
      <c r="AF86" s="47">
        <v>0</v>
      </c>
      <c r="AG86" s="47">
        <v>0</v>
      </c>
      <c r="AH86" s="47">
        <v>0</v>
      </c>
      <c r="AI86" s="47">
        <v>0</v>
      </c>
      <c r="AJ86" s="47">
        <v>0</v>
      </c>
      <c r="AK86" s="47">
        <v>0</v>
      </c>
      <c r="AL86" s="47">
        <v>0</v>
      </c>
      <c r="AM86" s="47">
        <v>0</v>
      </c>
      <c r="AN86" s="47">
        <v>0</v>
      </c>
      <c r="AO86" s="608"/>
      <c r="AP86" s="1068"/>
    </row>
    <row r="87" spans="1:42" s="292" customFormat="1" ht="64.5" customHeight="1">
      <c r="A87" s="812" t="s">
        <v>164</v>
      </c>
      <c r="B87" s="83" t="s">
        <v>166</v>
      </c>
      <c r="C87" s="322"/>
      <c r="D87" s="322"/>
      <c r="E87" s="322"/>
      <c r="F87" s="322"/>
      <c r="G87" s="323"/>
      <c r="H87" s="324"/>
      <c r="I87" s="820" t="s">
        <v>20</v>
      </c>
      <c r="J87" s="291"/>
      <c r="K87" s="175"/>
      <c r="L87" s="82">
        <f>L88</f>
        <v>372.9</v>
      </c>
      <c r="M87" s="82">
        <f>M88</f>
        <v>0</v>
      </c>
      <c r="N87" s="82">
        <f t="shared" ref="N87:AN88" si="76">N88</f>
        <v>372.9</v>
      </c>
      <c r="O87" s="82">
        <f t="shared" si="76"/>
        <v>0</v>
      </c>
      <c r="P87" s="82">
        <f t="shared" si="76"/>
        <v>372.9</v>
      </c>
      <c r="Q87" s="82">
        <f t="shared" si="76"/>
        <v>0</v>
      </c>
      <c r="R87" s="82">
        <f t="shared" si="76"/>
        <v>0</v>
      </c>
      <c r="S87" s="82">
        <f t="shared" si="76"/>
        <v>0</v>
      </c>
      <c r="T87" s="82">
        <f t="shared" si="76"/>
        <v>0</v>
      </c>
      <c r="U87" s="82">
        <f t="shared" si="76"/>
        <v>0</v>
      </c>
      <c r="V87" s="82">
        <f t="shared" si="76"/>
        <v>0</v>
      </c>
      <c r="W87" s="82">
        <f t="shared" si="76"/>
        <v>0</v>
      </c>
      <c r="X87" s="82">
        <f t="shared" si="76"/>
        <v>0</v>
      </c>
      <c r="Y87" s="82">
        <f t="shared" si="76"/>
        <v>0</v>
      </c>
      <c r="Z87" s="82">
        <f t="shared" si="76"/>
        <v>0</v>
      </c>
      <c r="AA87" s="82">
        <f t="shared" si="76"/>
        <v>0</v>
      </c>
      <c r="AB87" s="82">
        <f t="shared" si="76"/>
        <v>0</v>
      </c>
      <c r="AC87" s="82">
        <f t="shared" si="76"/>
        <v>0</v>
      </c>
      <c r="AD87" s="82">
        <f t="shared" si="76"/>
        <v>0</v>
      </c>
      <c r="AE87" s="82">
        <f t="shared" si="76"/>
        <v>0</v>
      </c>
      <c r="AF87" s="82">
        <f t="shared" si="76"/>
        <v>0</v>
      </c>
      <c r="AG87" s="82">
        <f t="shared" si="76"/>
        <v>0</v>
      </c>
      <c r="AH87" s="82">
        <f t="shared" si="76"/>
        <v>0</v>
      </c>
      <c r="AI87" s="82">
        <f t="shared" si="76"/>
        <v>0</v>
      </c>
      <c r="AJ87" s="82">
        <f>P87-Q87</f>
        <v>372.9</v>
      </c>
      <c r="AK87" s="82">
        <f t="shared" si="76"/>
        <v>0</v>
      </c>
      <c r="AL87" s="79">
        <f>ROUND((Q87*100%/P87*100),2)</f>
        <v>0</v>
      </c>
      <c r="AM87" s="82">
        <f t="shared" si="76"/>
        <v>0</v>
      </c>
      <c r="AN87" s="82">
        <f t="shared" si="76"/>
        <v>0</v>
      </c>
      <c r="AO87" s="623" t="s">
        <v>283</v>
      </c>
      <c r="AP87" s="1063" t="s">
        <v>321</v>
      </c>
    </row>
    <row r="88" spans="1:42" s="292" customFormat="1" ht="17.25" customHeight="1">
      <c r="A88" s="814"/>
      <c r="B88" s="42" t="s">
        <v>208</v>
      </c>
      <c r="C88" s="320"/>
      <c r="D88" s="320"/>
      <c r="E88" s="320"/>
      <c r="F88" s="320"/>
      <c r="G88" s="320"/>
      <c r="H88" s="321"/>
      <c r="I88" s="877"/>
      <c r="J88" s="75"/>
      <c r="K88" s="47"/>
      <c r="L88" s="47">
        <v>372.9</v>
      </c>
      <c r="M88" s="47">
        <v>0</v>
      </c>
      <c r="N88" s="47">
        <v>372.9</v>
      </c>
      <c r="O88" s="47">
        <v>0</v>
      </c>
      <c r="P88" s="47">
        <f>N88</f>
        <v>372.9</v>
      </c>
      <c r="Q88" s="47">
        <f>Q89</f>
        <v>0</v>
      </c>
      <c r="R88" s="47">
        <f t="shared" si="76"/>
        <v>0</v>
      </c>
      <c r="S88" s="47">
        <f t="shared" si="76"/>
        <v>0</v>
      </c>
      <c r="T88" s="47">
        <f t="shared" si="76"/>
        <v>0</v>
      </c>
      <c r="U88" s="47">
        <f t="shared" si="76"/>
        <v>0</v>
      </c>
      <c r="V88" s="47">
        <f t="shared" si="76"/>
        <v>0</v>
      </c>
      <c r="W88" s="47">
        <f t="shared" si="76"/>
        <v>0</v>
      </c>
      <c r="X88" s="47">
        <f t="shared" si="76"/>
        <v>0</v>
      </c>
      <c r="Y88" s="47">
        <f t="shared" si="76"/>
        <v>0</v>
      </c>
      <c r="Z88" s="47">
        <f t="shared" si="76"/>
        <v>0</v>
      </c>
      <c r="AA88" s="47">
        <f t="shared" si="76"/>
        <v>0</v>
      </c>
      <c r="AB88" s="47">
        <f t="shared" si="76"/>
        <v>0</v>
      </c>
      <c r="AC88" s="47">
        <f t="shared" si="76"/>
        <v>0</v>
      </c>
      <c r="AD88" s="47">
        <f t="shared" si="76"/>
        <v>0</v>
      </c>
      <c r="AE88" s="47">
        <f>AE89</f>
        <v>0</v>
      </c>
      <c r="AF88" s="47">
        <f t="shared" si="76"/>
        <v>0</v>
      </c>
      <c r="AG88" s="47">
        <f t="shared" si="76"/>
        <v>0</v>
      </c>
      <c r="AH88" s="47">
        <f t="shared" si="76"/>
        <v>0</v>
      </c>
      <c r="AI88" s="47">
        <f t="shared" si="76"/>
        <v>0</v>
      </c>
      <c r="AJ88" s="47">
        <v>0</v>
      </c>
      <c r="AK88" s="47">
        <v>0</v>
      </c>
      <c r="AL88" s="47">
        <v>0</v>
      </c>
      <c r="AM88" s="47">
        <v>0</v>
      </c>
      <c r="AN88" s="47">
        <v>0</v>
      </c>
      <c r="AO88" s="608"/>
      <c r="AP88" s="1069"/>
    </row>
    <row r="89" spans="1:42" s="273" customFormat="1" ht="17.25" hidden="1" customHeight="1">
      <c r="A89" s="370"/>
      <c r="B89" s="257" t="s">
        <v>229</v>
      </c>
      <c r="C89" s="371"/>
      <c r="D89" s="371"/>
      <c r="E89" s="371"/>
      <c r="F89" s="371"/>
      <c r="G89" s="371"/>
      <c r="H89" s="372"/>
      <c r="I89" s="373"/>
      <c r="J89" s="263"/>
      <c r="K89" s="99"/>
      <c r="L89" s="99"/>
      <c r="M89" s="99"/>
      <c r="N89" s="99"/>
      <c r="O89" s="99"/>
      <c r="P89" s="47"/>
      <c r="Q89" s="99">
        <f>Y89</f>
        <v>0</v>
      </c>
      <c r="R89" s="99"/>
      <c r="S89" s="99"/>
      <c r="T89" s="99"/>
      <c r="U89" s="99"/>
      <c r="V89" s="99"/>
      <c r="W89" s="99"/>
      <c r="X89" s="99">
        <v>0</v>
      </c>
      <c r="Y89" s="99">
        <v>0</v>
      </c>
      <c r="Z89" s="99">
        <v>0</v>
      </c>
      <c r="AA89" s="99">
        <v>0</v>
      </c>
      <c r="AB89" s="99"/>
      <c r="AC89" s="99"/>
      <c r="AD89" s="99"/>
      <c r="AE89" s="99">
        <f>SUM(AF89:AF89)</f>
        <v>0</v>
      </c>
      <c r="AF89" s="99"/>
      <c r="AG89" s="99"/>
      <c r="AH89" s="99"/>
      <c r="AI89" s="99"/>
      <c r="AJ89" s="99"/>
      <c r="AK89" s="99"/>
      <c r="AL89" s="99"/>
      <c r="AM89" s="99"/>
      <c r="AN89" s="99"/>
      <c r="AO89" s="624"/>
      <c r="AP89" s="269"/>
    </row>
    <row r="90" spans="1:42" s="292" customFormat="1" ht="53.25" customHeight="1">
      <c r="A90" s="812" t="s">
        <v>165</v>
      </c>
      <c r="B90" s="83" t="s">
        <v>168</v>
      </c>
      <c r="C90" s="322"/>
      <c r="D90" s="322"/>
      <c r="E90" s="322"/>
      <c r="F90" s="322"/>
      <c r="G90" s="323"/>
      <c r="H90" s="324"/>
      <c r="I90" s="820" t="s">
        <v>20</v>
      </c>
      <c r="J90" s="291"/>
      <c r="K90" s="175"/>
      <c r="L90" s="82">
        <f>L91+L95</f>
        <v>5513.9</v>
      </c>
      <c r="M90" s="82">
        <f>M91+M95</f>
        <v>297.18</v>
      </c>
      <c r="N90" s="82">
        <f t="shared" ref="N90:AN90" si="77">N91+N95</f>
        <v>1639.84</v>
      </c>
      <c r="O90" s="82">
        <f t="shared" si="77"/>
        <v>0</v>
      </c>
      <c r="P90" s="82">
        <f>N90</f>
        <v>1639.84</v>
      </c>
      <c r="Q90" s="82">
        <f t="shared" si="77"/>
        <v>122.38</v>
      </c>
      <c r="R90" s="82">
        <f t="shared" si="77"/>
        <v>122.38</v>
      </c>
      <c r="S90" s="82">
        <f t="shared" si="77"/>
        <v>122.38</v>
      </c>
      <c r="T90" s="82">
        <f t="shared" si="77"/>
        <v>0</v>
      </c>
      <c r="U90" s="82">
        <f t="shared" si="77"/>
        <v>0</v>
      </c>
      <c r="V90" s="82">
        <f t="shared" si="77"/>
        <v>0</v>
      </c>
      <c r="W90" s="82">
        <f t="shared" si="77"/>
        <v>0</v>
      </c>
      <c r="X90" s="82">
        <f t="shared" si="77"/>
        <v>0</v>
      </c>
      <c r="Y90" s="82">
        <f t="shared" si="77"/>
        <v>0</v>
      </c>
      <c r="Z90" s="82">
        <f t="shared" si="77"/>
        <v>122.37</v>
      </c>
      <c r="AA90" s="82">
        <f t="shared" si="77"/>
        <v>122.37</v>
      </c>
      <c r="AB90" s="82">
        <f t="shared" si="77"/>
        <v>0</v>
      </c>
      <c r="AC90" s="82">
        <f t="shared" si="77"/>
        <v>0</v>
      </c>
      <c r="AD90" s="82">
        <f t="shared" si="77"/>
        <v>0</v>
      </c>
      <c r="AE90" s="82">
        <f t="shared" si="77"/>
        <v>0</v>
      </c>
      <c r="AF90" s="82">
        <f t="shared" si="77"/>
        <v>0</v>
      </c>
      <c r="AG90" s="82">
        <f>AG91+AG95</f>
        <v>0</v>
      </c>
      <c r="AH90" s="82">
        <f t="shared" ref="AH90:AI90" si="78">AH91+AH95</f>
        <v>0</v>
      </c>
      <c r="AI90" s="82">
        <f t="shared" si="78"/>
        <v>0</v>
      </c>
      <c r="AJ90" s="82">
        <f>P90-Q90</f>
        <v>1517.46</v>
      </c>
      <c r="AK90" s="82">
        <f t="shared" si="77"/>
        <v>0</v>
      </c>
      <c r="AL90" s="79">
        <f>ROUND((Q90*100%/P90*100),2)</f>
        <v>7.46</v>
      </c>
      <c r="AM90" s="82">
        <f t="shared" si="77"/>
        <v>0</v>
      </c>
      <c r="AN90" s="82">
        <f t="shared" si="77"/>
        <v>0</v>
      </c>
      <c r="AO90" s="623" t="s">
        <v>264</v>
      </c>
      <c r="AP90" s="1063" t="s">
        <v>322</v>
      </c>
    </row>
    <row r="91" spans="1:42" s="292" customFormat="1" ht="17.25" customHeight="1">
      <c r="A91" s="813"/>
      <c r="B91" s="42" t="s">
        <v>15</v>
      </c>
      <c r="C91" s="320"/>
      <c r="D91" s="320"/>
      <c r="E91" s="320"/>
      <c r="F91" s="320"/>
      <c r="G91" s="320"/>
      <c r="H91" s="321"/>
      <c r="I91" s="934"/>
      <c r="J91" s="75"/>
      <c r="K91" s="47"/>
      <c r="L91" s="47">
        <v>594.36</v>
      </c>
      <c r="M91" s="47">
        <v>297.18</v>
      </c>
      <c r="N91" s="47">
        <v>0</v>
      </c>
      <c r="O91" s="47">
        <v>0</v>
      </c>
      <c r="P91" s="47">
        <f>N91</f>
        <v>0</v>
      </c>
      <c r="Q91" s="47">
        <f>SUM(Q92:Q94)</f>
        <v>122.38</v>
      </c>
      <c r="R91" s="47">
        <f t="shared" ref="R91:AI91" si="79">SUM(R92:R94)</f>
        <v>122.38</v>
      </c>
      <c r="S91" s="47">
        <f>SUM(S92:S94)</f>
        <v>122.38</v>
      </c>
      <c r="T91" s="47">
        <f t="shared" si="79"/>
        <v>0</v>
      </c>
      <c r="U91" s="47">
        <f t="shared" si="79"/>
        <v>0</v>
      </c>
      <c r="V91" s="47">
        <f t="shared" si="79"/>
        <v>0</v>
      </c>
      <c r="W91" s="47">
        <f t="shared" si="79"/>
        <v>0</v>
      </c>
      <c r="X91" s="47">
        <v>0</v>
      </c>
      <c r="Y91" s="47">
        <f t="shared" si="79"/>
        <v>0</v>
      </c>
      <c r="Z91" s="47">
        <f t="shared" si="79"/>
        <v>122.37</v>
      </c>
      <c r="AA91" s="47">
        <f t="shared" si="79"/>
        <v>122.37</v>
      </c>
      <c r="AB91" s="47">
        <f t="shared" si="79"/>
        <v>0</v>
      </c>
      <c r="AC91" s="47">
        <f t="shared" si="79"/>
        <v>0</v>
      </c>
      <c r="AD91" s="47">
        <f t="shared" si="79"/>
        <v>0</v>
      </c>
      <c r="AE91" s="47">
        <f>SUM(AE92:AE94)</f>
        <v>0</v>
      </c>
      <c r="AF91" s="47">
        <f t="shared" si="79"/>
        <v>0</v>
      </c>
      <c r="AG91" s="47">
        <f t="shared" si="79"/>
        <v>0</v>
      </c>
      <c r="AH91" s="47">
        <f t="shared" si="79"/>
        <v>0</v>
      </c>
      <c r="AI91" s="47">
        <f t="shared" si="79"/>
        <v>0</v>
      </c>
      <c r="AJ91" s="47">
        <v>0</v>
      </c>
      <c r="AK91" s="47">
        <v>0</v>
      </c>
      <c r="AL91" s="47">
        <v>0</v>
      </c>
      <c r="AM91" s="47">
        <v>0</v>
      </c>
      <c r="AN91" s="47">
        <v>0</v>
      </c>
      <c r="AO91" s="608">
        <v>159.434</v>
      </c>
      <c r="AP91" s="1064"/>
    </row>
    <row r="92" spans="1:42" s="273" customFormat="1" ht="17.25" hidden="1" customHeight="1">
      <c r="A92" s="813"/>
      <c r="B92" s="257" t="s">
        <v>230</v>
      </c>
      <c r="C92" s="371"/>
      <c r="D92" s="371"/>
      <c r="E92" s="371"/>
      <c r="F92" s="371"/>
      <c r="G92" s="371"/>
      <c r="H92" s="372"/>
      <c r="I92" s="934"/>
      <c r="J92" s="263"/>
      <c r="K92" s="99"/>
      <c r="L92" s="99"/>
      <c r="M92" s="99"/>
      <c r="N92" s="99"/>
      <c r="O92" s="99"/>
      <c r="P92" s="47"/>
      <c r="Q92" s="99">
        <f>Y92</f>
        <v>0</v>
      </c>
      <c r="R92" s="99"/>
      <c r="S92" s="99"/>
      <c r="T92" s="99"/>
      <c r="U92" s="99"/>
      <c r="V92" s="99"/>
      <c r="W92" s="99"/>
      <c r="X92" s="99">
        <v>0</v>
      </c>
      <c r="Y92" s="99">
        <v>0</v>
      </c>
      <c r="Z92" s="99">
        <v>0</v>
      </c>
      <c r="AA92" s="99">
        <v>0</v>
      </c>
      <c r="AB92" s="99"/>
      <c r="AC92" s="99"/>
      <c r="AD92" s="99"/>
      <c r="AE92" s="99">
        <f>SUM(AF92:AF92)</f>
        <v>0</v>
      </c>
      <c r="AF92" s="99"/>
      <c r="AG92" s="99"/>
      <c r="AH92" s="99"/>
      <c r="AI92" s="99"/>
      <c r="AJ92" s="99"/>
      <c r="AK92" s="99"/>
      <c r="AL92" s="99"/>
      <c r="AM92" s="99"/>
      <c r="AN92" s="99"/>
      <c r="AO92" s="624"/>
      <c r="AP92" s="1064"/>
    </row>
    <row r="93" spans="1:42" s="273" customFormat="1" ht="17.25" hidden="1" customHeight="1">
      <c r="A93" s="813"/>
      <c r="B93" s="257" t="s">
        <v>231</v>
      </c>
      <c r="C93" s="371"/>
      <c r="D93" s="371"/>
      <c r="E93" s="371"/>
      <c r="F93" s="371"/>
      <c r="G93" s="371"/>
      <c r="H93" s="372"/>
      <c r="I93" s="934"/>
      <c r="J93" s="263"/>
      <c r="K93" s="99"/>
      <c r="L93" s="99"/>
      <c r="M93" s="99"/>
      <c r="N93" s="99"/>
      <c r="O93" s="99"/>
      <c r="P93" s="47"/>
      <c r="Q93" s="99">
        <f>S93</f>
        <v>122.38</v>
      </c>
      <c r="R93" s="99">
        <f>S93</f>
        <v>122.38</v>
      </c>
      <c r="S93" s="99">
        <v>122.38</v>
      </c>
      <c r="T93" s="99"/>
      <c r="U93" s="99"/>
      <c r="V93" s="99"/>
      <c r="W93" s="99"/>
      <c r="X93" s="99">
        <v>0</v>
      </c>
      <c r="Y93" s="99">
        <v>0</v>
      </c>
      <c r="Z93" s="99">
        <f>AA93</f>
        <v>122.37</v>
      </c>
      <c r="AA93" s="99">
        <v>122.37</v>
      </c>
      <c r="AB93" s="99"/>
      <c r="AC93" s="99"/>
      <c r="AD93" s="99"/>
      <c r="AE93" s="99">
        <f>SUM(AF93:AF93)</f>
        <v>0</v>
      </c>
      <c r="AF93" s="99"/>
      <c r="AG93" s="99"/>
      <c r="AH93" s="99"/>
      <c r="AI93" s="99"/>
      <c r="AJ93" s="99"/>
      <c r="AK93" s="99"/>
      <c r="AL93" s="99"/>
      <c r="AM93" s="99"/>
      <c r="AN93" s="99"/>
      <c r="AO93" s="624"/>
      <c r="AP93" s="1064"/>
    </row>
    <row r="94" spans="1:42" s="273" customFormat="1" ht="17.25" hidden="1" customHeight="1">
      <c r="A94" s="813"/>
      <c r="B94" s="257" t="s">
        <v>232</v>
      </c>
      <c r="C94" s="371"/>
      <c r="D94" s="371"/>
      <c r="E94" s="371"/>
      <c r="F94" s="371"/>
      <c r="G94" s="371"/>
      <c r="H94" s="372"/>
      <c r="I94" s="934"/>
      <c r="J94" s="263"/>
      <c r="K94" s="99"/>
      <c r="L94" s="99"/>
      <c r="M94" s="99"/>
      <c r="N94" s="99"/>
      <c r="O94" s="99"/>
      <c r="P94" s="47"/>
      <c r="Q94" s="99">
        <f t="shared" ref="Q94" si="80">Y94</f>
        <v>0</v>
      </c>
      <c r="R94" s="99"/>
      <c r="S94" s="99"/>
      <c r="T94" s="99"/>
      <c r="U94" s="99"/>
      <c r="V94" s="99"/>
      <c r="W94" s="99"/>
      <c r="X94" s="99">
        <v>0</v>
      </c>
      <c r="Y94" s="99">
        <v>0</v>
      </c>
      <c r="Z94" s="99">
        <v>0</v>
      </c>
      <c r="AA94" s="99">
        <v>0</v>
      </c>
      <c r="AB94" s="99"/>
      <c r="AC94" s="99"/>
      <c r="AD94" s="99"/>
      <c r="AE94" s="99">
        <f>SUM(AF94:AF94)</f>
        <v>0</v>
      </c>
      <c r="AF94" s="99"/>
      <c r="AG94" s="99"/>
      <c r="AH94" s="99"/>
      <c r="AI94" s="99"/>
      <c r="AJ94" s="99"/>
      <c r="AK94" s="99"/>
      <c r="AL94" s="99"/>
      <c r="AM94" s="99"/>
      <c r="AN94" s="99"/>
      <c r="AO94" s="624"/>
      <c r="AP94" s="1064"/>
    </row>
    <row r="95" spans="1:42" s="292" customFormat="1" ht="16.5" customHeight="1">
      <c r="A95" s="814"/>
      <c r="B95" s="42" t="s">
        <v>32</v>
      </c>
      <c r="C95" s="320"/>
      <c r="D95" s="320"/>
      <c r="E95" s="320"/>
      <c r="F95" s="320"/>
      <c r="G95" s="320"/>
      <c r="H95" s="321"/>
      <c r="I95" s="877"/>
      <c r="J95" s="75"/>
      <c r="K95" s="47"/>
      <c r="L95" s="47">
        <v>4919.54</v>
      </c>
      <c r="M95" s="47">
        <v>0</v>
      </c>
      <c r="N95" s="47">
        <v>1639.84</v>
      </c>
      <c r="O95" s="47">
        <v>0</v>
      </c>
      <c r="P95" s="47">
        <f>N95</f>
        <v>1639.84</v>
      </c>
      <c r="Q95" s="47">
        <v>0</v>
      </c>
      <c r="R95" s="47">
        <v>0</v>
      </c>
      <c r="S95" s="47">
        <v>0</v>
      </c>
      <c r="T95" s="47">
        <v>0</v>
      </c>
      <c r="U95" s="47">
        <v>0</v>
      </c>
      <c r="V95" s="47">
        <v>0</v>
      </c>
      <c r="W95" s="47">
        <v>0</v>
      </c>
      <c r="X95" s="47">
        <v>0</v>
      </c>
      <c r="Y95" s="47">
        <v>0</v>
      </c>
      <c r="Z95" s="47">
        <v>0</v>
      </c>
      <c r="AA95" s="47">
        <v>0</v>
      </c>
      <c r="AB95" s="47">
        <v>0</v>
      </c>
      <c r="AC95" s="47">
        <v>0</v>
      </c>
      <c r="AD95" s="47">
        <v>0</v>
      </c>
      <c r="AE95" s="47">
        <v>0</v>
      </c>
      <c r="AF95" s="47">
        <v>0</v>
      </c>
      <c r="AG95" s="47">
        <v>0</v>
      </c>
      <c r="AH95" s="47">
        <v>0</v>
      </c>
      <c r="AI95" s="47">
        <v>0</v>
      </c>
      <c r="AJ95" s="47">
        <v>0</v>
      </c>
      <c r="AK95" s="47">
        <v>0</v>
      </c>
      <c r="AL95" s="47">
        <v>0</v>
      </c>
      <c r="AM95" s="47">
        <v>0</v>
      </c>
      <c r="AN95" s="47">
        <v>0</v>
      </c>
      <c r="AO95" s="608">
        <v>1639.8466699999999</v>
      </c>
      <c r="AP95" s="992"/>
    </row>
    <row r="96" spans="1:42" s="335" customFormat="1" ht="52.5" customHeight="1">
      <c r="A96" s="812" t="s">
        <v>167</v>
      </c>
      <c r="B96" s="83" t="s">
        <v>171</v>
      </c>
      <c r="C96" s="322"/>
      <c r="D96" s="322"/>
      <c r="E96" s="322"/>
      <c r="F96" s="322"/>
      <c r="G96" s="322"/>
      <c r="H96" s="334"/>
      <c r="I96" s="820" t="s">
        <v>20</v>
      </c>
      <c r="J96" s="291"/>
      <c r="K96" s="82"/>
      <c r="L96" s="82">
        <f>L97+L100</f>
        <v>94875.549999999988</v>
      </c>
      <c r="M96" s="82">
        <f>M97+M100</f>
        <v>2761.44</v>
      </c>
      <c r="N96" s="82">
        <f t="shared" ref="N96:AN96" si="81">N97+N100</f>
        <v>9629.67</v>
      </c>
      <c r="O96" s="82">
        <f t="shared" si="81"/>
        <v>22469.279999999999</v>
      </c>
      <c r="P96" s="82">
        <f>N96</f>
        <v>9629.67</v>
      </c>
      <c r="Q96" s="82">
        <f t="shared" si="81"/>
        <v>367.43299999999999</v>
      </c>
      <c r="R96" s="82">
        <f t="shared" si="81"/>
        <v>0</v>
      </c>
      <c r="S96" s="82">
        <f t="shared" si="81"/>
        <v>0</v>
      </c>
      <c r="T96" s="82">
        <f t="shared" si="81"/>
        <v>367.43299999999999</v>
      </c>
      <c r="U96" s="82">
        <f t="shared" si="81"/>
        <v>367.43299999999999</v>
      </c>
      <c r="V96" s="82">
        <f t="shared" si="81"/>
        <v>0</v>
      </c>
      <c r="W96" s="82">
        <f t="shared" si="81"/>
        <v>0</v>
      </c>
      <c r="X96" s="82">
        <f t="shared" si="81"/>
        <v>0</v>
      </c>
      <c r="Y96" s="82">
        <f t="shared" si="81"/>
        <v>0</v>
      </c>
      <c r="Z96" s="82">
        <f t="shared" si="81"/>
        <v>2117.433</v>
      </c>
      <c r="AA96" s="82">
        <f t="shared" si="81"/>
        <v>0</v>
      </c>
      <c r="AB96" s="82">
        <f t="shared" si="81"/>
        <v>357.43299999999999</v>
      </c>
      <c r="AC96" s="82">
        <f t="shared" si="81"/>
        <v>10</v>
      </c>
      <c r="AD96" s="82">
        <f t="shared" si="81"/>
        <v>1750</v>
      </c>
      <c r="AE96" s="82">
        <f t="shared" si="81"/>
        <v>0</v>
      </c>
      <c r="AF96" s="82">
        <f t="shared" si="81"/>
        <v>0</v>
      </c>
      <c r="AG96" s="82">
        <f t="shared" si="81"/>
        <v>0</v>
      </c>
      <c r="AH96" s="82">
        <f t="shared" si="81"/>
        <v>0</v>
      </c>
      <c r="AI96" s="82">
        <f t="shared" si="81"/>
        <v>0</v>
      </c>
      <c r="AJ96" s="82">
        <f>P96-Q96</f>
        <v>9262.237000000001</v>
      </c>
      <c r="AK96" s="82">
        <f t="shared" si="81"/>
        <v>0</v>
      </c>
      <c r="AL96" s="79">
        <f>ROUND((Q96*100%/P96*100),2)</f>
        <v>3.82</v>
      </c>
      <c r="AM96" s="82">
        <f t="shared" si="81"/>
        <v>0</v>
      </c>
      <c r="AN96" s="82">
        <f t="shared" si="81"/>
        <v>0</v>
      </c>
      <c r="AO96" s="623" t="s">
        <v>264</v>
      </c>
      <c r="AP96" s="1063" t="s">
        <v>323</v>
      </c>
    </row>
    <row r="97" spans="1:42" s="292" customFormat="1" ht="16.5" customHeight="1">
      <c r="A97" s="813"/>
      <c r="B97" s="42" t="s">
        <v>15</v>
      </c>
      <c r="C97" s="320"/>
      <c r="D97" s="320"/>
      <c r="E97" s="320"/>
      <c r="F97" s="320"/>
      <c r="G97" s="320"/>
      <c r="H97" s="321"/>
      <c r="I97" s="934"/>
      <c r="J97" s="75"/>
      <c r="K97" s="47"/>
      <c r="L97" s="47">
        <v>5734.87</v>
      </c>
      <c r="M97" s="47">
        <v>2761.44</v>
      </c>
      <c r="N97" s="47">
        <v>105.99</v>
      </c>
      <c r="O97" s="47">
        <v>0</v>
      </c>
      <c r="P97" s="47">
        <v>0</v>
      </c>
      <c r="Q97" s="47">
        <f>SUM(Q98:Q99)</f>
        <v>367.43299999999999</v>
      </c>
      <c r="R97" s="47">
        <f t="shared" ref="R97:AI97" si="82">SUM(R98:R99)</f>
        <v>0</v>
      </c>
      <c r="S97" s="47">
        <f t="shared" si="82"/>
        <v>0</v>
      </c>
      <c r="T97" s="47">
        <f t="shared" si="82"/>
        <v>367.43299999999999</v>
      </c>
      <c r="U97" s="47">
        <f t="shared" si="82"/>
        <v>367.43299999999999</v>
      </c>
      <c r="V97" s="47">
        <f t="shared" si="82"/>
        <v>0</v>
      </c>
      <c r="W97" s="47">
        <f t="shared" si="82"/>
        <v>0</v>
      </c>
      <c r="X97" s="47">
        <v>0</v>
      </c>
      <c r="Y97" s="47">
        <f t="shared" si="82"/>
        <v>0</v>
      </c>
      <c r="Z97" s="47">
        <f t="shared" si="82"/>
        <v>2117.433</v>
      </c>
      <c r="AA97" s="47">
        <f t="shared" si="82"/>
        <v>0</v>
      </c>
      <c r="AB97" s="47">
        <f t="shared" si="82"/>
        <v>357.43299999999999</v>
      </c>
      <c r="AC97" s="47">
        <f t="shared" si="82"/>
        <v>10</v>
      </c>
      <c r="AD97" s="47">
        <f t="shared" si="82"/>
        <v>1750</v>
      </c>
      <c r="AE97" s="47">
        <f t="shared" si="82"/>
        <v>0</v>
      </c>
      <c r="AF97" s="47">
        <f t="shared" si="82"/>
        <v>0</v>
      </c>
      <c r="AG97" s="47">
        <f t="shared" si="82"/>
        <v>0</v>
      </c>
      <c r="AH97" s="47">
        <f t="shared" si="82"/>
        <v>0</v>
      </c>
      <c r="AI97" s="47">
        <f t="shared" si="82"/>
        <v>0</v>
      </c>
      <c r="AJ97" s="47">
        <v>0</v>
      </c>
      <c r="AK97" s="47">
        <v>0</v>
      </c>
      <c r="AL97" s="47">
        <v>0</v>
      </c>
      <c r="AM97" s="47">
        <v>0</v>
      </c>
      <c r="AN97" s="47">
        <v>0</v>
      </c>
      <c r="AO97" s="608"/>
      <c r="AP97" s="1064"/>
    </row>
    <row r="98" spans="1:42" s="273" customFormat="1" ht="16.5" hidden="1" customHeight="1">
      <c r="A98" s="813"/>
      <c r="B98" s="257" t="s">
        <v>276</v>
      </c>
      <c r="C98" s="371"/>
      <c r="D98" s="371"/>
      <c r="E98" s="371"/>
      <c r="F98" s="371"/>
      <c r="G98" s="371"/>
      <c r="H98" s="372"/>
      <c r="I98" s="934"/>
      <c r="J98" s="263"/>
      <c r="K98" s="99"/>
      <c r="L98" s="47">
        <f t="shared" ref="L98:L99" si="83">SUM(M98:O98)</f>
        <v>0</v>
      </c>
      <c r="M98" s="99"/>
      <c r="N98" s="99"/>
      <c r="O98" s="99"/>
      <c r="P98" s="47"/>
      <c r="Q98" s="99">
        <f>Y98</f>
        <v>0</v>
      </c>
      <c r="R98" s="99"/>
      <c r="S98" s="99"/>
      <c r="T98" s="99"/>
      <c r="U98" s="99"/>
      <c r="V98" s="99"/>
      <c r="W98" s="99"/>
      <c r="X98" s="99">
        <v>0</v>
      </c>
      <c r="Y98" s="99">
        <v>0</v>
      </c>
      <c r="Z98" s="99">
        <v>1750</v>
      </c>
      <c r="AA98" s="99">
        <v>0</v>
      </c>
      <c r="AB98" s="99"/>
      <c r="AC98" s="99"/>
      <c r="AD98" s="99">
        <v>1750</v>
      </c>
      <c r="AE98" s="99">
        <f>SUM(AF98:AF98)</f>
        <v>0</v>
      </c>
      <c r="AF98" s="99"/>
      <c r="AG98" s="99"/>
      <c r="AH98" s="99"/>
      <c r="AI98" s="99"/>
      <c r="AJ98" s="99">
        <v>0</v>
      </c>
      <c r="AK98" s="99">
        <v>0</v>
      </c>
      <c r="AL98" s="99">
        <v>0</v>
      </c>
      <c r="AM98" s="99">
        <v>0</v>
      </c>
      <c r="AN98" s="99">
        <v>0</v>
      </c>
      <c r="AO98" s="624"/>
      <c r="AP98" s="1064"/>
    </row>
    <row r="99" spans="1:42" s="273" customFormat="1" ht="16.5" hidden="1" customHeight="1">
      <c r="A99" s="813"/>
      <c r="B99" s="257" t="s">
        <v>275</v>
      </c>
      <c r="C99" s="371"/>
      <c r="D99" s="371"/>
      <c r="E99" s="371"/>
      <c r="F99" s="371"/>
      <c r="G99" s="371"/>
      <c r="H99" s="372"/>
      <c r="I99" s="934"/>
      <c r="J99" s="263"/>
      <c r="K99" s="99"/>
      <c r="L99" s="99">
        <f t="shared" si="83"/>
        <v>0</v>
      </c>
      <c r="M99" s="99"/>
      <c r="N99" s="99"/>
      <c r="O99" s="99"/>
      <c r="P99" s="99">
        <f>R99+T99</f>
        <v>367.43299999999999</v>
      </c>
      <c r="Q99" s="99">
        <f>S99+U99</f>
        <v>367.43299999999999</v>
      </c>
      <c r="R99" s="99"/>
      <c r="S99" s="99"/>
      <c r="T99" s="99">
        <f>U99</f>
        <v>367.43299999999999</v>
      </c>
      <c r="U99" s="99">
        <f>(714.866+20)/2</f>
        <v>367.43299999999999</v>
      </c>
      <c r="V99" s="99"/>
      <c r="W99" s="99"/>
      <c r="X99" s="99"/>
      <c r="Y99" s="99"/>
      <c r="Z99" s="99">
        <f>SUM(AA99:AC99)</f>
        <v>367.43299999999999</v>
      </c>
      <c r="AA99" s="99"/>
      <c r="AB99" s="99">
        <f>714.866/2</f>
        <v>357.43299999999999</v>
      </c>
      <c r="AC99" s="99">
        <v>10</v>
      </c>
      <c r="AD99" s="99"/>
      <c r="AE99" s="99">
        <f>SUM(AF99:AF99)</f>
        <v>0</v>
      </c>
      <c r="AF99" s="99"/>
      <c r="AG99" s="99"/>
      <c r="AH99" s="99"/>
      <c r="AI99" s="99"/>
      <c r="AJ99" s="99"/>
      <c r="AK99" s="99"/>
      <c r="AL99" s="99"/>
      <c r="AM99" s="99"/>
      <c r="AN99" s="99"/>
      <c r="AO99" s="624"/>
      <c r="AP99" s="1064"/>
    </row>
    <row r="100" spans="1:42" s="292" customFormat="1" ht="16.5" customHeight="1">
      <c r="A100" s="814"/>
      <c r="B100" s="42" t="s">
        <v>32</v>
      </c>
      <c r="C100" s="320"/>
      <c r="D100" s="320"/>
      <c r="E100" s="320"/>
      <c r="F100" s="320"/>
      <c r="G100" s="320"/>
      <c r="H100" s="321"/>
      <c r="I100" s="877"/>
      <c r="J100" s="75"/>
      <c r="K100" s="47"/>
      <c r="L100" s="47">
        <v>89140.68</v>
      </c>
      <c r="M100" s="47">
        <v>0</v>
      </c>
      <c r="N100" s="47">
        <v>9523.68</v>
      </c>
      <c r="O100" s="47">
        <v>22469.279999999999</v>
      </c>
      <c r="P100" s="47">
        <f>N100</f>
        <v>9523.68</v>
      </c>
      <c r="Q100" s="47">
        <v>0</v>
      </c>
      <c r="R100" s="47">
        <v>0</v>
      </c>
      <c r="S100" s="47">
        <v>0</v>
      </c>
      <c r="T100" s="47">
        <v>0</v>
      </c>
      <c r="U100" s="47">
        <v>0</v>
      </c>
      <c r="V100" s="47">
        <v>0</v>
      </c>
      <c r="W100" s="47">
        <v>0</v>
      </c>
      <c r="X100" s="47">
        <v>0</v>
      </c>
      <c r="Y100" s="47">
        <v>0</v>
      </c>
      <c r="Z100" s="47">
        <v>0</v>
      </c>
      <c r="AA100" s="47">
        <v>0</v>
      </c>
      <c r="AB100" s="47">
        <v>0</v>
      </c>
      <c r="AC100" s="47">
        <v>0</v>
      </c>
      <c r="AD100" s="47">
        <v>0</v>
      </c>
      <c r="AE100" s="47">
        <v>0</v>
      </c>
      <c r="AF100" s="47">
        <v>0</v>
      </c>
      <c r="AG100" s="47">
        <v>0</v>
      </c>
      <c r="AH100" s="47">
        <v>0</v>
      </c>
      <c r="AI100" s="47">
        <v>0</v>
      </c>
      <c r="AJ100" s="47">
        <v>0</v>
      </c>
      <c r="AK100" s="47">
        <v>0</v>
      </c>
      <c r="AL100" s="47">
        <v>0</v>
      </c>
      <c r="AM100" s="47">
        <v>0</v>
      </c>
      <c r="AN100" s="47">
        <v>0</v>
      </c>
      <c r="AO100" s="608"/>
      <c r="AP100" s="1064"/>
    </row>
    <row r="101" spans="1:42" s="292" customFormat="1" ht="64.5" customHeight="1">
      <c r="A101" s="812" t="s">
        <v>170</v>
      </c>
      <c r="B101" s="80" t="s">
        <v>289</v>
      </c>
      <c r="C101" s="322"/>
      <c r="D101" s="322"/>
      <c r="E101" s="322"/>
      <c r="F101" s="322"/>
      <c r="G101" s="323"/>
      <c r="H101" s="324"/>
      <c r="I101" s="820" t="s">
        <v>20</v>
      </c>
      <c r="J101" s="291"/>
      <c r="K101" s="175"/>
      <c r="L101" s="82">
        <f>L102</f>
        <v>10177.64</v>
      </c>
      <c r="M101" s="82">
        <f>M102</f>
        <v>0</v>
      </c>
      <c r="N101" s="82">
        <f t="shared" ref="N101:AN101" si="84">N102</f>
        <v>0</v>
      </c>
      <c r="O101" s="82">
        <f t="shared" si="84"/>
        <v>0</v>
      </c>
      <c r="P101" s="82">
        <f t="shared" si="84"/>
        <v>0</v>
      </c>
      <c r="Q101" s="82">
        <f t="shared" si="84"/>
        <v>0</v>
      </c>
      <c r="R101" s="82">
        <f t="shared" si="84"/>
        <v>0</v>
      </c>
      <c r="S101" s="82">
        <f t="shared" si="84"/>
        <v>0</v>
      </c>
      <c r="T101" s="82">
        <f t="shared" si="84"/>
        <v>0</v>
      </c>
      <c r="U101" s="82">
        <f t="shared" si="84"/>
        <v>0</v>
      </c>
      <c r="V101" s="82">
        <f t="shared" si="84"/>
        <v>0</v>
      </c>
      <c r="W101" s="82">
        <f t="shared" si="84"/>
        <v>0</v>
      </c>
      <c r="X101" s="82">
        <f t="shared" si="84"/>
        <v>0</v>
      </c>
      <c r="Y101" s="82">
        <f t="shared" si="84"/>
        <v>0</v>
      </c>
      <c r="Z101" s="82">
        <f t="shared" si="84"/>
        <v>0</v>
      </c>
      <c r="AA101" s="82">
        <f t="shared" si="84"/>
        <v>0</v>
      </c>
      <c r="AB101" s="82">
        <f t="shared" si="84"/>
        <v>0</v>
      </c>
      <c r="AC101" s="82">
        <f t="shared" si="84"/>
        <v>0</v>
      </c>
      <c r="AD101" s="82">
        <f t="shared" si="84"/>
        <v>0</v>
      </c>
      <c r="AE101" s="82">
        <f t="shared" si="84"/>
        <v>0</v>
      </c>
      <c r="AF101" s="82">
        <f t="shared" si="84"/>
        <v>0</v>
      </c>
      <c r="AG101" s="82">
        <f t="shared" si="84"/>
        <v>0</v>
      </c>
      <c r="AH101" s="82">
        <f t="shared" si="84"/>
        <v>0</v>
      </c>
      <c r="AI101" s="82">
        <f t="shared" si="84"/>
        <v>0</v>
      </c>
      <c r="AJ101" s="82">
        <f>P101-Q101</f>
        <v>0</v>
      </c>
      <c r="AK101" s="82">
        <f t="shared" si="84"/>
        <v>0</v>
      </c>
      <c r="AL101" s="82">
        <f t="shared" si="84"/>
        <v>0</v>
      </c>
      <c r="AM101" s="82">
        <f t="shared" si="84"/>
        <v>0</v>
      </c>
      <c r="AN101" s="82">
        <f t="shared" si="84"/>
        <v>0</v>
      </c>
      <c r="AO101" s="623"/>
      <c r="AP101" s="51"/>
    </row>
    <row r="102" spans="1:42" s="292" customFormat="1" ht="17.25" customHeight="1">
      <c r="A102" s="877"/>
      <c r="B102" s="42" t="s">
        <v>208</v>
      </c>
      <c r="C102" s="320"/>
      <c r="D102" s="320"/>
      <c r="E102" s="320"/>
      <c r="F102" s="320"/>
      <c r="G102" s="320"/>
      <c r="H102" s="321"/>
      <c r="I102" s="877"/>
      <c r="J102" s="75"/>
      <c r="K102" s="47"/>
      <c r="L102" s="47">
        <v>10177.64</v>
      </c>
      <c r="M102" s="47">
        <v>0</v>
      </c>
      <c r="N102" s="47">
        <v>0</v>
      </c>
      <c r="O102" s="47">
        <v>0</v>
      </c>
      <c r="P102" s="47">
        <f>N102</f>
        <v>0</v>
      </c>
      <c r="Q102" s="47">
        <v>0</v>
      </c>
      <c r="R102" s="47">
        <v>0</v>
      </c>
      <c r="S102" s="47">
        <v>0</v>
      </c>
      <c r="T102" s="47">
        <v>0</v>
      </c>
      <c r="U102" s="47">
        <v>0</v>
      </c>
      <c r="V102" s="47">
        <v>0</v>
      </c>
      <c r="W102" s="47">
        <v>0</v>
      </c>
      <c r="X102" s="47">
        <v>0</v>
      </c>
      <c r="Y102" s="47">
        <v>0</v>
      </c>
      <c r="Z102" s="47">
        <f>SUM(AA102:AC102)</f>
        <v>0</v>
      </c>
      <c r="AA102" s="47">
        <v>0</v>
      </c>
      <c r="AB102" s="47">
        <v>0</v>
      </c>
      <c r="AC102" s="47">
        <v>0</v>
      </c>
      <c r="AD102" s="47">
        <v>0</v>
      </c>
      <c r="AE102" s="47">
        <f>SUM(AF102:AH102)</f>
        <v>0</v>
      </c>
      <c r="AF102" s="47">
        <v>0</v>
      </c>
      <c r="AG102" s="47">
        <v>0</v>
      </c>
      <c r="AH102" s="47">
        <v>0</v>
      </c>
      <c r="AI102" s="47">
        <v>0</v>
      </c>
      <c r="AJ102" s="47">
        <v>0</v>
      </c>
      <c r="AK102" s="47">
        <v>0</v>
      </c>
      <c r="AL102" s="47">
        <v>0</v>
      </c>
      <c r="AM102" s="47">
        <v>0</v>
      </c>
      <c r="AN102" s="47">
        <v>0</v>
      </c>
      <c r="AO102" s="608"/>
      <c r="AP102" s="51"/>
    </row>
    <row r="103" spans="1:42" s="292" customFormat="1" ht="24.75" customHeight="1">
      <c r="A103" s="812" t="s">
        <v>290</v>
      </c>
      <c r="B103" s="83" t="s">
        <v>293</v>
      </c>
      <c r="C103" s="322"/>
      <c r="D103" s="322"/>
      <c r="E103" s="322"/>
      <c r="F103" s="322"/>
      <c r="G103" s="323"/>
      <c r="H103" s="324"/>
      <c r="I103" s="820" t="s">
        <v>20</v>
      </c>
      <c r="J103" s="291"/>
      <c r="K103" s="175"/>
      <c r="L103" s="82">
        <f>SUM(L104:L105)</f>
        <v>12294.88</v>
      </c>
      <c r="M103" s="82">
        <f t="shared" ref="M103:AI103" si="85">M105</f>
        <v>0</v>
      </c>
      <c r="N103" s="82">
        <f t="shared" si="85"/>
        <v>0</v>
      </c>
      <c r="O103" s="82">
        <f t="shared" si="85"/>
        <v>0</v>
      </c>
      <c r="P103" s="82">
        <f t="shared" si="85"/>
        <v>0</v>
      </c>
      <c r="Q103" s="82">
        <f t="shared" si="85"/>
        <v>0</v>
      </c>
      <c r="R103" s="82">
        <f t="shared" si="85"/>
        <v>0</v>
      </c>
      <c r="S103" s="82">
        <f t="shared" si="85"/>
        <v>0</v>
      </c>
      <c r="T103" s="82">
        <f t="shared" si="85"/>
        <v>0</v>
      </c>
      <c r="U103" s="82">
        <f t="shared" si="85"/>
        <v>0</v>
      </c>
      <c r="V103" s="82">
        <f t="shared" si="85"/>
        <v>0</v>
      </c>
      <c r="W103" s="82">
        <f t="shared" si="85"/>
        <v>0</v>
      </c>
      <c r="X103" s="82">
        <f t="shared" si="85"/>
        <v>0</v>
      </c>
      <c r="Y103" s="82">
        <f t="shared" si="85"/>
        <v>0</v>
      </c>
      <c r="Z103" s="82">
        <f t="shared" si="85"/>
        <v>0</v>
      </c>
      <c r="AA103" s="82">
        <f t="shared" si="85"/>
        <v>0</v>
      </c>
      <c r="AB103" s="82">
        <f t="shared" si="85"/>
        <v>0</v>
      </c>
      <c r="AC103" s="82">
        <f t="shared" si="85"/>
        <v>0</v>
      </c>
      <c r="AD103" s="82">
        <f t="shared" si="85"/>
        <v>0</v>
      </c>
      <c r="AE103" s="82">
        <f t="shared" si="85"/>
        <v>0</v>
      </c>
      <c r="AF103" s="82">
        <f t="shared" si="85"/>
        <v>0</v>
      </c>
      <c r="AG103" s="82">
        <f t="shared" si="85"/>
        <v>0</v>
      </c>
      <c r="AH103" s="82">
        <f t="shared" si="85"/>
        <v>0</v>
      </c>
      <c r="AI103" s="82">
        <f t="shared" si="85"/>
        <v>0</v>
      </c>
      <c r="AJ103" s="82">
        <f>P103-Q103</f>
        <v>0</v>
      </c>
      <c r="AK103" s="82">
        <f>AK105</f>
        <v>0</v>
      </c>
      <c r="AL103" s="79">
        <v>0</v>
      </c>
      <c r="AM103" s="82">
        <f>AM105</f>
        <v>0</v>
      </c>
      <c r="AN103" s="82">
        <f>AN105</f>
        <v>0</v>
      </c>
      <c r="AO103" s="623" t="s">
        <v>264</v>
      </c>
      <c r="AP103" s="51"/>
    </row>
    <row r="104" spans="1:42" s="292" customFormat="1" ht="20.25" customHeight="1">
      <c r="A104" s="813"/>
      <c r="B104" s="42" t="s">
        <v>294</v>
      </c>
      <c r="C104" s="319"/>
      <c r="D104" s="319"/>
      <c r="E104" s="319"/>
      <c r="F104" s="319"/>
      <c r="G104" s="320"/>
      <c r="H104" s="321"/>
      <c r="I104" s="822"/>
      <c r="J104" s="541"/>
      <c r="K104" s="47"/>
      <c r="L104" s="47">
        <v>980</v>
      </c>
      <c r="M104" s="3"/>
      <c r="N104" s="47">
        <v>0</v>
      </c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608"/>
      <c r="AP104" s="51"/>
    </row>
    <row r="105" spans="1:42" s="292" customFormat="1" ht="17.25" customHeight="1">
      <c r="A105" s="877"/>
      <c r="B105" s="42" t="s">
        <v>296</v>
      </c>
      <c r="C105" s="320"/>
      <c r="D105" s="320"/>
      <c r="E105" s="320"/>
      <c r="F105" s="320"/>
      <c r="G105" s="320"/>
      <c r="H105" s="321"/>
      <c r="I105" s="877"/>
      <c r="J105" s="75"/>
      <c r="K105" s="47"/>
      <c r="L105" s="47">
        <v>11314.88</v>
      </c>
      <c r="M105" s="47">
        <v>0</v>
      </c>
      <c r="N105" s="47">
        <v>0</v>
      </c>
      <c r="O105" s="47">
        <v>0</v>
      </c>
      <c r="P105" s="47">
        <f>N105</f>
        <v>0</v>
      </c>
      <c r="Q105" s="47">
        <v>0</v>
      </c>
      <c r="R105" s="47">
        <v>0</v>
      </c>
      <c r="S105" s="47">
        <v>0</v>
      </c>
      <c r="T105" s="47">
        <f t="shared" ref="T105:Y105" si="86">T113</f>
        <v>0</v>
      </c>
      <c r="U105" s="47">
        <f t="shared" si="86"/>
        <v>0</v>
      </c>
      <c r="V105" s="47">
        <f t="shared" si="86"/>
        <v>0</v>
      </c>
      <c r="W105" s="47">
        <f t="shared" si="86"/>
        <v>0</v>
      </c>
      <c r="X105" s="47">
        <f t="shared" si="86"/>
        <v>0</v>
      </c>
      <c r="Y105" s="47">
        <f t="shared" si="86"/>
        <v>0</v>
      </c>
      <c r="Z105" s="47">
        <v>0</v>
      </c>
      <c r="AA105" s="47">
        <v>0</v>
      </c>
      <c r="AB105" s="47">
        <f t="shared" ref="AB105:AI105" si="87">AB113</f>
        <v>0</v>
      </c>
      <c r="AC105" s="47">
        <f t="shared" si="87"/>
        <v>0</v>
      </c>
      <c r="AD105" s="47">
        <f t="shared" si="87"/>
        <v>0</v>
      </c>
      <c r="AE105" s="47">
        <f t="shared" si="87"/>
        <v>0</v>
      </c>
      <c r="AF105" s="47">
        <f t="shared" si="87"/>
        <v>0</v>
      </c>
      <c r="AG105" s="47">
        <f t="shared" si="87"/>
        <v>0</v>
      </c>
      <c r="AH105" s="47">
        <f t="shared" si="87"/>
        <v>0</v>
      </c>
      <c r="AI105" s="47">
        <f t="shared" si="87"/>
        <v>0</v>
      </c>
      <c r="AJ105" s="47">
        <v>0</v>
      </c>
      <c r="AK105" s="47">
        <v>0</v>
      </c>
      <c r="AL105" s="47">
        <v>0</v>
      </c>
      <c r="AM105" s="47">
        <v>0</v>
      </c>
      <c r="AN105" s="47">
        <v>0</v>
      </c>
      <c r="AO105" s="608"/>
      <c r="AP105" s="51"/>
    </row>
    <row r="106" spans="1:42" s="292" customFormat="1" ht="27.75" customHeight="1">
      <c r="A106" s="812" t="s">
        <v>291</v>
      </c>
      <c r="B106" s="83" t="s">
        <v>295</v>
      </c>
      <c r="C106" s="322"/>
      <c r="D106" s="322"/>
      <c r="E106" s="322"/>
      <c r="F106" s="322"/>
      <c r="G106" s="323"/>
      <c r="H106" s="324"/>
      <c r="I106" s="820" t="s">
        <v>20</v>
      </c>
      <c r="J106" s="291"/>
      <c r="K106" s="175"/>
      <c r="L106" s="82">
        <f>SUM(L107:L108)</f>
        <v>2085.84</v>
      </c>
      <c r="M106" s="82">
        <f t="shared" ref="M106:AI106" si="88">M108</f>
        <v>0</v>
      </c>
      <c r="N106" s="82">
        <f t="shared" si="88"/>
        <v>0</v>
      </c>
      <c r="O106" s="82">
        <f t="shared" si="88"/>
        <v>0</v>
      </c>
      <c r="P106" s="82">
        <f t="shared" si="88"/>
        <v>0</v>
      </c>
      <c r="Q106" s="82">
        <f t="shared" si="88"/>
        <v>0</v>
      </c>
      <c r="R106" s="82">
        <f t="shared" si="88"/>
        <v>0</v>
      </c>
      <c r="S106" s="82">
        <f t="shared" si="88"/>
        <v>0</v>
      </c>
      <c r="T106" s="82">
        <f t="shared" si="88"/>
        <v>0</v>
      </c>
      <c r="U106" s="82">
        <f t="shared" si="88"/>
        <v>0</v>
      </c>
      <c r="V106" s="82">
        <f t="shared" si="88"/>
        <v>0</v>
      </c>
      <c r="W106" s="82">
        <f t="shared" si="88"/>
        <v>0</v>
      </c>
      <c r="X106" s="82">
        <f t="shared" si="88"/>
        <v>0</v>
      </c>
      <c r="Y106" s="82">
        <f t="shared" si="88"/>
        <v>0</v>
      </c>
      <c r="Z106" s="82">
        <f t="shared" si="88"/>
        <v>0</v>
      </c>
      <c r="AA106" s="82">
        <f t="shared" si="88"/>
        <v>0</v>
      </c>
      <c r="AB106" s="82">
        <f t="shared" si="88"/>
        <v>0</v>
      </c>
      <c r="AC106" s="82">
        <f t="shared" si="88"/>
        <v>0</v>
      </c>
      <c r="AD106" s="82">
        <f t="shared" si="88"/>
        <v>0</v>
      </c>
      <c r="AE106" s="82">
        <f t="shared" si="88"/>
        <v>0</v>
      </c>
      <c r="AF106" s="82">
        <f t="shared" si="88"/>
        <v>0</v>
      </c>
      <c r="AG106" s="82">
        <f t="shared" si="88"/>
        <v>0</v>
      </c>
      <c r="AH106" s="82">
        <f t="shared" si="88"/>
        <v>0</v>
      </c>
      <c r="AI106" s="82">
        <f t="shared" si="88"/>
        <v>0</v>
      </c>
      <c r="AJ106" s="82">
        <f>P106-Q106</f>
        <v>0</v>
      </c>
      <c r="AK106" s="82">
        <f>AK108</f>
        <v>0</v>
      </c>
      <c r="AL106" s="82">
        <f>AL108</f>
        <v>0</v>
      </c>
      <c r="AM106" s="82">
        <f>AM108</f>
        <v>0</v>
      </c>
      <c r="AN106" s="82">
        <f>AN108</f>
        <v>0</v>
      </c>
      <c r="AO106" s="623" t="s">
        <v>249</v>
      </c>
      <c r="AP106" s="51"/>
    </row>
    <row r="107" spans="1:42" s="292" customFormat="1" ht="20.25" customHeight="1">
      <c r="A107" s="813"/>
      <c r="B107" s="42" t="s">
        <v>294</v>
      </c>
      <c r="C107" s="320"/>
      <c r="D107" s="320"/>
      <c r="E107" s="320"/>
      <c r="F107" s="320"/>
      <c r="G107" s="320"/>
      <c r="H107" s="321"/>
      <c r="I107" s="822"/>
      <c r="J107" s="75"/>
      <c r="K107" s="47"/>
      <c r="L107" s="47">
        <v>2085.84</v>
      </c>
      <c r="M107" s="47"/>
      <c r="N107" s="47">
        <v>0</v>
      </c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608"/>
      <c r="AP107" s="51"/>
    </row>
    <row r="108" spans="1:42" s="292" customFormat="1" ht="17.25" customHeight="1">
      <c r="A108" s="877"/>
      <c r="B108" s="42" t="s">
        <v>296</v>
      </c>
      <c r="C108" s="320"/>
      <c r="D108" s="320"/>
      <c r="E108" s="320"/>
      <c r="F108" s="320"/>
      <c r="G108" s="320"/>
      <c r="H108" s="321"/>
      <c r="I108" s="877"/>
      <c r="J108" s="75"/>
      <c r="K108" s="47"/>
      <c r="L108" s="47">
        <v>0</v>
      </c>
      <c r="M108" s="47">
        <v>0</v>
      </c>
      <c r="N108" s="47">
        <v>0</v>
      </c>
      <c r="O108" s="47">
        <v>0</v>
      </c>
      <c r="P108" s="47">
        <f>N108</f>
        <v>0</v>
      </c>
      <c r="Q108" s="47">
        <v>0</v>
      </c>
      <c r="R108" s="47">
        <v>0</v>
      </c>
      <c r="S108" s="47">
        <v>0</v>
      </c>
      <c r="T108" s="47">
        <f t="shared" ref="T108:Y108" si="89">T116</f>
        <v>0</v>
      </c>
      <c r="U108" s="47">
        <f t="shared" si="89"/>
        <v>0</v>
      </c>
      <c r="V108" s="47">
        <f t="shared" si="89"/>
        <v>0</v>
      </c>
      <c r="W108" s="47">
        <f t="shared" si="89"/>
        <v>0</v>
      </c>
      <c r="X108" s="47">
        <f t="shared" si="89"/>
        <v>0</v>
      </c>
      <c r="Y108" s="47">
        <f t="shared" si="89"/>
        <v>0</v>
      </c>
      <c r="Z108" s="47">
        <v>0</v>
      </c>
      <c r="AA108" s="47">
        <v>0</v>
      </c>
      <c r="AB108" s="47">
        <f t="shared" ref="AB108:AI108" si="90">AB116</f>
        <v>0</v>
      </c>
      <c r="AC108" s="47">
        <f t="shared" si="90"/>
        <v>0</v>
      </c>
      <c r="AD108" s="47">
        <f t="shared" si="90"/>
        <v>0</v>
      </c>
      <c r="AE108" s="47">
        <f t="shared" si="90"/>
        <v>0</v>
      </c>
      <c r="AF108" s="47">
        <f t="shared" si="90"/>
        <v>0</v>
      </c>
      <c r="AG108" s="47">
        <f t="shared" si="90"/>
        <v>0</v>
      </c>
      <c r="AH108" s="47">
        <f t="shared" si="90"/>
        <v>0</v>
      </c>
      <c r="AI108" s="47">
        <f t="shared" si="90"/>
        <v>0</v>
      </c>
      <c r="AJ108" s="47">
        <v>0</v>
      </c>
      <c r="AK108" s="47">
        <v>0</v>
      </c>
      <c r="AL108" s="47">
        <v>0</v>
      </c>
      <c r="AM108" s="47">
        <v>0</v>
      </c>
      <c r="AN108" s="47">
        <v>0</v>
      </c>
      <c r="AO108" s="608"/>
      <c r="AP108" s="51"/>
    </row>
    <row r="109" spans="1:42" s="292" customFormat="1" ht="40.5" customHeight="1">
      <c r="A109" s="812" t="s">
        <v>292</v>
      </c>
      <c r="B109" s="83" t="s">
        <v>297</v>
      </c>
      <c r="C109" s="322"/>
      <c r="D109" s="322"/>
      <c r="E109" s="322"/>
      <c r="F109" s="322"/>
      <c r="G109" s="323"/>
      <c r="H109" s="324"/>
      <c r="I109" s="820" t="s">
        <v>20</v>
      </c>
      <c r="J109" s="291"/>
      <c r="K109" s="175"/>
      <c r="L109" s="82">
        <f t="shared" ref="L109:AI110" si="91">L110</f>
        <v>28990</v>
      </c>
      <c r="M109" s="82">
        <f t="shared" si="91"/>
        <v>0</v>
      </c>
      <c r="N109" s="82">
        <f t="shared" si="91"/>
        <v>10150</v>
      </c>
      <c r="O109" s="82">
        <f t="shared" si="91"/>
        <v>0</v>
      </c>
      <c r="P109" s="82">
        <f>N109</f>
        <v>10150</v>
      </c>
      <c r="Q109" s="82">
        <f t="shared" si="91"/>
        <v>0</v>
      </c>
      <c r="R109" s="82">
        <f t="shared" si="91"/>
        <v>0</v>
      </c>
      <c r="S109" s="82">
        <f t="shared" si="91"/>
        <v>0</v>
      </c>
      <c r="T109" s="82">
        <f t="shared" si="91"/>
        <v>0</v>
      </c>
      <c r="U109" s="82">
        <f t="shared" si="91"/>
        <v>0</v>
      </c>
      <c r="V109" s="82">
        <f t="shared" si="91"/>
        <v>0</v>
      </c>
      <c r="W109" s="82">
        <f t="shared" si="91"/>
        <v>0</v>
      </c>
      <c r="X109" s="82">
        <f t="shared" si="91"/>
        <v>0</v>
      </c>
      <c r="Y109" s="82">
        <f t="shared" si="91"/>
        <v>0</v>
      </c>
      <c r="Z109" s="82">
        <f t="shared" si="91"/>
        <v>24158.33</v>
      </c>
      <c r="AA109" s="82">
        <f t="shared" si="91"/>
        <v>0</v>
      </c>
      <c r="AB109" s="82">
        <f t="shared" si="91"/>
        <v>0</v>
      </c>
      <c r="AC109" s="82">
        <f t="shared" si="91"/>
        <v>0</v>
      </c>
      <c r="AD109" s="82">
        <f t="shared" si="91"/>
        <v>24158.33</v>
      </c>
      <c r="AE109" s="82">
        <f t="shared" si="91"/>
        <v>24158.33</v>
      </c>
      <c r="AF109" s="82">
        <f t="shared" si="91"/>
        <v>0</v>
      </c>
      <c r="AG109" s="82">
        <f t="shared" si="91"/>
        <v>0</v>
      </c>
      <c r="AH109" s="82">
        <f t="shared" si="91"/>
        <v>0</v>
      </c>
      <c r="AI109" s="82">
        <f t="shared" si="91"/>
        <v>24158.33</v>
      </c>
      <c r="AJ109" s="82">
        <f>P109-Q109</f>
        <v>10150</v>
      </c>
      <c r="AK109" s="82">
        <f>AK110</f>
        <v>0</v>
      </c>
      <c r="AL109" s="79">
        <f>ROUND((Q109*100%/P109*100),2)</f>
        <v>0</v>
      </c>
      <c r="AM109" s="82">
        <f>AM110</f>
        <v>0</v>
      </c>
      <c r="AN109" s="82">
        <f>AN110</f>
        <v>0</v>
      </c>
      <c r="AO109" s="623" t="s">
        <v>306</v>
      </c>
      <c r="AP109" s="1063" t="s">
        <v>324</v>
      </c>
    </row>
    <row r="110" spans="1:42" s="292" customFormat="1" ht="17.25" customHeight="1">
      <c r="A110" s="877"/>
      <c r="B110" s="42" t="s">
        <v>206</v>
      </c>
      <c r="C110" s="320"/>
      <c r="D110" s="320"/>
      <c r="E110" s="320"/>
      <c r="F110" s="320"/>
      <c r="G110" s="320"/>
      <c r="H110" s="321"/>
      <c r="I110" s="877"/>
      <c r="J110" s="75"/>
      <c r="K110" s="47"/>
      <c r="L110" s="47">
        <v>28990</v>
      </c>
      <c r="M110" s="47">
        <v>0</v>
      </c>
      <c r="N110" s="47">
        <v>10150</v>
      </c>
      <c r="O110" s="47">
        <v>0</v>
      </c>
      <c r="P110" s="47">
        <f>N110</f>
        <v>10150</v>
      </c>
      <c r="Q110" s="47">
        <v>0</v>
      </c>
      <c r="R110" s="47">
        <v>0</v>
      </c>
      <c r="S110" s="47">
        <v>0</v>
      </c>
      <c r="T110" s="47">
        <f t="shared" ref="T110:Y110" si="92">T119</f>
        <v>0</v>
      </c>
      <c r="U110" s="47">
        <f t="shared" si="92"/>
        <v>0</v>
      </c>
      <c r="V110" s="47">
        <f t="shared" si="92"/>
        <v>0</v>
      </c>
      <c r="W110" s="47">
        <f t="shared" si="92"/>
        <v>0</v>
      </c>
      <c r="X110" s="47">
        <f t="shared" si="92"/>
        <v>0</v>
      </c>
      <c r="Y110" s="47">
        <f t="shared" si="92"/>
        <v>0</v>
      </c>
      <c r="Z110" s="47">
        <f t="shared" si="91"/>
        <v>24158.33</v>
      </c>
      <c r="AA110" s="47">
        <f t="shared" si="91"/>
        <v>0</v>
      </c>
      <c r="AB110" s="47">
        <f t="shared" si="91"/>
        <v>0</v>
      </c>
      <c r="AC110" s="47">
        <f t="shared" si="91"/>
        <v>0</v>
      </c>
      <c r="AD110" s="47">
        <f>AD111</f>
        <v>24158.33</v>
      </c>
      <c r="AE110" s="47">
        <f>AE119+AI110</f>
        <v>24158.33</v>
      </c>
      <c r="AF110" s="47">
        <f>AF119</f>
        <v>0</v>
      </c>
      <c r="AG110" s="47">
        <f>AG119</f>
        <v>0</v>
      </c>
      <c r="AH110" s="47">
        <f>AH119</f>
        <v>0</v>
      </c>
      <c r="AI110" s="47">
        <v>24158.33</v>
      </c>
      <c r="AJ110" s="47">
        <v>0</v>
      </c>
      <c r="AK110" s="47">
        <v>0</v>
      </c>
      <c r="AL110" s="47">
        <v>0</v>
      </c>
      <c r="AM110" s="47">
        <v>0</v>
      </c>
      <c r="AN110" s="47">
        <v>0</v>
      </c>
      <c r="AO110" s="608"/>
      <c r="AP110" s="1069"/>
    </row>
    <row r="111" spans="1:42" s="273" customFormat="1" ht="17.25" hidden="1" customHeight="1">
      <c r="A111" s="373"/>
      <c r="B111" s="257" t="s">
        <v>300</v>
      </c>
      <c r="C111" s="371"/>
      <c r="D111" s="371"/>
      <c r="E111" s="371"/>
      <c r="F111" s="371"/>
      <c r="G111" s="371"/>
      <c r="H111" s="372"/>
      <c r="I111" s="505"/>
      <c r="J111" s="263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>
        <f>SUM(AA111:AD111)</f>
        <v>24158.33</v>
      </c>
      <c r="AA111" s="99"/>
      <c r="AB111" s="99"/>
      <c r="AC111" s="99"/>
      <c r="AD111" s="99">
        <v>24158.33</v>
      </c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624"/>
      <c r="AP111" s="269"/>
    </row>
    <row r="112" spans="1:42" ht="54" customHeight="1">
      <c r="A112" s="833" t="s">
        <v>60</v>
      </c>
      <c r="B112" s="889" t="s">
        <v>45</v>
      </c>
      <c r="C112" s="890"/>
      <c r="D112" s="890"/>
      <c r="E112" s="890"/>
      <c r="F112" s="890"/>
      <c r="G112" s="890"/>
      <c r="H112" s="891"/>
      <c r="I112" s="15" t="s">
        <v>19</v>
      </c>
      <c r="J112" s="16">
        <v>0</v>
      </c>
      <c r="K112" s="16">
        <f t="shared" ref="K112" si="93">K115</f>
        <v>0</v>
      </c>
      <c r="L112" s="16">
        <f t="shared" ref="L112:L130" si="94">M112+N112+O112</f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  <c r="Z112" s="22">
        <v>0</v>
      </c>
      <c r="AA112" s="22">
        <v>0</v>
      </c>
      <c r="AB112" s="22">
        <v>0</v>
      </c>
      <c r="AC112" s="22">
        <v>0</v>
      </c>
      <c r="AD112" s="22">
        <v>0</v>
      </c>
      <c r="AE112" s="22">
        <v>0</v>
      </c>
      <c r="AF112" s="22">
        <v>0</v>
      </c>
      <c r="AG112" s="22">
        <v>0</v>
      </c>
      <c r="AH112" s="22">
        <v>0</v>
      </c>
      <c r="AI112" s="22">
        <v>0</v>
      </c>
      <c r="AJ112" s="22">
        <v>0</v>
      </c>
      <c r="AK112" s="22">
        <v>0</v>
      </c>
      <c r="AL112" s="22">
        <v>0</v>
      </c>
      <c r="AM112" s="22">
        <v>0</v>
      </c>
      <c r="AN112" s="22">
        <v>0</v>
      </c>
      <c r="AO112" s="609"/>
      <c r="AP112" s="648"/>
    </row>
    <row r="113" spans="1:42" ht="42.75" customHeight="1">
      <c r="A113" s="834"/>
      <c r="B113" s="892"/>
      <c r="C113" s="893"/>
      <c r="D113" s="893"/>
      <c r="E113" s="893"/>
      <c r="F113" s="893"/>
      <c r="G113" s="893"/>
      <c r="H113" s="894"/>
      <c r="I113" s="15" t="s">
        <v>20</v>
      </c>
      <c r="J113" s="16">
        <f t="shared" ref="J113" si="95">J116</f>
        <v>4106.3500000000004</v>
      </c>
      <c r="K113" s="16">
        <v>0</v>
      </c>
      <c r="L113" s="16">
        <f>L116</f>
        <v>6022.96</v>
      </c>
      <c r="M113" s="16">
        <f>M116</f>
        <v>0</v>
      </c>
      <c r="N113" s="22">
        <f t="shared" ref="N113:AN113" si="96">N116</f>
        <v>980</v>
      </c>
      <c r="O113" s="16">
        <f t="shared" si="96"/>
        <v>0</v>
      </c>
      <c r="P113" s="22">
        <f t="shared" si="96"/>
        <v>980</v>
      </c>
      <c r="Q113" s="22">
        <f t="shared" si="96"/>
        <v>20</v>
      </c>
      <c r="R113" s="22">
        <f t="shared" si="96"/>
        <v>20</v>
      </c>
      <c r="S113" s="22">
        <f t="shared" si="96"/>
        <v>20</v>
      </c>
      <c r="T113" s="22">
        <f t="shared" si="96"/>
        <v>0</v>
      </c>
      <c r="U113" s="22">
        <f t="shared" si="96"/>
        <v>0</v>
      </c>
      <c r="V113" s="22">
        <f t="shared" si="96"/>
        <v>0</v>
      </c>
      <c r="W113" s="22">
        <f t="shared" si="96"/>
        <v>0</v>
      </c>
      <c r="X113" s="22">
        <f t="shared" si="96"/>
        <v>0</v>
      </c>
      <c r="Y113" s="22">
        <f t="shared" si="96"/>
        <v>0</v>
      </c>
      <c r="Z113" s="22">
        <f t="shared" si="96"/>
        <v>1000</v>
      </c>
      <c r="AA113" s="22">
        <f t="shared" si="96"/>
        <v>1000</v>
      </c>
      <c r="AB113" s="22">
        <f t="shared" si="96"/>
        <v>0</v>
      </c>
      <c r="AC113" s="22">
        <f t="shared" si="96"/>
        <v>0</v>
      </c>
      <c r="AD113" s="22">
        <f t="shared" si="96"/>
        <v>0</v>
      </c>
      <c r="AE113" s="22">
        <f t="shared" si="96"/>
        <v>0</v>
      </c>
      <c r="AF113" s="22">
        <f t="shared" si="96"/>
        <v>0</v>
      </c>
      <c r="AG113" s="22">
        <f t="shared" si="96"/>
        <v>0</v>
      </c>
      <c r="AH113" s="22">
        <f t="shared" si="96"/>
        <v>0</v>
      </c>
      <c r="AI113" s="22">
        <f t="shared" si="96"/>
        <v>0</v>
      </c>
      <c r="AJ113" s="22">
        <f t="shared" si="96"/>
        <v>960</v>
      </c>
      <c r="AK113" s="22">
        <f t="shared" si="96"/>
        <v>960</v>
      </c>
      <c r="AL113" s="22">
        <f t="shared" si="96"/>
        <v>2.04</v>
      </c>
      <c r="AM113" s="22">
        <f t="shared" si="96"/>
        <v>0</v>
      </c>
      <c r="AN113" s="22">
        <f t="shared" si="96"/>
        <v>0</v>
      </c>
      <c r="AO113" s="609"/>
      <c r="AP113" s="648"/>
    </row>
    <row r="114" spans="1:42" ht="25.5">
      <c r="A114" s="834"/>
      <c r="B114" s="892"/>
      <c r="C114" s="893"/>
      <c r="D114" s="893"/>
      <c r="E114" s="893"/>
      <c r="F114" s="893"/>
      <c r="G114" s="893"/>
      <c r="H114" s="894"/>
      <c r="I114" s="15" t="s">
        <v>10</v>
      </c>
      <c r="J114" s="16">
        <v>0</v>
      </c>
      <c r="K114" s="16">
        <v>0</v>
      </c>
      <c r="L114" s="16">
        <f t="shared" si="94"/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  <c r="Z114" s="22">
        <v>0</v>
      </c>
      <c r="AA114" s="22">
        <v>0</v>
      </c>
      <c r="AB114" s="22">
        <v>0</v>
      </c>
      <c r="AC114" s="22">
        <v>0</v>
      </c>
      <c r="AD114" s="22">
        <v>0</v>
      </c>
      <c r="AE114" s="22">
        <v>0</v>
      </c>
      <c r="AF114" s="22"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v>0</v>
      </c>
      <c r="AL114" s="22">
        <v>0</v>
      </c>
      <c r="AM114" s="22">
        <v>0</v>
      </c>
      <c r="AN114" s="22">
        <v>0</v>
      </c>
      <c r="AO114" s="609"/>
      <c r="AP114" s="648"/>
    </row>
    <row r="115" spans="1:42" ht="35.25" customHeight="1">
      <c r="A115" s="835"/>
      <c r="B115" s="895"/>
      <c r="C115" s="896"/>
      <c r="D115" s="896"/>
      <c r="E115" s="896"/>
      <c r="F115" s="896"/>
      <c r="G115" s="896"/>
      <c r="H115" s="897"/>
      <c r="I115" s="15" t="s">
        <v>9</v>
      </c>
      <c r="J115" s="16">
        <v>0</v>
      </c>
      <c r="K115" s="16"/>
      <c r="L115" s="16">
        <f t="shared" si="94"/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  <c r="Z115" s="22">
        <v>0</v>
      </c>
      <c r="AA115" s="22">
        <v>0</v>
      </c>
      <c r="AB115" s="22">
        <v>0</v>
      </c>
      <c r="AC115" s="22">
        <v>0</v>
      </c>
      <c r="AD115" s="22">
        <v>0</v>
      </c>
      <c r="AE115" s="22">
        <v>0</v>
      </c>
      <c r="AF115" s="22">
        <v>0</v>
      </c>
      <c r="AG115" s="22">
        <v>0</v>
      </c>
      <c r="AH115" s="22">
        <v>0</v>
      </c>
      <c r="AI115" s="22">
        <v>0</v>
      </c>
      <c r="AJ115" s="22">
        <v>0</v>
      </c>
      <c r="AK115" s="22">
        <v>0</v>
      </c>
      <c r="AL115" s="22">
        <v>0</v>
      </c>
      <c r="AM115" s="22">
        <v>0</v>
      </c>
      <c r="AN115" s="22">
        <v>0</v>
      </c>
      <c r="AO115" s="609"/>
      <c r="AP115" s="648"/>
    </row>
    <row r="116" spans="1:42" ht="28.5" customHeight="1">
      <c r="A116" s="812" t="s">
        <v>61</v>
      </c>
      <c r="B116" s="78" t="s">
        <v>88</v>
      </c>
      <c r="C116" s="46"/>
      <c r="D116" s="46"/>
      <c r="E116" s="46"/>
      <c r="F116" s="46"/>
      <c r="G116" s="46"/>
      <c r="H116" s="46"/>
      <c r="I116" s="884" t="s">
        <v>20</v>
      </c>
      <c r="J116" s="809">
        <v>4106.3500000000004</v>
      </c>
      <c r="K116" s="16">
        <v>0</v>
      </c>
      <c r="L116" s="82">
        <f>L117+L120</f>
        <v>6022.96</v>
      </c>
      <c r="M116" s="82">
        <f>M117+M120</f>
        <v>0</v>
      </c>
      <c r="N116" s="82">
        <f t="shared" ref="N116:O116" si="97">N117+N120</f>
        <v>980</v>
      </c>
      <c r="O116" s="82">
        <f t="shared" si="97"/>
        <v>0</v>
      </c>
      <c r="P116" s="82">
        <f>P117+P120</f>
        <v>980</v>
      </c>
      <c r="Q116" s="82">
        <f t="shared" ref="Q116:AN116" si="98">Q117+Q120</f>
        <v>20</v>
      </c>
      <c r="R116" s="82">
        <f t="shared" si="98"/>
        <v>20</v>
      </c>
      <c r="S116" s="82">
        <f t="shared" si="98"/>
        <v>20</v>
      </c>
      <c r="T116" s="82">
        <f t="shared" si="98"/>
        <v>0</v>
      </c>
      <c r="U116" s="82">
        <f t="shared" si="98"/>
        <v>0</v>
      </c>
      <c r="V116" s="82">
        <f t="shared" si="98"/>
        <v>0</v>
      </c>
      <c r="W116" s="82">
        <f t="shared" si="98"/>
        <v>0</v>
      </c>
      <c r="X116" s="82">
        <f t="shared" si="98"/>
        <v>0</v>
      </c>
      <c r="Y116" s="82">
        <f t="shared" si="98"/>
        <v>0</v>
      </c>
      <c r="Z116" s="82">
        <f t="shared" si="98"/>
        <v>1000</v>
      </c>
      <c r="AA116" s="82">
        <f>AA117+AA120</f>
        <v>1000</v>
      </c>
      <c r="AB116" s="82">
        <f>AB117+AB120</f>
        <v>0</v>
      </c>
      <c r="AC116" s="82">
        <f t="shared" ref="AC116:AD116" si="99">AC117+AC120</f>
        <v>0</v>
      </c>
      <c r="AD116" s="82">
        <f t="shared" si="99"/>
        <v>0</v>
      </c>
      <c r="AE116" s="82">
        <f t="shared" si="98"/>
        <v>0</v>
      </c>
      <c r="AF116" s="82">
        <f t="shared" si="98"/>
        <v>0</v>
      </c>
      <c r="AG116" s="82">
        <f t="shared" si="98"/>
        <v>0</v>
      </c>
      <c r="AH116" s="82">
        <f t="shared" si="98"/>
        <v>0</v>
      </c>
      <c r="AI116" s="82">
        <f t="shared" si="98"/>
        <v>0</v>
      </c>
      <c r="AJ116" s="82">
        <f>P116-Q116</f>
        <v>960</v>
      </c>
      <c r="AK116" s="82">
        <f>AJ116</f>
        <v>960</v>
      </c>
      <c r="AL116" s="79">
        <f>ROUND((Q116*100%/P116*100),2)</f>
        <v>2.04</v>
      </c>
      <c r="AM116" s="82">
        <f t="shared" si="98"/>
        <v>0</v>
      </c>
      <c r="AN116" s="82">
        <f t="shared" si="98"/>
        <v>0</v>
      </c>
      <c r="AO116" s="623" t="s">
        <v>264</v>
      </c>
      <c r="AP116" s="1060" t="s">
        <v>325</v>
      </c>
    </row>
    <row r="117" spans="1:42" ht="15">
      <c r="A117" s="813"/>
      <c r="B117" s="23" t="s">
        <v>15</v>
      </c>
      <c r="C117" s="46"/>
      <c r="D117" s="46"/>
      <c r="E117" s="46"/>
      <c r="F117" s="46"/>
      <c r="G117" s="523">
        <v>2019</v>
      </c>
      <c r="H117" s="523">
        <v>2019</v>
      </c>
      <c r="I117" s="888"/>
      <c r="J117" s="810"/>
      <c r="K117" s="22"/>
      <c r="L117" s="22">
        <v>1000</v>
      </c>
      <c r="M117" s="47">
        <v>0</v>
      </c>
      <c r="N117" s="47">
        <v>980</v>
      </c>
      <c r="O117" s="47">
        <v>0</v>
      </c>
      <c r="P117" s="47">
        <f>N117</f>
        <v>980</v>
      </c>
      <c r="Q117" s="47">
        <f t="shared" ref="Q117:Z117" si="100">Q118+Q119</f>
        <v>20</v>
      </c>
      <c r="R117" s="47">
        <f t="shared" si="100"/>
        <v>20</v>
      </c>
      <c r="S117" s="47">
        <f t="shared" si="100"/>
        <v>20</v>
      </c>
      <c r="T117" s="47">
        <f t="shared" si="100"/>
        <v>0</v>
      </c>
      <c r="U117" s="47">
        <f t="shared" si="100"/>
        <v>0</v>
      </c>
      <c r="V117" s="47">
        <f t="shared" si="100"/>
        <v>0</v>
      </c>
      <c r="W117" s="47">
        <f t="shared" si="100"/>
        <v>0</v>
      </c>
      <c r="X117" s="47">
        <f t="shared" si="100"/>
        <v>0</v>
      </c>
      <c r="Y117" s="47">
        <f t="shared" si="100"/>
        <v>0</v>
      </c>
      <c r="Z117" s="47">
        <f t="shared" si="100"/>
        <v>1000</v>
      </c>
      <c r="AA117" s="47">
        <f>AA118+AA119</f>
        <v>1000</v>
      </c>
      <c r="AB117" s="47">
        <f>AB118+AB119</f>
        <v>0</v>
      </c>
      <c r="AC117" s="47">
        <f t="shared" ref="AC117:AD117" si="101">AC118+AC119</f>
        <v>0</v>
      </c>
      <c r="AD117" s="47">
        <f t="shared" si="101"/>
        <v>0</v>
      </c>
      <c r="AE117" s="47">
        <v>0</v>
      </c>
      <c r="AF117" s="47">
        <v>0</v>
      </c>
      <c r="AG117" s="47">
        <v>0</v>
      </c>
      <c r="AH117" s="47">
        <v>0</v>
      </c>
      <c r="AI117" s="47">
        <v>0</v>
      </c>
      <c r="AJ117" s="47">
        <v>0</v>
      </c>
      <c r="AK117" s="47">
        <v>0</v>
      </c>
      <c r="AL117" s="47">
        <v>0</v>
      </c>
      <c r="AM117" s="47">
        <v>0</v>
      </c>
      <c r="AN117" s="47">
        <v>0</v>
      </c>
      <c r="AO117" s="608"/>
      <c r="AP117" s="1061"/>
    </row>
    <row r="118" spans="1:42" s="100" customFormat="1" ht="15" hidden="1" customHeight="1">
      <c r="A118" s="813"/>
      <c r="B118" s="456" t="s">
        <v>259</v>
      </c>
      <c r="C118" s="457"/>
      <c r="D118" s="457"/>
      <c r="E118" s="457"/>
      <c r="F118" s="457"/>
      <c r="G118" s="267"/>
      <c r="H118" s="267"/>
      <c r="I118" s="888"/>
      <c r="J118" s="810"/>
      <c r="K118" s="178"/>
      <c r="L118" s="178"/>
      <c r="M118" s="99"/>
      <c r="N118" s="99"/>
      <c r="O118" s="99"/>
      <c r="P118" s="99">
        <v>0</v>
      </c>
      <c r="Q118" s="99">
        <v>0</v>
      </c>
      <c r="R118" s="99">
        <v>0</v>
      </c>
      <c r="S118" s="99">
        <v>0</v>
      </c>
      <c r="T118" s="99"/>
      <c r="U118" s="99"/>
      <c r="V118" s="99"/>
      <c r="W118" s="99"/>
      <c r="X118" s="99"/>
      <c r="Y118" s="99"/>
      <c r="Z118" s="99">
        <f>AA118</f>
        <v>980</v>
      </c>
      <c r="AA118" s="99">
        <v>980</v>
      </c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624"/>
      <c r="AP118" s="1061"/>
    </row>
    <row r="119" spans="1:42" s="100" customFormat="1" ht="15" hidden="1" customHeight="1">
      <c r="A119" s="813"/>
      <c r="B119" s="456" t="s">
        <v>260</v>
      </c>
      <c r="C119" s="457"/>
      <c r="D119" s="457"/>
      <c r="E119" s="457"/>
      <c r="F119" s="457"/>
      <c r="G119" s="267"/>
      <c r="H119" s="267"/>
      <c r="I119" s="888"/>
      <c r="J119" s="810"/>
      <c r="K119" s="178"/>
      <c r="L119" s="178"/>
      <c r="M119" s="99"/>
      <c r="N119" s="99"/>
      <c r="O119" s="99"/>
      <c r="P119" s="99"/>
      <c r="Q119" s="99">
        <f>S119</f>
        <v>20</v>
      </c>
      <c r="R119" s="99">
        <f>S119</f>
        <v>20</v>
      </c>
      <c r="S119" s="99">
        <v>20</v>
      </c>
      <c r="T119" s="99"/>
      <c r="U119" s="99"/>
      <c r="V119" s="99"/>
      <c r="W119" s="99"/>
      <c r="X119" s="99"/>
      <c r="Y119" s="99"/>
      <c r="Z119" s="99">
        <f>AA119</f>
        <v>20</v>
      </c>
      <c r="AA119" s="99">
        <v>20</v>
      </c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624"/>
      <c r="AP119" s="1061"/>
    </row>
    <row r="120" spans="1:42" ht="15">
      <c r="A120" s="814"/>
      <c r="B120" s="23" t="s">
        <v>16</v>
      </c>
      <c r="C120" s="46"/>
      <c r="D120" s="46"/>
      <c r="E120" s="46"/>
      <c r="F120" s="46"/>
      <c r="G120" s="523">
        <v>2020</v>
      </c>
      <c r="H120" s="523">
        <v>2021</v>
      </c>
      <c r="I120" s="885"/>
      <c r="J120" s="811"/>
      <c r="K120" s="22"/>
      <c r="L120" s="22">
        <v>5022.96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178">
        <v>0</v>
      </c>
      <c r="Y120" s="178">
        <v>0</v>
      </c>
      <c r="Z120" s="22">
        <v>0</v>
      </c>
      <c r="AA120" s="22">
        <v>0</v>
      </c>
      <c r="AB120" s="22">
        <v>0</v>
      </c>
      <c r="AC120" s="22">
        <v>0</v>
      </c>
      <c r="AD120" s="22">
        <v>0</v>
      </c>
      <c r="AE120" s="22">
        <v>0</v>
      </c>
      <c r="AF120" s="22">
        <v>0</v>
      </c>
      <c r="AG120" s="22">
        <v>0</v>
      </c>
      <c r="AH120" s="22">
        <v>0</v>
      </c>
      <c r="AI120" s="22">
        <v>0</v>
      </c>
      <c r="AJ120" s="22">
        <v>0</v>
      </c>
      <c r="AK120" s="22">
        <v>0</v>
      </c>
      <c r="AL120" s="22">
        <v>0</v>
      </c>
      <c r="AM120" s="22">
        <v>0</v>
      </c>
      <c r="AN120" s="22">
        <v>0</v>
      </c>
      <c r="AO120" s="609"/>
      <c r="AP120" s="1062"/>
    </row>
    <row r="121" spans="1:42">
      <c r="A121" s="331" t="s">
        <v>13</v>
      </c>
      <c r="B121" s="548" t="s">
        <v>7</v>
      </c>
      <c r="C121" s="549"/>
      <c r="D121" s="549"/>
      <c r="E121" s="549"/>
      <c r="F121" s="549"/>
      <c r="G121" s="549"/>
      <c r="H121" s="549"/>
      <c r="I121" s="549"/>
      <c r="J121" s="549"/>
      <c r="K121" s="549"/>
      <c r="L121" s="550"/>
      <c r="M121" s="550"/>
      <c r="N121" s="550"/>
      <c r="O121" s="550"/>
      <c r="P121" s="550"/>
      <c r="Q121" s="550"/>
      <c r="R121" s="550"/>
      <c r="S121" s="550"/>
      <c r="T121" s="550"/>
      <c r="U121" s="550"/>
      <c r="V121" s="550"/>
      <c r="W121" s="550"/>
      <c r="X121" s="368"/>
      <c r="Y121" s="368"/>
      <c r="Z121" s="550"/>
      <c r="AA121" s="550"/>
      <c r="AB121" s="550"/>
      <c r="AC121" s="550"/>
      <c r="AD121" s="550"/>
      <c r="AE121" s="550"/>
      <c r="AF121" s="550"/>
      <c r="AG121" s="550"/>
      <c r="AH121" s="550"/>
      <c r="AI121" s="550"/>
      <c r="AJ121" s="550"/>
      <c r="AK121" s="550"/>
      <c r="AL121" s="550"/>
      <c r="AM121" s="550"/>
      <c r="AN121" s="550"/>
      <c r="AO121" s="626"/>
      <c r="AP121" s="649"/>
    </row>
    <row r="122" spans="1:42" s="390" customFormat="1">
      <c r="A122" s="948"/>
      <c r="B122" s="949"/>
      <c r="C122" s="949"/>
      <c r="D122" s="949"/>
      <c r="E122" s="949"/>
      <c r="F122" s="949"/>
      <c r="G122" s="949"/>
      <c r="H122" s="950"/>
      <c r="I122" s="387" t="s">
        <v>21</v>
      </c>
      <c r="J122" s="388">
        <f t="shared" ref="J122:AN122" si="102">J123+J124+J125+J126</f>
        <v>165965.11999999997</v>
      </c>
      <c r="K122" s="388">
        <f t="shared" si="102"/>
        <v>25354.1</v>
      </c>
      <c r="L122" s="388">
        <f t="shared" si="102"/>
        <v>1042119.19</v>
      </c>
      <c r="M122" s="388">
        <f t="shared" si="102"/>
        <v>571026.48</v>
      </c>
      <c r="N122" s="389">
        <f t="shared" si="102"/>
        <v>616839.18000000005</v>
      </c>
      <c r="O122" s="388">
        <f t="shared" si="102"/>
        <v>391632.88</v>
      </c>
      <c r="P122" s="389">
        <f t="shared" si="102"/>
        <v>616839.18000000005</v>
      </c>
      <c r="Q122" s="389">
        <f>Q123+Q124+Q125+Q126</f>
        <v>66193.066999999995</v>
      </c>
      <c r="R122" s="389">
        <f t="shared" si="102"/>
        <v>15298.060000000001</v>
      </c>
      <c r="S122" s="389">
        <f t="shared" si="102"/>
        <v>15298.060000000001</v>
      </c>
      <c r="T122" s="389">
        <f t="shared" si="102"/>
        <v>22929.636999999999</v>
      </c>
      <c r="U122" s="389">
        <f t="shared" si="102"/>
        <v>20292.455999999998</v>
      </c>
      <c r="V122" s="389">
        <f t="shared" si="102"/>
        <v>4419.8019999999997</v>
      </c>
      <c r="W122" s="389">
        <f t="shared" si="102"/>
        <v>24539.931999999997</v>
      </c>
      <c r="X122" s="389">
        <f t="shared" si="102"/>
        <v>1031</v>
      </c>
      <c r="Y122" s="389">
        <f t="shared" si="102"/>
        <v>6062.6190000000006</v>
      </c>
      <c r="Z122" s="389">
        <f t="shared" si="102"/>
        <v>39873.67</v>
      </c>
      <c r="AA122" s="389">
        <f t="shared" si="102"/>
        <v>3947.02</v>
      </c>
      <c r="AB122" s="389">
        <f t="shared" si="102"/>
        <v>32629.109</v>
      </c>
      <c r="AC122" s="389">
        <f t="shared" si="102"/>
        <v>1504.922</v>
      </c>
      <c r="AD122" s="389">
        <f t="shared" si="102"/>
        <v>1792.6189999999999</v>
      </c>
      <c r="AE122" s="389">
        <f t="shared" si="102"/>
        <v>100666.13</v>
      </c>
      <c r="AF122" s="389">
        <f t="shared" si="102"/>
        <v>0</v>
      </c>
      <c r="AG122" s="389">
        <f t="shared" si="102"/>
        <v>26166.241999999998</v>
      </c>
      <c r="AH122" s="389">
        <f t="shared" si="102"/>
        <v>74499.888000000006</v>
      </c>
      <c r="AI122" s="389">
        <f t="shared" si="102"/>
        <v>0</v>
      </c>
      <c r="AJ122" s="389">
        <f t="shared" si="102"/>
        <v>49537.081000000006</v>
      </c>
      <c r="AK122" s="389">
        <f t="shared" si="102"/>
        <v>49537.081000000006</v>
      </c>
      <c r="AL122" s="389">
        <f t="shared" si="102"/>
        <v>232.17</v>
      </c>
      <c r="AM122" s="389">
        <f t="shared" si="102"/>
        <v>0</v>
      </c>
      <c r="AN122" s="389">
        <f t="shared" si="102"/>
        <v>0</v>
      </c>
      <c r="AO122" s="627"/>
      <c r="AP122" s="648"/>
    </row>
    <row r="123" spans="1:42" s="390" customFormat="1" ht="58.5" customHeight="1">
      <c r="A123" s="951"/>
      <c r="B123" s="952"/>
      <c r="C123" s="952"/>
      <c r="D123" s="952"/>
      <c r="E123" s="952"/>
      <c r="F123" s="952"/>
      <c r="G123" s="952"/>
      <c r="H123" s="953"/>
      <c r="I123" s="23" t="s">
        <v>19</v>
      </c>
      <c r="J123" s="73">
        <f t="shared" ref="J123:AN126" si="103">J127+J160+J184</f>
        <v>152888.53999999998</v>
      </c>
      <c r="K123" s="73">
        <f t="shared" si="103"/>
        <v>25354.1</v>
      </c>
      <c r="L123" s="3">
        <f>L127+L160+L184</f>
        <v>193023.18</v>
      </c>
      <c r="M123" s="3">
        <f t="shared" si="103"/>
        <v>42443.12</v>
      </c>
      <c r="N123" s="47">
        <f t="shared" si="103"/>
        <v>35331.160000000003</v>
      </c>
      <c r="O123" s="3">
        <f t="shared" si="103"/>
        <v>39893.15</v>
      </c>
      <c r="P123" s="47">
        <f>P127+P160+P184</f>
        <v>35331.160000000003</v>
      </c>
      <c r="Q123" s="47">
        <f>Q127+Q160+Q184</f>
        <v>51890.073999999993</v>
      </c>
      <c r="R123" s="47">
        <f t="shared" si="103"/>
        <v>12237.61</v>
      </c>
      <c r="S123" s="47">
        <f t="shared" si="103"/>
        <v>12237.61</v>
      </c>
      <c r="T123" s="47">
        <f t="shared" si="103"/>
        <v>17138.514999999999</v>
      </c>
      <c r="U123" s="47">
        <f t="shared" si="103"/>
        <v>14501.333999999999</v>
      </c>
      <c r="V123" s="47">
        <f t="shared" si="103"/>
        <v>0</v>
      </c>
      <c r="W123" s="47">
        <f t="shared" si="103"/>
        <v>20120.129999999997</v>
      </c>
      <c r="X123" s="47">
        <f t="shared" si="103"/>
        <v>31</v>
      </c>
      <c r="Y123" s="47">
        <f t="shared" si="103"/>
        <v>5031</v>
      </c>
      <c r="Z123" s="47">
        <f t="shared" si="103"/>
        <v>29272.482</v>
      </c>
      <c r="AA123" s="47">
        <f t="shared" si="103"/>
        <v>1971.25</v>
      </c>
      <c r="AB123" s="47">
        <f t="shared" si="103"/>
        <v>27270.232</v>
      </c>
      <c r="AC123" s="47">
        <f t="shared" si="103"/>
        <v>0</v>
      </c>
      <c r="AD123" s="47">
        <f t="shared" si="103"/>
        <v>31</v>
      </c>
      <c r="AE123" s="47">
        <f t="shared" si="103"/>
        <v>74499.888000000006</v>
      </c>
      <c r="AF123" s="47">
        <f t="shared" si="103"/>
        <v>0</v>
      </c>
      <c r="AG123" s="47">
        <f t="shared" si="103"/>
        <v>0</v>
      </c>
      <c r="AH123" s="47">
        <f t="shared" si="103"/>
        <v>74499.888000000006</v>
      </c>
      <c r="AI123" s="47">
        <f t="shared" si="103"/>
        <v>0</v>
      </c>
      <c r="AJ123" s="47">
        <f t="shared" si="103"/>
        <v>1968.92</v>
      </c>
      <c r="AK123" s="47">
        <f t="shared" si="103"/>
        <v>1968.92</v>
      </c>
      <c r="AL123" s="47">
        <f t="shared" si="103"/>
        <v>193.23</v>
      </c>
      <c r="AM123" s="47">
        <f t="shared" si="103"/>
        <v>0</v>
      </c>
      <c r="AN123" s="47">
        <f t="shared" si="103"/>
        <v>0</v>
      </c>
      <c r="AO123" s="608"/>
      <c r="AP123" s="648"/>
    </row>
    <row r="124" spans="1:42" s="390" customFormat="1" ht="45.75" customHeight="1">
      <c r="A124" s="951"/>
      <c r="B124" s="952"/>
      <c r="C124" s="952"/>
      <c r="D124" s="952"/>
      <c r="E124" s="952"/>
      <c r="F124" s="952"/>
      <c r="G124" s="952"/>
      <c r="H124" s="953"/>
      <c r="I124" s="15" t="s">
        <v>20</v>
      </c>
      <c r="J124" s="73">
        <f t="shared" si="103"/>
        <v>13076.579999999998</v>
      </c>
      <c r="K124" s="73">
        <f t="shared" si="103"/>
        <v>0</v>
      </c>
      <c r="L124" s="16">
        <f>L128+L161+L185+L193</f>
        <v>353562.91999999993</v>
      </c>
      <c r="M124" s="22">
        <f t="shared" ref="M124:AD125" si="104">M128+M161+M185+M193</f>
        <v>36205.620000000003</v>
      </c>
      <c r="N124" s="22">
        <f t="shared" si="104"/>
        <v>88280.380000000019</v>
      </c>
      <c r="O124" s="16">
        <f t="shared" si="104"/>
        <v>53996.09</v>
      </c>
      <c r="P124" s="47">
        <f t="shared" si="104"/>
        <v>88280.380000000019</v>
      </c>
      <c r="Q124" s="47">
        <f t="shared" si="104"/>
        <v>14302.993</v>
      </c>
      <c r="R124" s="22">
        <f t="shared" si="104"/>
        <v>3060.4500000000003</v>
      </c>
      <c r="S124" s="22">
        <f t="shared" si="104"/>
        <v>3060.4500000000003</v>
      </c>
      <c r="T124" s="22">
        <f t="shared" si="104"/>
        <v>5791.1220000000003</v>
      </c>
      <c r="U124" s="22">
        <f t="shared" si="104"/>
        <v>5791.1220000000003</v>
      </c>
      <c r="V124" s="22">
        <f t="shared" si="104"/>
        <v>4419.8019999999997</v>
      </c>
      <c r="W124" s="22">
        <f t="shared" si="104"/>
        <v>4419.8019999999997</v>
      </c>
      <c r="X124" s="22">
        <f t="shared" si="104"/>
        <v>1000</v>
      </c>
      <c r="Y124" s="22">
        <f t="shared" si="104"/>
        <v>1031.6190000000001</v>
      </c>
      <c r="Z124" s="22">
        <f t="shared" si="104"/>
        <v>10601.187999999998</v>
      </c>
      <c r="AA124" s="22">
        <f t="shared" si="104"/>
        <v>1975.77</v>
      </c>
      <c r="AB124" s="22">
        <f t="shared" si="104"/>
        <v>5358.8769999999995</v>
      </c>
      <c r="AC124" s="22">
        <f t="shared" si="104"/>
        <v>1504.922</v>
      </c>
      <c r="AD124" s="22">
        <f t="shared" si="104"/>
        <v>1761.6189999999999</v>
      </c>
      <c r="AE124" s="22">
        <f t="shared" si="103"/>
        <v>26166.241999999998</v>
      </c>
      <c r="AF124" s="22">
        <f t="shared" si="103"/>
        <v>0</v>
      </c>
      <c r="AG124" s="22">
        <f t="shared" si="103"/>
        <v>26166.241999999998</v>
      </c>
      <c r="AH124" s="22">
        <f t="shared" si="103"/>
        <v>0</v>
      </c>
      <c r="AI124" s="22">
        <f t="shared" si="103"/>
        <v>0</v>
      </c>
      <c r="AJ124" s="22">
        <f t="shared" si="103"/>
        <v>47568.161000000007</v>
      </c>
      <c r="AK124" s="22">
        <f t="shared" si="103"/>
        <v>47568.161000000007</v>
      </c>
      <c r="AL124" s="22">
        <f t="shared" si="103"/>
        <v>38.94</v>
      </c>
      <c r="AM124" s="22">
        <f t="shared" si="103"/>
        <v>0</v>
      </c>
      <c r="AN124" s="22">
        <f t="shared" si="103"/>
        <v>0</v>
      </c>
      <c r="AO124" s="609"/>
      <c r="AP124" s="648"/>
    </row>
    <row r="125" spans="1:42" s="390" customFormat="1" ht="28.5" customHeight="1">
      <c r="A125" s="951"/>
      <c r="B125" s="952"/>
      <c r="C125" s="952"/>
      <c r="D125" s="952"/>
      <c r="E125" s="952"/>
      <c r="F125" s="952"/>
      <c r="G125" s="952"/>
      <c r="H125" s="953"/>
      <c r="I125" s="15" t="s">
        <v>10</v>
      </c>
      <c r="J125" s="73">
        <f t="shared" si="103"/>
        <v>0</v>
      </c>
      <c r="K125" s="73">
        <f t="shared" si="103"/>
        <v>0</v>
      </c>
      <c r="L125" s="16">
        <f t="shared" ref="L125:M125" si="105">L129+L162+L186+L194</f>
        <v>495533.09</v>
      </c>
      <c r="M125" s="22">
        <f t="shared" si="105"/>
        <v>492377.74</v>
      </c>
      <c r="N125" s="22">
        <f>N129+N162+N186+N194</f>
        <v>493227.64</v>
      </c>
      <c r="O125" s="22">
        <f t="shared" si="104"/>
        <v>297742.64</v>
      </c>
      <c r="P125" s="22">
        <f>P129+P162+P186+P194</f>
        <v>493227.64</v>
      </c>
      <c r="Q125" s="22">
        <f t="shared" ref="Q125:AN126" si="106">Q129+Q162+Q186</f>
        <v>0</v>
      </c>
      <c r="R125" s="22">
        <f t="shared" si="106"/>
        <v>0</v>
      </c>
      <c r="S125" s="22">
        <f t="shared" si="106"/>
        <v>0</v>
      </c>
      <c r="T125" s="22">
        <f t="shared" si="106"/>
        <v>0</v>
      </c>
      <c r="U125" s="22">
        <f t="shared" si="106"/>
        <v>0</v>
      </c>
      <c r="V125" s="22">
        <f t="shared" si="106"/>
        <v>0</v>
      </c>
      <c r="W125" s="22">
        <f t="shared" si="106"/>
        <v>0</v>
      </c>
      <c r="X125" s="22">
        <f t="shared" si="106"/>
        <v>0</v>
      </c>
      <c r="Y125" s="22">
        <f t="shared" si="106"/>
        <v>0</v>
      </c>
      <c r="Z125" s="22">
        <f t="shared" si="106"/>
        <v>0</v>
      </c>
      <c r="AA125" s="22">
        <f t="shared" si="106"/>
        <v>0</v>
      </c>
      <c r="AB125" s="22">
        <f t="shared" si="106"/>
        <v>0</v>
      </c>
      <c r="AC125" s="22">
        <f t="shared" si="106"/>
        <v>0</v>
      </c>
      <c r="AD125" s="22">
        <f t="shared" si="106"/>
        <v>0</v>
      </c>
      <c r="AE125" s="22">
        <f t="shared" si="106"/>
        <v>0</v>
      </c>
      <c r="AF125" s="22">
        <f t="shared" si="103"/>
        <v>0</v>
      </c>
      <c r="AG125" s="22">
        <f t="shared" si="103"/>
        <v>0</v>
      </c>
      <c r="AH125" s="22">
        <f t="shared" si="103"/>
        <v>0</v>
      </c>
      <c r="AI125" s="22">
        <f t="shared" si="103"/>
        <v>0</v>
      </c>
      <c r="AJ125" s="22">
        <f t="shared" si="106"/>
        <v>0</v>
      </c>
      <c r="AK125" s="22">
        <f t="shared" si="106"/>
        <v>0</v>
      </c>
      <c r="AL125" s="22">
        <f t="shared" si="106"/>
        <v>0</v>
      </c>
      <c r="AM125" s="22">
        <f t="shared" si="106"/>
        <v>0</v>
      </c>
      <c r="AN125" s="22">
        <f t="shared" si="106"/>
        <v>0</v>
      </c>
      <c r="AO125" s="609"/>
      <c r="AP125" s="648"/>
    </row>
    <row r="126" spans="1:42" s="390" customFormat="1" ht="25.5" customHeight="1">
      <c r="A126" s="954"/>
      <c r="B126" s="955"/>
      <c r="C126" s="955"/>
      <c r="D126" s="955"/>
      <c r="E126" s="955"/>
      <c r="F126" s="955"/>
      <c r="G126" s="955"/>
      <c r="H126" s="956"/>
      <c r="I126" s="15" t="s">
        <v>9</v>
      </c>
      <c r="J126" s="73">
        <f t="shared" si="103"/>
        <v>0</v>
      </c>
      <c r="K126" s="73">
        <f t="shared" si="103"/>
        <v>0</v>
      </c>
      <c r="L126" s="16">
        <v>0</v>
      </c>
      <c r="M126" s="16">
        <f>M130+M163+M187</f>
        <v>0</v>
      </c>
      <c r="N126" s="22">
        <f>N130+N163+N187</f>
        <v>0</v>
      </c>
      <c r="O126" s="16">
        <f>O130+O163+O187</f>
        <v>1</v>
      </c>
      <c r="P126" s="47">
        <f>P130+P163+P187</f>
        <v>0</v>
      </c>
      <c r="Q126" s="22">
        <f t="shared" si="106"/>
        <v>0</v>
      </c>
      <c r="R126" s="22">
        <f t="shared" si="106"/>
        <v>0</v>
      </c>
      <c r="S126" s="22">
        <f t="shared" si="106"/>
        <v>0</v>
      </c>
      <c r="T126" s="22">
        <f t="shared" si="106"/>
        <v>0</v>
      </c>
      <c r="U126" s="22">
        <f t="shared" si="106"/>
        <v>0</v>
      </c>
      <c r="V126" s="22">
        <f t="shared" si="106"/>
        <v>0</v>
      </c>
      <c r="W126" s="22">
        <f t="shared" si="106"/>
        <v>0</v>
      </c>
      <c r="X126" s="22">
        <f t="shared" si="106"/>
        <v>0</v>
      </c>
      <c r="Y126" s="22">
        <f t="shared" si="106"/>
        <v>0</v>
      </c>
      <c r="Z126" s="22">
        <f t="shared" si="106"/>
        <v>0</v>
      </c>
      <c r="AA126" s="22">
        <f t="shared" si="106"/>
        <v>0</v>
      </c>
      <c r="AB126" s="22">
        <f t="shared" si="106"/>
        <v>0</v>
      </c>
      <c r="AC126" s="22">
        <f t="shared" si="106"/>
        <v>0</v>
      </c>
      <c r="AD126" s="22">
        <f t="shared" si="106"/>
        <v>0</v>
      </c>
      <c r="AE126" s="22">
        <f t="shared" si="106"/>
        <v>0</v>
      </c>
      <c r="AF126" s="22">
        <f t="shared" si="103"/>
        <v>0</v>
      </c>
      <c r="AG126" s="22">
        <f t="shared" si="103"/>
        <v>0</v>
      </c>
      <c r="AH126" s="22">
        <f t="shared" si="103"/>
        <v>0</v>
      </c>
      <c r="AI126" s="22">
        <f t="shared" si="103"/>
        <v>0</v>
      </c>
      <c r="AJ126" s="22">
        <f t="shared" si="106"/>
        <v>0</v>
      </c>
      <c r="AK126" s="22">
        <f t="shared" si="106"/>
        <v>0</v>
      </c>
      <c r="AL126" s="22">
        <f t="shared" si="106"/>
        <v>0</v>
      </c>
      <c r="AM126" s="22">
        <f t="shared" si="106"/>
        <v>0</v>
      </c>
      <c r="AN126" s="22">
        <f t="shared" si="106"/>
        <v>0</v>
      </c>
      <c r="AO126" s="609"/>
      <c r="AP126" s="648"/>
    </row>
    <row r="127" spans="1:42" ht="51.75" customHeight="1">
      <c r="A127" s="986" t="s">
        <v>27</v>
      </c>
      <c r="B127" s="921" t="s">
        <v>219</v>
      </c>
      <c r="C127" s="922"/>
      <c r="D127" s="922"/>
      <c r="E127" s="922"/>
      <c r="F127" s="922"/>
      <c r="G127" s="922"/>
      <c r="H127" s="923"/>
      <c r="I127" s="15" t="s">
        <v>19</v>
      </c>
      <c r="J127" s="16">
        <f>J131+J133+J136</f>
        <v>152888.53999999998</v>
      </c>
      <c r="K127" s="16">
        <f>K131+K133+K136</f>
        <v>25354.1</v>
      </c>
      <c r="L127" s="16">
        <f>L131+L133+L136+L145+L149+L152</f>
        <v>193023.18</v>
      </c>
      <c r="M127" s="16">
        <f t="shared" ref="M127" si="107">M131+M133+M136+M145+M149+M152</f>
        <v>42443.12</v>
      </c>
      <c r="N127" s="22">
        <f>N131+N133+N136+N145+N149+N152</f>
        <v>35331.160000000003</v>
      </c>
      <c r="O127" s="16">
        <f t="shared" ref="O127" si="108">O131+O133+O136+O145+O149+O151</f>
        <v>39892.15</v>
      </c>
      <c r="P127" s="22">
        <f>P131+P133+P136+P145+P149+P152</f>
        <v>35331.160000000003</v>
      </c>
      <c r="Q127" s="22">
        <f>Q131+Q133+Q136+Q145+Q149+Q151</f>
        <v>51890.073999999993</v>
      </c>
      <c r="R127" s="22">
        <f t="shared" ref="R127:Z127" si="109">R131+R133+R136+R145+R149+R151</f>
        <v>12237.61</v>
      </c>
      <c r="S127" s="22">
        <f t="shared" si="109"/>
        <v>12237.61</v>
      </c>
      <c r="T127" s="22">
        <f t="shared" si="109"/>
        <v>17138.514999999999</v>
      </c>
      <c r="U127" s="22">
        <f t="shared" si="109"/>
        <v>14501.333999999999</v>
      </c>
      <c r="V127" s="22">
        <f t="shared" si="109"/>
        <v>0</v>
      </c>
      <c r="W127" s="22">
        <f t="shared" si="109"/>
        <v>20120.129999999997</v>
      </c>
      <c r="X127" s="22">
        <f t="shared" si="109"/>
        <v>31</v>
      </c>
      <c r="Y127" s="22">
        <f t="shared" si="109"/>
        <v>5031</v>
      </c>
      <c r="Z127" s="22">
        <f t="shared" si="109"/>
        <v>29272.482</v>
      </c>
      <c r="AA127" s="22">
        <f>AA131+AA133+AA136+AA145+AA149+AA151</f>
        <v>1971.25</v>
      </c>
      <c r="AB127" s="22">
        <f>AB131+AB133+AB136+AB145+AB149+AB151</f>
        <v>27270.232</v>
      </c>
      <c r="AC127" s="22">
        <f t="shared" ref="AC127:AD127" si="110">AC131+AC133+AC136+AC145+AC149+AC151</f>
        <v>0</v>
      </c>
      <c r="AD127" s="22">
        <f t="shared" si="110"/>
        <v>31</v>
      </c>
      <c r="AE127" s="22">
        <f t="shared" ref="AE127:AN127" si="111">AE131+AE133+AE136</f>
        <v>74499.888000000006</v>
      </c>
      <c r="AF127" s="22">
        <f t="shared" si="111"/>
        <v>0</v>
      </c>
      <c r="AG127" s="22">
        <f t="shared" si="111"/>
        <v>0</v>
      </c>
      <c r="AH127" s="22">
        <f t="shared" si="111"/>
        <v>74499.888000000006</v>
      </c>
      <c r="AI127" s="22">
        <f t="shared" si="111"/>
        <v>0</v>
      </c>
      <c r="AJ127" s="22">
        <f t="shared" si="111"/>
        <v>1968.92</v>
      </c>
      <c r="AK127" s="22">
        <f t="shared" si="111"/>
        <v>1968.92</v>
      </c>
      <c r="AL127" s="22">
        <f t="shared" si="111"/>
        <v>193.23</v>
      </c>
      <c r="AM127" s="22">
        <f t="shared" si="111"/>
        <v>0</v>
      </c>
      <c r="AN127" s="22">
        <f t="shared" si="111"/>
        <v>0</v>
      </c>
      <c r="AO127" s="609"/>
      <c r="AP127" s="648"/>
    </row>
    <row r="128" spans="1:42" ht="47.25" customHeight="1">
      <c r="A128" s="987"/>
      <c r="B128" s="924"/>
      <c r="C128" s="925"/>
      <c r="D128" s="925"/>
      <c r="E128" s="925"/>
      <c r="F128" s="925"/>
      <c r="G128" s="925"/>
      <c r="H128" s="926"/>
      <c r="I128" s="15" t="s">
        <v>20</v>
      </c>
      <c r="J128" s="16">
        <v>0</v>
      </c>
      <c r="K128" s="16">
        <v>0</v>
      </c>
      <c r="L128" s="16">
        <f t="shared" si="94"/>
        <v>0</v>
      </c>
      <c r="M128" s="16">
        <v>0</v>
      </c>
      <c r="N128" s="22">
        <v>0</v>
      </c>
      <c r="O128" s="16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0</v>
      </c>
      <c r="Y128" s="22">
        <v>0</v>
      </c>
      <c r="Z128" s="22">
        <v>0</v>
      </c>
      <c r="AA128" s="22">
        <v>0</v>
      </c>
      <c r="AB128" s="22">
        <v>0</v>
      </c>
      <c r="AC128" s="22">
        <v>0</v>
      </c>
      <c r="AD128" s="22">
        <v>0</v>
      </c>
      <c r="AE128" s="22">
        <v>0</v>
      </c>
      <c r="AF128" s="22">
        <v>0</v>
      </c>
      <c r="AG128" s="22">
        <v>0</v>
      </c>
      <c r="AH128" s="22">
        <v>0</v>
      </c>
      <c r="AI128" s="22">
        <v>0</v>
      </c>
      <c r="AJ128" s="22">
        <v>0</v>
      </c>
      <c r="AK128" s="22">
        <v>0</v>
      </c>
      <c r="AL128" s="22">
        <v>0</v>
      </c>
      <c r="AM128" s="22">
        <v>0</v>
      </c>
      <c r="AN128" s="22">
        <v>0</v>
      </c>
      <c r="AO128" s="609"/>
      <c r="AP128" s="648"/>
    </row>
    <row r="129" spans="1:42" ht="28.5" customHeight="1">
      <c r="A129" s="987"/>
      <c r="B129" s="924"/>
      <c r="C129" s="925"/>
      <c r="D129" s="925"/>
      <c r="E129" s="925"/>
      <c r="F129" s="925"/>
      <c r="G129" s="925"/>
      <c r="H129" s="926"/>
      <c r="I129" s="15" t="s">
        <v>10</v>
      </c>
      <c r="J129" s="16">
        <v>0</v>
      </c>
      <c r="K129" s="16">
        <v>0</v>
      </c>
      <c r="L129" s="16">
        <f>L158</f>
        <v>195485</v>
      </c>
      <c r="M129" s="16">
        <f t="shared" ref="M129:N129" si="112">M158</f>
        <v>195485</v>
      </c>
      <c r="N129" s="22">
        <f t="shared" si="112"/>
        <v>195485</v>
      </c>
      <c r="O129" s="16">
        <v>0</v>
      </c>
      <c r="P129" s="22">
        <f>P158</f>
        <v>195485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  <c r="V129" s="22">
        <v>0</v>
      </c>
      <c r="W129" s="22">
        <v>0</v>
      </c>
      <c r="X129" s="22">
        <v>0</v>
      </c>
      <c r="Y129" s="22">
        <v>0</v>
      </c>
      <c r="Z129" s="22">
        <v>0</v>
      </c>
      <c r="AA129" s="22">
        <v>0</v>
      </c>
      <c r="AB129" s="22">
        <v>0</v>
      </c>
      <c r="AC129" s="22">
        <v>0</v>
      </c>
      <c r="AD129" s="22">
        <v>0</v>
      </c>
      <c r="AE129" s="22">
        <v>0</v>
      </c>
      <c r="AF129" s="22">
        <v>0</v>
      </c>
      <c r="AG129" s="22">
        <v>0</v>
      </c>
      <c r="AH129" s="22">
        <v>0</v>
      </c>
      <c r="AI129" s="22">
        <v>0</v>
      </c>
      <c r="AJ129" s="22">
        <v>0</v>
      </c>
      <c r="AK129" s="22">
        <v>0</v>
      </c>
      <c r="AL129" s="22">
        <v>0</v>
      </c>
      <c r="AM129" s="22">
        <v>0</v>
      </c>
      <c r="AN129" s="22">
        <v>0</v>
      </c>
      <c r="AO129" s="609"/>
      <c r="AP129" s="648"/>
    </row>
    <row r="130" spans="1:42" ht="25.5" customHeight="1">
      <c r="A130" s="988"/>
      <c r="B130" s="927"/>
      <c r="C130" s="928"/>
      <c r="D130" s="928"/>
      <c r="E130" s="928"/>
      <c r="F130" s="928"/>
      <c r="G130" s="928"/>
      <c r="H130" s="929"/>
      <c r="I130" s="15" t="s">
        <v>9</v>
      </c>
      <c r="J130" s="16">
        <v>0</v>
      </c>
      <c r="K130" s="16">
        <v>0</v>
      </c>
      <c r="L130" s="16">
        <f t="shared" si="94"/>
        <v>0</v>
      </c>
      <c r="M130" s="16">
        <v>0</v>
      </c>
      <c r="N130" s="22">
        <v>0</v>
      </c>
      <c r="O130" s="16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0</v>
      </c>
      <c r="X130" s="22">
        <v>0</v>
      </c>
      <c r="Y130" s="22">
        <v>0</v>
      </c>
      <c r="Z130" s="22">
        <v>0</v>
      </c>
      <c r="AA130" s="22">
        <v>0</v>
      </c>
      <c r="AB130" s="22">
        <v>0</v>
      </c>
      <c r="AC130" s="22">
        <v>0</v>
      </c>
      <c r="AD130" s="22">
        <v>0</v>
      </c>
      <c r="AE130" s="22">
        <v>0</v>
      </c>
      <c r="AF130" s="22">
        <v>0</v>
      </c>
      <c r="AG130" s="22">
        <v>0</v>
      </c>
      <c r="AH130" s="22">
        <v>0</v>
      </c>
      <c r="AI130" s="22">
        <v>0</v>
      </c>
      <c r="AJ130" s="22">
        <v>0</v>
      </c>
      <c r="AK130" s="22">
        <v>0</v>
      </c>
      <c r="AL130" s="22">
        <v>0</v>
      </c>
      <c r="AM130" s="22">
        <v>0</v>
      </c>
      <c r="AN130" s="22">
        <v>0</v>
      </c>
      <c r="AO130" s="609"/>
      <c r="AP130" s="648"/>
    </row>
    <row r="131" spans="1:42" ht="52.5" customHeight="1">
      <c r="A131" s="828" t="s">
        <v>34</v>
      </c>
      <c r="B131" s="80" t="s">
        <v>38</v>
      </c>
      <c r="C131" s="935"/>
      <c r="D131" s="935"/>
      <c r="E131" s="935"/>
      <c r="F131" s="898">
        <v>220000</v>
      </c>
      <c r="G131" s="932">
        <v>2018</v>
      </c>
      <c r="H131" s="932">
        <v>2021</v>
      </c>
      <c r="I131" s="884" t="s">
        <v>19</v>
      </c>
      <c r="J131" s="882">
        <v>66036</v>
      </c>
      <c r="K131" s="882">
        <v>16509</v>
      </c>
      <c r="L131" s="85">
        <f>L132</f>
        <v>67541.3</v>
      </c>
      <c r="M131" s="85">
        <f>M132</f>
        <v>16509</v>
      </c>
      <c r="N131" s="85">
        <f t="shared" ref="N131:O131" si="113">N132</f>
        <v>800</v>
      </c>
      <c r="O131" s="85">
        <f t="shared" si="113"/>
        <v>6409</v>
      </c>
      <c r="P131" s="85">
        <f t="shared" ref="P131:P137" si="114">N131</f>
        <v>800</v>
      </c>
      <c r="Q131" s="85">
        <f t="shared" ref="Q131:AN131" si="115">Q132</f>
        <v>0</v>
      </c>
      <c r="R131" s="85">
        <f t="shared" si="115"/>
        <v>0</v>
      </c>
      <c r="S131" s="85">
        <f t="shared" si="115"/>
        <v>0</v>
      </c>
      <c r="T131" s="85">
        <f t="shared" si="115"/>
        <v>0</v>
      </c>
      <c r="U131" s="85">
        <f t="shared" si="115"/>
        <v>0</v>
      </c>
      <c r="V131" s="85">
        <f t="shared" si="115"/>
        <v>0</v>
      </c>
      <c r="W131" s="85">
        <f t="shared" si="115"/>
        <v>0</v>
      </c>
      <c r="X131" s="85">
        <f t="shared" si="115"/>
        <v>0</v>
      </c>
      <c r="Y131" s="85">
        <f t="shared" si="115"/>
        <v>0</v>
      </c>
      <c r="Z131" s="85">
        <f t="shared" si="115"/>
        <v>0</v>
      </c>
      <c r="AA131" s="85">
        <f t="shared" si="115"/>
        <v>0</v>
      </c>
      <c r="AB131" s="85">
        <f t="shared" si="115"/>
        <v>0</v>
      </c>
      <c r="AC131" s="85">
        <f t="shared" si="115"/>
        <v>0</v>
      </c>
      <c r="AD131" s="85">
        <f t="shared" si="115"/>
        <v>0</v>
      </c>
      <c r="AE131" s="85">
        <f t="shared" si="115"/>
        <v>0</v>
      </c>
      <c r="AF131" s="85">
        <f t="shared" si="115"/>
        <v>0</v>
      </c>
      <c r="AG131" s="85">
        <f t="shared" si="115"/>
        <v>0</v>
      </c>
      <c r="AH131" s="85">
        <f t="shared" si="115"/>
        <v>0</v>
      </c>
      <c r="AI131" s="85">
        <f t="shared" si="115"/>
        <v>0</v>
      </c>
      <c r="AJ131" s="82">
        <f>P131-Q131</f>
        <v>800</v>
      </c>
      <c r="AK131" s="82">
        <f>AJ131</f>
        <v>800</v>
      </c>
      <c r="AL131" s="79">
        <f>ROUND((Q131*100%/P131*100),2)</f>
        <v>0</v>
      </c>
      <c r="AM131" s="85">
        <f t="shared" si="115"/>
        <v>0</v>
      </c>
      <c r="AN131" s="85">
        <f t="shared" si="115"/>
        <v>0</v>
      </c>
      <c r="AO131" s="628" t="s">
        <v>250</v>
      </c>
      <c r="AP131" s="1060"/>
    </row>
    <row r="132" spans="1:42" ht="18" customHeight="1">
      <c r="A132" s="887"/>
      <c r="B132" s="516" t="s">
        <v>39</v>
      </c>
      <c r="C132" s="936"/>
      <c r="D132" s="936"/>
      <c r="E132" s="936"/>
      <c r="F132" s="931"/>
      <c r="G132" s="933"/>
      <c r="H132" s="933"/>
      <c r="I132" s="885"/>
      <c r="J132" s="883"/>
      <c r="K132" s="883"/>
      <c r="L132" s="75">
        <v>67541.3</v>
      </c>
      <c r="M132" s="86">
        <v>16509</v>
      </c>
      <c r="N132" s="86">
        <v>800</v>
      </c>
      <c r="O132" s="86">
        <v>6409</v>
      </c>
      <c r="P132" s="86">
        <f t="shared" si="114"/>
        <v>800</v>
      </c>
      <c r="Q132" s="86">
        <v>0</v>
      </c>
      <c r="R132" s="86">
        <v>0</v>
      </c>
      <c r="S132" s="86">
        <v>0</v>
      </c>
      <c r="T132" s="86">
        <v>0</v>
      </c>
      <c r="U132" s="86">
        <v>0</v>
      </c>
      <c r="V132" s="86">
        <v>0</v>
      </c>
      <c r="W132" s="86">
        <v>0</v>
      </c>
      <c r="X132" s="86">
        <v>0</v>
      </c>
      <c r="Y132" s="86">
        <v>0</v>
      </c>
      <c r="Z132" s="86">
        <v>0</v>
      </c>
      <c r="AA132" s="86">
        <v>0</v>
      </c>
      <c r="AB132" s="86">
        <v>0</v>
      </c>
      <c r="AC132" s="86">
        <v>0</v>
      </c>
      <c r="AD132" s="86">
        <v>0</v>
      </c>
      <c r="AE132" s="86">
        <v>0</v>
      </c>
      <c r="AF132" s="86">
        <v>0</v>
      </c>
      <c r="AG132" s="86">
        <v>0</v>
      </c>
      <c r="AH132" s="86">
        <v>0</v>
      </c>
      <c r="AI132" s="86">
        <v>0</v>
      </c>
      <c r="AJ132" s="86">
        <v>0</v>
      </c>
      <c r="AK132" s="86">
        <v>0</v>
      </c>
      <c r="AL132" s="86">
        <v>0</v>
      </c>
      <c r="AM132" s="86">
        <v>0</v>
      </c>
      <c r="AN132" s="86">
        <v>0</v>
      </c>
      <c r="AO132" s="629"/>
      <c r="AP132" s="1068"/>
    </row>
    <row r="133" spans="1:42" ht="27.75" customHeight="1">
      <c r="A133" s="828" t="s">
        <v>42</v>
      </c>
      <c r="B133" s="80" t="s">
        <v>210</v>
      </c>
      <c r="C133" s="48"/>
      <c r="D133" s="48"/>
      <c r="E133" s="48"/>
      <c r="F133" s="898">
        <v>2400</v>
      </c>
      <c r="G133" s="48"/>
      <c r="H133" s="48"/>
      <c r="I133" s="837" t="s">
        <v>19</v>
      </c>
      <c r="J133" s="24">
        <v>12351.86</v>
      </c>
      <c r="K133" s="24">
        <f>K134+K135</f>
        <v>8845.1</v>
      </c>
      <c r="L133" s="82">
        <f>L134+L135</f>
        <v>25182.28</v>
      </c>
      <c r="M133" s="82">
        <f>M135+M134</f>
        <v>1753.38</v>
      </c>
      <c r="N133" s="82">
        <f t="shared" ref="N133:O133" si="116">N135+N134</f>
        <v>1168.92</v>
      </c>
      <c r="O133" s="82">
        <f t="shared" si="116"/>
        <v>997.45</v>
      </c>
      <c r="P133" s="82">
        <f t="shared" si="114"/>
        <v>1168.92</v>
      </c>
      <c r="Q133" s="82">
        <f t="shared" ref="Q133:AN133" si="117">Q135+Q134</f>
        <v>0</v>
      </c>
      <c r="R133" s="82">
        <f t="shared" si="117"/>
        <v>0</v>
      </c>
      <c r="S133" s="82">
        <f t="shared" si="117"/>
        <v>0</v>
      </c>
      <c r="T133" s="82">
        <f t="shared" si="117"/>
        <v>0</v>
      </c>
      <c r="U133" s="82">
        <f t="shared" si="117"/>
        <v>0</v>
      </c>
      <c r="V133" s="82">
        <f t="shared" si="117"/>
        <v>0</v>
      </c>
      <c r="W133" s="82">
        <f t="shared" si="117"/>
        <v>0</v>
      </c>
      <c r="X133" s="82">
        <f t="shared" si="117"/>
        <v>0</v>
      </c>
      <c r="Y133" s="82">
        <f t="shared" si="117"/>
        <v>0</v>
      </c>
      <c r="Z133" s="82">
        <f t="shared" si="117"/>
        <v>0</v>
      </c>
      <c r="AA133" s="82">
        <f t="shared" si="117"/>
        <v>0</v>
      </c>
      <c r="AB133" s="82">
        <f t="shared" si="117"/>
        <v>0</v>
      </c>
      <c r="AC133" s="82">
        <f t="shared" si="117"/>
        <v>0</v>
      </c>
      <c r="AD133" s="82">
        <f t="shared" si="117"/>
        <v>0</v>
      </c>
      <c r="AE133" s="82">
        <f t="shared" si="117"/>
        <v>0</v>
      </c>
      <c r="AF133" s="82">
        <f t="shared" si="117"/>
        <v>0</v>
      </c>
      <c r="AG133" s="82">
        <f t="shared" si="117"/>
        <v>0</v>
      </c>
      <c r="AH133" s="82">
        <f t="shared" si="117"/>
        <v>0</v>
      </c>
      <c r="AI133" s="82">
        <f t="shared" si="117"/>
        <v>0</v>
      </c>
      <c r="AJ133" s="82">
        <f>P133-Q133</f>
        <v>1168.92</v>
      </c>
      <c r="AK133" s="82">
        <f>AJ133</f>
        <v>1168.92</v>
      </c>
      <c r="AL133" s="79">
        <f>ROUND((Q133*100%/P133*100),2)</f>
        <v>0</v>
      </c>
      <c r="AM133" s="82">
        <f t="shared" si="117"/>
        <v>0</v>
      </c>
      <c r="AN133" s="82">
        <f t="shared" si="117"/>
        <v>0</v>
      </c>
      <c r="AO133" s="630" t="s">
        <v>247</v>
      </c>
      <c r="AP133" s="1060"/>
    </row>
    <row r="134" spans="1:42" ht="16.5" customHeight="1">
      <c r="A134" s="886"/>
      <c r="B134" s="1" t="s">
        <v>15</v>
      </c>
      <c r="C134" s="48"/>
      <c r="D134" s="48"/>
      <c r="E134" s="48"/>
      <c r="F134" s="899"/>
      <c r="G134" s="538">
        <v>2018</v>
      </c>
      <c r="H134" s="538">
        <v>2018</v>
      </c>
      <c r="I134" s="838"/>
      <c r="J134" s="27">
        <v>1815.76</v>
      </c>
      <c r="K134" s="27">
        <v>1815.76</v>
      </c>
      <c r="L134" s="22">
        <v>2458.14</v>
      </c>
      <c r="M134" s="22">
        <v>0</v>
      </c>
      <c r="N134" s="22">
        <v>412.99</v>
      </c>
      <c r="O134" s="22">
        <v>0</v>
      </c>
      <c r="P134" s="22">
        <f t="shared" si="114"/>
        <v>412.99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  <c r="V134" s="22">
        <v>0</v>
      </c>
      <c r="W134" s="22">
        <v>0</v>
      </c>
      <c r="X134" s="22">
        <v>0</v>
      </c>
      <c r="Y134" s="22">
        <v>0</v>
      </c>
      <c r="Z134" s="22">
        <v>0</v>
      </c>
      <c r="AA134" s="22">
        <v>0</v>
      </c>
      <c r="AB134" s="22">
        <v>0</v>
      </c>
      <c r="AC134" s="22">
        <v>0</v>
      </c>
      <c r="AD134" s="22">
        <v>0</v>
      </c>
      <c r="AE134" s="22">
        <v>0</v>
      </c>
      <c r="AF134" s="22">
        <v>0</v>
      </c>
      <c r="AG134" s="22">
        <v>0</v>
      </c>
      <c r="AH134" s="22">
        <v>0</v>
      </c>
      <c r="AI134" s="22">
        <v>0</v>
      </c>
      <c r="AJ134" s="22">
        <v>0</v>
      </c>
      <c r="AK134" s="22">
        <v>0</v>
      </c>
      <c r="AL134" s="22">
        <v>0</v>
      </c>
      <c r="AM134" s="22">
        <v>0</v>
      </c>
      <c r="AN134" s="22">
        <v>0</v>
      </c>
      <c r="AO134" s="631"/>
      <c r="AP134" s="1070"/>
    </row>
    <row r="135" spans="1:42" ht="14.25" customHeight="1">
      <c r="A135" s="887"/>
      <c r="B135" s="1" t="s">
        <v>32</v>
      </c>
      <c r="C135" s="48"/>
      <c r="D135" s="48"/>
      <c r="E135" s="48"/>
      <c r="F135" s="900"/>
      <c r="G135" s="538">
        <v>2018</v>
      </c>
      <c r="H135" s="538">
        <v>2021</v>
      </c>
      <c r="I135" s="840"/>
      <c r="J135" s="27">
        <v>10536.1</v>
      </c>
      <c r="K135" s="27">
        <v>7029.34</v>
      </c>
      <c r="L135" s="22">
        <v>22724.14</v>
      </c>
      <c r="M135" s="22">
        <v>1753.38</v>
      </c>
      <c r="N135" s="22">
        <v>755.93</v>
      </c>
      <c r="O135" s="22">
        <v>997.45</v>
      </c>
      <c r="P135" s="22">
        <f t="shared" si="114"/>
        <v>755.93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  <c r="V135" s="22">
        <v>0</v>
      </c>
      <c r="W135" s="22">
        <v>0</v>
      </c>
      <c r="X135" s="22">
        <v>0</v>
      </c>
      <c r="Y135" s="22">
        <v>0</v>
      </c>
      <c r="Z135" s="22">
        <v>0</v>
      </c>
      <c r="AA135" s="22">
        <v>0</v>
      </c>
      <c r="AB135" s="22">
        <v>0</v>
      </c>
      <c r="AC135" s="22">
        <v>0</v>
      </c>
      <c r="AD135" s="22">
        <v>0</v>
      </c>
      <c r="AE135" s="22">
        <v>0</v>
      </c>
      <c r="AF135" s="22">
        <v>0</v>
      </c>
      <c r="AG135" s="22">
        <v>0</v>
      </c>
      <c r="AH135" s="22">
        <v>0</v>
      </c>
      <c r="AI135" s="22">
        <v>0</v>
      </c>
      <c r="AJ135" s="22">
        <v>0</v>
      </c>
      <c r="AK135" s="22">
        <v>0</v>
      </c>
      <c r="AL135" s="22">
        <v>0</v>
      </c>
      <c r="AM135" s="22">
        <v>0</v>
      </c>
      <c r="AN135" s="22">
        <v>0</v>
      </c>
      <c r="AO135" s="609"/>
      <c r="AP135" s="1068"/>
    </row>
    <row r="136" spans="1:42" ht="45.75" customHeight="1">
      <c r="A136" s="832" t="s">
        <v>63</v>
      </c>
      <c r="B136" s="80" t="s">
        <v>66</v>
      </c>
      <c r="C136" s="901"/>
      <c r="D136" s="901"/>
      <c r="E136" s="901"/>
      <c r="F136" s="1010"/>
      <c r="G136" s="930">
        <v>2019</v>
      </c>
      <c r="H136" s="915">
        <v>2021</v>
      </c>
      <c r="I136" s="910" t="s">
        <v>19</v>
      </c>
      <c r="J136" s="911">
        <f>K136+L136</f>
        <v>74500.679999999993</v>
      </c>
      <c r="K136" s="957">
        <v>0</v>
      </c>
      <c r="L136" s="81">
        <f>L137</f>
        <v>74500.679999999993</v>
      </c>
      <c r="M136" s="81">
        <f>M137</f>
        <v>24180.74</v>
      </c>
      <c r="N136" s="85">
        <v>24180.74</v>
      </c>
      <c r="O136" s="85">
        <v>24180.73</v>
      </c>
      <c r="P136" s="85">
        <f t="shared" si="114"/>
        <v>24180.74</v>
      </c>
      <c r="Q136" s="85">
        <f>Q137</f>
        <v>46725.593999999997</v>
      </c>
      <c r="R136" s="85">
        <f t="shared" ref="R136:W136" si="118">R137</f>
        <v>12237.61</v>
      </c>
      <c r="S136" s="85">
        <f t="shared" si="118"/>
        <v>12237.61</v>
      </c>
      <c r="T136" s="85">
        <f t="shared" si="118"/>
        <v>16005.035</v>
      </c>
      <c r="U136" s="85">
        <f t="shared" si="118"/>
        <v>13367.853999999999</v>
      </c>
      <c r="V136" s="85">
        <f t="shared" si="118"/>
        <v>0</v>
      </c>
      <c r="W136" s="85">
        <f t="shared" si="118"/>
        <v>16120.13</v>
      </c>
      <c r="X136" s="85">
        <f>X137</f>
        <v>0</v>
      </c>
      <c r="Y136" s="85">
        <f>Y137</f>
        <v>5000</v>
      </c>
      <c r="Z136" s="85">
        <f>Z137</f>
        <v>21108</v>
      </c>
      <c r="AA136" s="85">
        <f>AA137</f>
        <v>1971.25</v>
      </c>
      <c r="AB136" s="85">
        <f>AB137</f>
        <v>19136.75</v>
      </c>
      <c r="AC136" s="85">
        <f t="shared" ref="AC136:AN136" si="119">AC137</f>
        <v>0</v>
      </c>
      <c r="AD136" s="85">
        <f t="shared" si="119"/>
        <v>0</v>
      </c>
      <c r="AE136" s="85">
        <f t="shared" si="119"/>
        <v>74499.888000000006</v>
      </c>
      <c r="AF136" s="85">
        <f t="shared" si="119"/>
        <v>0</v>
      </c>
      <c r="AG136" s="85">
        <f t="shared" si="119"/>
        <v>0</v>
      </c>
      <c r="AH136" s="85">
        <f t="shared" si="119"/>
        <v>74499.888000000006</v>
      </c>
      <c r="AI136" s="85">
        <f t="shared" si="119"/>
        <v>0</v>
      </c>
      <c r="AJ136" s="82">
        <v>0</v>
      </c>
      <c r="AK136" s="82">
        <f>AJ136</f>
        <v>0</v>
      </c>
      <c r="AL136" s="79">
        <f>ROUND((Q136*100%/P136*100),2)</f>
        <v>193.23</v>
      </c>
      <c r="AM136" s="85">
        <f t="shared" si="119"/>
        <v>0</v>
      </c>
      <c r="AN136" s="85">
        <f t="shared" si="119"/>
        <v>0</v>
      </c>
      <c r="AO136" s="628" t="s">
        <v>306</v>
      </c>
      <c r="AP136" s="1065" t="s">
        <v>326</v>
      </c>
    </row>
    <row r="137" spans="1:42" ht="18" customHeight="1">
      <c r="A137" s="827"/>
      <c r="B137" s="1" t="s">
        <v>16</v>
      </c>
      <c r="C137" s="901"/>
      <c r="D137" s="901"/>
      <c r="E137" s="901"/>
      <c r="F137" s="1010"/>
      <c r="G137" s="930"/>
      <c r="H137" s="916"/>
      <c r="I137" s="910"/>
      <c r="J137" s="911"/>
      <c r="K137" s="958"/>
      <c r="L137" s="75">
        <v>74500.679999999993</v>
      </c>
      <c r="M137" s="86">
        <v>24180.74</v>
      </c>
      <c r="N137" s="86">
        <v>24180.74</v>
      </c>
      <c r="O137" s="86">
        <v>13819.52</v>
      </c>
      <c r="P137" s="86">
        <f t="shared" si="114"/>
        <v>24180.74</v>
      </c>
      <c r="Q137" s="86">
        <f>SUM(Q138:Q144)</f>
        <v>46725.593999999997</v>
      </c>
      <c r="R137" s="86">
        <f t="shared" ref="R137:W137" si="120">SUM(R138:R144)</f>
        <v>12237.61</v>
      </c>
      <c r="S137" s="86">
        <f t="shared" si="120"/>
        <v>12237.61</v>
      </c>
      <c r="T137" s="86">
        <f t="shared" si="120"/>
        <v>16005.035</v>
      </c>
      <c r="U137" s="86">
        <f t="shared" si="120"/>
        <v>13367.853999999999</v>
      </c>
      <c r="V137" s="86">
        <f t="shared" si="120"/>
        <v>0</v>
      </c>
      <c r="W137" s="86">
        <f t="shared" si="120"/>
        <v>16120.13</v>
      </c>
      <c r="X137" s="86">
        <v>0</v>
      </c>
      <c r="Y137" s="86">
        <f>SUM(Y138:Y144)</f>
        <v>5000</v>
      </c>
      <c r="Z137" s="86">
        <f>SUM(Z138:Z144)</f>
        <v>21108</v>
      </c>
      <c r="AA137" s="86">
        <f>SUM(AA138:AA144)</f>
        <v>1971.25</v>
      </c>
      <c r="AB137" s="86">
        <f>SUM(AB138:AB144)</f>
        <v>19136.75</v>
      </c>
      <c r="AC137" s="86">
        <f t="shared" ref="AC137:AD137" si="121">SUM(AC138:AC144)</f>
        <v>0</v>
      </c>
      <c r="AD137" s="86">
        <f t="shared" si="121"/>
        <v>0</v>
      </c>
      <c r="AE137" s="86">
        <f>SUM(AF137:AH137)</f>
        <v>74499.888000000006</v>
      </c>
      <c r="AF137" s="86">
        <f t="shared" ref="AF137:AG137" si="122">SUM(AF138:AF144)</f>
        <v>0</v>
      </c>
      <c r="AG137" s="86">
        <f t="shared" si="122"/>
        <v>0</v>
      </c>
      <c r="AH137" s="86">
        <v>74499.888000000006</v>
      </c>
      <c r="AI137" s="86">
        <v>0</v>
      </c>
      <c r="AJ137" s="86">
        <f t="shared" ref="AJ137:AN137" si="123">SUM(AJ138:AJ144)</f>
        <v>0</v>
      </c>
      <c r="AK137" s="86">
        <f t="shared" si="123"/>
        <v>0</v>
      </c>
      <c r="AL137" s="86">
        <f t="shared" si="123"/>
        <v>0</v>
      </c>
      <c r="AM137" s="86">
        <f t="shared" si="123"/>
        <v>0</v>
      </c>
      <c r="AN137" s="86">
        <f t="shared" si="123"/>
        <v>0</v>
      </c>
      <c r="AO137" s="629"/>
      <c r="AP137" s="1066"/>
    </row>
    <row r="138" spans="1:42" s="100" customFormat="1" ht="18" hidden="1" customHeight="1">
      <c r="A138" s="332"/>
      <c r="B138" s="257" t="s">
        <v>154</v>
      </c>
      <c r="C138" s="258"/>
      <c r="D138" s="258"/>
      <c r="E138" s="258"/>
      <c r="F138" s="259"/>
      <c r="G138" s="260"/>
      <c r="H138" s="261"/>
      <c r="I138" s="107"/>
      <c r="J138" s="101"/>
      <c r="K138" s="262"/>
      <c r="L138" s="263"/>
      <c r="M138" s="264"/>
      <c r="N138" s="264"/>
      <c r="O138" s="264"/>
      <c r="P138" s="86"/>
      <c r="Q138" s="264">
        <f>S138+U138</f>
        <v>0</v>
      </c>
      <c r="R138" s="264">
        <f>S138</f>
        <v>0</v>
      </c>
      <c r="S138" s="264">
        <v>0</v>
      </c>
      <c r="T138" s="264">
        <v>0</v>
      </c>
      <c r="U138" s="264">
        <v>0</v>
      </c>
      <c r="V138" s="264"/>
      <c r="W138" s="264"/>
      <c r="X138" s="264"/>
      <c r="Y138" s="264"/>
      <c r="Z138" s="264">
        <v>0</v>
      </c>
      <c r="AA138" s="264"/>
      <c r="AB138" s="264"/>
      <c r="AC138" s="264"/>
      <c r="AD138" s="264"/>
      <c r="AE138" s="264">
        <f>SUM(AF138:AF138)</f>
        <v>0</v>
      </c>
      <c r="AF138" s="264"/>
      <c r="AG138" s="264"/>
      <c r="AH138" s="264"/>
      <c r="AI138" s="264"/>
      <c r="AJ138" s="264"/>
      <c r="AK138" s="264"/>
      <c r="AL138" s="264"/>
      <c r="AM138" s="264"/>
      <c r="AN138" s="264"/>
      <c r="AO138" s="632"/>
      <c r="AP138" s="650"/>
    </row>
    <row r="139" spans="1:42" s="100" customFormat="1" ht="18" hidden="1" customHeight="1">
      <c r="A139" s="332"/>
      <c r="B139" s="257" t="s">
        <v>161</v>
      </c>
      <c r="C139" s="258"/>
      <c r="D139" s="258"/>
      <c r="E139" s="258"/>
      <c r="F139" s="259"/>
      <c r="G139" s="260"/>
      <c r="H139" s="261"/>
      <c r="I139" s="107"/>
      <c r="J139" s="101"/>
      <c r="K139" s="262"/>
      <c r="L139" s="263"/>
      <c r="M139" s="264"/>
      <c r="N139" s="264"/>
      <c r="O139" s="264"/>
      <c r="P139" s="86"/>
      <c r="Q139" s="264">
        <f>S139+U139+W139</f>
        <v>0</v>
      </c>
      <c r="R139" s="264"/>
      <c r="S139" s="264"/>
      <c r="T139" s="264"/>
      <c r="U139" s="264"/>
      <c r="V139" s="264">
        <v>0</v>
      </c>
      <c r="W139" s="264">
        <v>0</v>
      </c>
      <c r="X139" s="264"/>
      <c r="Y139" s="264"/>
      <c r="Z139" s="264">
        <v>0</v>
      </c>
      <c r="AA139" s="264">
        <v>0</v>
      </c>
      <c r="AB139" s="264"/>
      <c r="AC139" s="264"/>
      <c r="AD139" s="264"/>
      <c r="AE139" s="264">
        <f>SUM(AF139:AF139)</f>
        <v>0</v>
      </c>
      <c r="AF139" s="264"/>
      <c r="AG139" s="264"/>
      <c r="AH139" s="264"/>
      <c r="AI139" s="264"/>
      <c r="AJ139" s="264"/>
      <c r="AK139" s="264"/>
      <c r="AL139" s="264"/>
      <c r="AM139" s="264"/>
      <c r="AN139" s="264"/>
      <c r="AO139" s="632"/>
      <c r="AP139" s="650"/>
    </row>
    <row r="140" spans="1:42" s="100" customFormat="1" ht="26.25" hidden="1" customHeight="1">
      <c r="A140" s="332"/>
      <c r="B140" s="257" t="s">
        <v>234</v>
      </c>
      <c r="C140" s="258"/>
      <c r="D140" s="258"/>
      <c r="E140" s="258"/>
      <c r="F140" s="259"/>
      <c r="G140" s="260"/>
      <c r="H140" s="261"/>
      <c r="I140" s="107"/>
      <c r="J140" s="101"/>
      <c r="K140" s="262"/>
      <c r="L140" s="263"/>
      <c r="M140" s="264"/>
      <c r="N140" s="264"/>
      <c r="O140" s="264"/>
      <c r="P140" s="86"/>
      <c r="Q140" s="264">
        <f>S140+U140+W140+Y140</f>
        <v>0</v>
      </c>
      <c r="R140" s="264"/>
      <c r="S140" s="264"/>
      <c r="T140" s="264"/>
      <c r="U140" s="264"/>
      <c r="V140" s="264"/>
      <c r="W140" s="264"/>
      <c r="X140" s="264">
        <v>0</v>
      </c>
      <c r="Y140" s="264">
        <v>0</v>
      </c>
      <c r="Z140" s="264">
        <v>0</v>
      </c>
      <c r="AA140" s="264">
        <v>0</v>
      </c>
      <c r="AB140" s="264"/>
      <c r="AC140" s="264"/>
      <c r="AD140" s="264"/>
      <c r="AE140" s="264">
        <f>SUM(AF140:AF140)</f>
        <v>0</v>
      </c>
      <c r="AF140" s="264"/>
      <c r="AG140" s="264"/>
      <c r="AH140" s="264"/>
      <c r="AI140" s="264"/>
      <c r="AJ140" s="264"/>
      <c r="AK140" s="264"/>
      <c r="AL140" s="264"/>
      <c r="AM140" s="264"/>
      <c r="AN140" s="264"/>
      <c r="AO140" s="632"/>
      <c r="AP140" s="650"/>
    </row>
    <row r="141" spans="1:42" s="100" customFormat="1" ht="18" hidden="1" customHeight="1">
      <c r="A141" s="332"/>
      <c r="B141" s="257" t="s">
        <v>235</v>
      </c>
      <c r="C141" s="258"/>
      <c r="D141" s="258"/>
      <c r="E141" s="258"/>
      <c r="F141" s="259"/>
      <c r="G141" s="260"/>
      <c r="H141" s="261"/>
      <c r="I141" s="107"/>
      <c r="J141" s="101"/>
      <c r="K141" s="262"/>
      <c r="L141" s="263"/>
      <c r="M141" s="264"/>
      <c r="N141" s="264"/>
      <c r="O141" s="264"/>
      <c r="P141" s="86"/>
      <c r="Q141" s="264">
        <f>S141+U141+W141+Y141</f>
        <v>46543.63</v>
      </c>
      <c r="R141" s="264">
        <f>S141</f>
        <v>12237.61</v>
      </c>
      <c r="S141" s="264">
        <v>12237.61</v>
      </c>
      <c r="T141" s="264">
        <v>15823.071</v>
      </c>
      <c r="U141" s="264">
        <v>13185.89</v>
      </c>
      <c r="V141" s="264"/>
      <c r="W141" s="264">
        <v>16120.13</v>
      </c>
      <c r="X141" s="264">
        <v>0</v>
      </c>
      <c r="Y141" s="264">
        <v>5000</v>
      </c>
      <c r="Z141" s="264">
        <f>AA141+AB141</f>
        <v>21008.04</v>
      </c>
      <c r="AA141" s="264">
        <v>1971.25</v>
      </c>
      <c r="AB141" s="264">
        <v>19036.79</v>
      </c>
      <c r="AC141" s="264">
        <v>0</v>
      </c>
      <c r="AD141" s="264"/>
      <c r="AE141" s="264">
        <f>SUM(AF141:AF141)</f>
        <v>0</v>
      </c>
      <c r="AF141" s="264"/>
      <c r="AG141" s="264"/>
      <c r="AH141" s="264"/>
      <c r="AI141" s="264"/>
      <c r="AJ141" s="264"/>
      <c r="AK141" s="264"/>
      <c r="AL141" s="264"/>
      <c r="AM141" s="264"/>
      <c r="AN141" s="264"/>
      <c r="AO141" s="632"/>
      <c r="AP141" s="650"/>
    </row>
    <row r="142" spans="1:42" s="100" customFormat="1" ht="18" hidden="1" customHeight="1">
      <c r="A142" s="332"/>
      <c r="B142" s="257" t="s">
        <v>236</v>
      </c>
      <c r="C142" s="258"/>
      <c r="D142" s="258"/>
      <c r="E142" s="258"/>
      <c r="F142" s="259"/>
      <c r="G142" s="260"/>
      <c r="H142" s="261"/>
      <c r="I142" s="107"/>
      <c r="J142" s="101"/>
      <c r="K142" s="262"/>
      <c r="L142" s="263"/>
      <c r="M142" s="264"/>
      <c r="N142" s="264"/>
      <c r="O142" s="264"/>
      <c r="P142" s="86"/>
      <c r="Q142" s="264">
        <f t="shared" ref="Q142:Q144" si="124">S142+U142+W142+Y142</f>
        <v>82</v>
      </c>
      <c r="R142" s="264"/>
      <c r="S142" s="264"/>
      <c r="T142" s="264">
        <v>82</v>
      </c>
      <c r="U142" s="264">
        <v>82</v>
      </c>
      <c r="V142" s="264"/>
      <c r="W142" s="264"/>
      <c r="X142" s="264">
        <v>0</v>
      </c>
      <c r="Y142" s="264">
        <v>0</v>
      </c>
      <c r="Z142" s="264">
        <f t="shared" ref="Z142:Z143" si="125">AA142+AB142</f>
        <v>0</v>
      </c>
      <c r="AA142" s="264">
        <v>0</v>
      </c>
      <c r="AB142" s="264"/>
      <c r="AC142" s="264"/>
      <c r="AD142" s="264"/>
      <c r="AE142" s="264">
        <f>SUM(AF142:AF142)</f>
        <v>0</v>
      </c>
      <c r="AF142" s="264"/>
      <c r="AG142" s="264"/>
      <c r="AH142" s="264"/>
      <c r="AI142" s="264"/>
      <c r="AJ142" s="264"/>
      <c r="AK142" s="264"/>
      <c r="AL142" s="264"/>
      <c r="AM142" s="264"/>
      <c r="AN142" s="264"/>
      <c r="AO142" s="632"/>
      <c r="AP142" s="650"/>
    </row>
    <row r="143" spans="1:42" s="100" customFormat="1" ht="18" hidden="1" customHeight="1">
      <c r="A143" s="332"/>
      <c r="B143" s="257" t="s">
        <v>267</v>
      </c>
      <c r="C143" s="258"/>
      <c r="D143" s="258"/>
      <c r="E143" s="258"/>
      <c r="F143" s="259"/>
      <c r="G143" s="260"/>
      <c r="H143" s="261"/>
      <c r="I143" s="107"/>
      <c r="J143" s="101"/>
      <c r="K143" s="262"/>
      <c r="L143" s="263"/>
      <c r="M143" s="264"/>
      <c r="N143" s="264"/>
      <c r="O143" s="264"/>
      <c r="P143" s="86"/>
      <c r="Q143" s="264">
        <v>99.963999999999999</v>
      </c>
      <c r="R143" s="264"/>
      <c r="S143" s="264"/>
      <c r="T143" s="264">
        <v>99.963999999999999</v>
      </c>
      <c r="U143" s="264">
        <v>99.963999999999999</v>
      </c>
      <c r="V143" s="264"/>
      <c r="W143" s="264"/>
      <c r="X143" s="264"/>
      <c r="Y143" s="264"/>
      <c r="Z143" s="264">
        <f t="shared" si="125"/>
        <v>99.96</v>
      </c>
      <c r="AA143" s="264"/>
      <c r="AB143" s="264">
        <v>99.96</v>
      </c>
      <c r="AC143" s="264"/>
      <c r="AD143" s="264"/>
      <c r="AE143" s="264"/>
      <c r="AF143" s="264"/>
      <c r="AG143" s="264"/>
      <c r="AH143" s="264"/>
      <c r="AI143" s="264"/>
      <c r="AJ143" s="264"/>
      <c r="AK143" s="264"/>
      <c r="AL143" s="264"/>
      <c r="AM143" s="264"/>
      <c r="AN143" s="264"/>
      <c r="AO143" s="632"/>
      <c r="AP143" s="650"/>
    </row>
    <row r="144" spans="1:42" s="100" customFormat="1" ht="18" hidden="1" customHeight="1">
      <c r="A144" s="332"/>
      <c r="B144" s="257" t="s">
        <v>155</v>
      </c>
      <c r="C144" s="258"/>
      <c r="D144" s="258"/>
      <c r="E144" s="258"/>
      <c r="F144" s="259"/>
      <c r="G144" s="260"/>
      <c r="H144" s="261"/>
      <c r="I144" s="107"/>
      <c r="J144" s="101"/>
      <c r="K144" s="262"/>
      <c r="L144" s="263"/>
      <c r="M144" s="264"/>
      <c r="N144" s="264"/>
      <c r="O144" s="264"/>
      <c r="P144" s="86"/>
      <c r="Q144" s="264">
        <f t="shared" si="124"/>
        <v>0</v>
      </c>
      <c r="R144" s="264">
        <f>S144</f>
        <v>0</v>
      </c>
      <c r="S144" s="264">
        <v>0</v>
      </c>
      <c r="T144" s="264">
        <v>0</v>
      </c>
      <c r="U144" s="264">
        <v>0</v>
      </c>
      <c r="V144" s="264"/>
      <c r="W144" s="264"/>
      <c r="X144" s="264">
        <v>0</v>
      </c>
      <c r="Y144" s="264">
        <v>0</v>
      </c>
      <c r="Z144" s="264">
        <v>0</v>
      </c>
      <c r="AA144" s="264">
        <v>0</v>
      </c>
      <c r="AB144" s="264"/>
      <c r="AC144" s="264"/>
      <c r="AD144" s="264"/>
      <c r="AE144" s="264">
        <f>SUM(AF144:AF144)</f>
        <v>0</v>
      </c>
      <c r="AF144" s="264"/>
      <c r="AG144" s="264"/>
      <c r="AH144" s="264"/>
      <c r="AI144" s="264"/>
      <c r="AJ144" s="264"/>
      <c r="AK144" s="264"/>
      <c r="AL144" s="264"/>
      <c r="AM144" s="264"/>
      <c r="AN144" s="264"/>
      <c r="AO144" s="632"/>
      <c r="AP144" s="650"/>
    </row>
    <row r="145" spans="1:42" s="326" customFormat="1" ht="52.5" customHeight="1">
      <c r="A145" s="832" t="s">
        <v>172</v>
      </c>
      <c r="B145" s="83" t="s">
        <v>173</v>
      </c>
      <c r="C145" s="338"/>
      <c r="D145" s="338"/>
      <c r="E145" s="338"/>
      <c r="F145" s="322"/>
      <c r="G145" s="339"/>
      <c r="H145" s="340"/>
      <c r="I145" s="820" t="s">
        <v>19</v>
      </c>
      <c r="J145" s="336"/>
      <c r="K145" s="337"/>
      <c r="L145" s="291">
        <f>L146</f>
        <v>7644.31</v>
      </c>
      <c r="M145" s="291">
        <f>M146</f>
        <v>0</v>
      </c>
      <c r="N145" s="291">
        <f t="shared" ref="N145:AN145" si="126">N146</f>
        <v>377.26</v>
      </c>
      <c r="O145" s="291">
        <f t="shared" si="126"/>
        <v>0</v>
      </c>
      <c r="P145" s="291">
        <f t="shared" si="126"/>
        <v>377.26</v>
      </c>
      <c r="Q145" s="291">
        <f t="shared" si="126"/>
        <v>0</v>
      </c>
      <c r="R145" s="291">
        <f t="shared" si="126"/>
        <v>0</v>
      </c>
      <c r="S145" s="291">
        <f t="shared" si="126"/>
        <v>0</v>
      </c>
      <c r="T145" s="291">
        <f t="shared" si="126"/>
        <v>0</v>
      </c>
      <c r="U145" s="291">
        <f t="shared" si="126"/>
        <v>0</v>
      </c>
      <c r="V145" s="291">
        <f t="shared" si="126"/>
        <v>0</v>
      </c>
      <c r="W145" s="291">
        <f t="shared" si="126"/>
        <v>0</v>
      </c>
      <c r="X145" s="291">
        <f t="shared" si="126"/>
        <v>0</v>
      </c>
      <c r="Y145" s="291">
        <f t="shared" si="126"/>
        <v>0</v>
      </c>
      <c r="Z145" s="291">
        <f t="shared" si="126"/>
        <v>0</v>
      </c>
      <c r="AA145" s="291">
        <f t="shared" si="126"/>
        <v>0</v>
      </c>
      <c r="AB145" s="291">
        <f t="shared" si="126"/>
        <v>0</v>
      </c>
      <c r="AC145" s="291">
        <f t="shared" si="126"/>
        <v>0</v>
      </c>
      <c r="AD145" s="291">
        <f t="shared" si="126"/>
        <v>0</v>
      </c>
      <c r="AE145" s="291">
        <f t="shared" si="126"/>
        <v>0</v>
      </c>
      <c r="AF145" s="291">
        <f t="shared" si="126"/>
        <v>0</v>
      </c>
      <c r="AG145" s="291">
        <f t="shared" si="126"/>
        <v>0</v>
      </c>
      <c r="AH145" s="291">
        <f t="shared" si="126"/>
        <v>0</v>
      </c>
      <c r="AI145" s="291">
        <f t="shared" si="126"/>
        <v>0</v>
      </c>
      <c r="AJ145" s="291">
        <f t="shared" si="126"/>
        <v>0</v>
      </c>
      <c r="AK145" s="291">
        <f t="shared" si="126"/>
        <v>0</v>
      </c>
      <c r="AL145" s="291">
        <f t="shared" si="126"/>
        <v>0</v>
      </c>
      <c r="AM145" s="291">
        <f t="shared" si="126"/>
        <v>0</v>
      </c>
      <c r="AN145" s="291">
        <f t="shared" si="126"/>
        <v>0</v>
      </c>
      <c r="AO145" s="628" t="s">
        <v>249</v>
      </c>
      <c r="AP145" s="1067"/>
    </row>
    <row r="146" spans="1:42" ht="18" customHeight="1">
      <c r="A146" s="827"/>
      <c r="B146" s="42" t="s">
        <v>15</v>
      </c>
      <c r="C146" s="342"/>
      <c r="D146" s="342"/>
      <c r="E146" s="342"/>
      <c r="F146" s="319"/>
      <c r="G146" s="343"/>
      <c r="H146" s="344"/>
      <c r="I146" s="821"/>
      <c r="J146" s="535"/>
      <c r="K146" s="345"/>
      <c r="L146" s="75">
        <v>7644.31</v>
      </c>
      <c r="M146" s="86">
        <v>0</v>
      </c>
      <c r="N146" s="86">
        <v>377.26</v>
      </c>
      <c r="O146" s="86">
        <v>0</v>
      </c>
      <c r="P146" s="86">
        <f>N146</f>
        <v>377.26</v>
      </c>
      <c r="Q146" s="86">
        <f>SUM(Q147:Q148)</f>
        <v>0</v>
      </c>
      <c r="R146" s="86">
        <v>0</v>
      </c>
      <c r="S146" s="86">
        <v>0</v>
      </c>
      <c r="T146" s="86">
        <f>SUM(T147:T148)</f>
        <v>0</v>
      </c>
      <c r="U146" s="86">
        <f>SUM(U147:U148)</f>
        <v>0</v>
      </c>
      <c r="V146" s="86">
        <f t="shared" ref="V146:AD146" si="127">SUM(V147:V148)</f>
        <v>0</v>
      </c>
      <c r="W146" s="86">
        <f t="shared" si="127"/>
        <v>0</v>
      </c>
      <c r="X146" s="86">
        <f t="shared" si="127"/>
        <v>0</v>
      </c>
      <c r="Y146" s="86">
        <f t="shared" si="127"/>
        <v>0</v>
      </c>
      <c r="Z146" s="86">
        <f t="shared" si="127"/>
        <v>0</v>
      </c>
      <c r="AA146" s="86">
        <f t="shared" si="127"/>
        <v>0</v>
      </c>
      <c r="AB146" s="86">
        <f t="shared" si="127"/>
        <v>0</v>
      </c>
      <c r="AC146" s="86">
        <f t="shared" si="127"/>
        <v>0</v>
      </c>
      <c r="AD146" s="86">
        <f t="shared" si="127"/>
        <v>0</v>
      </c>
      <c r="AE146" s="86">
        <v>0</v>
      </c>
      <c r="AF146" s="86">
        <v>0</v>
      </c>
      <c r="AG146" s="86">
        <v>0</v>
      </c>
      <c r="AH146" s="86">
        <v>0</v>
      </c>
      <c r="AI146" s="86">
        <v>0</v>
      </c>
      <c r="AJ146" s="86">
        <v>0</v>
      </c>
      <c r="AK146" s="86">
        <v>0</v>
      </c>
      <c r="AL146" s="86">
        <v>0</v>
      </c>
      <c r="AM146" s="86">
        <v>0</v>
      </c>
      <c r="AN146" s="86">
        <v>0</v>
      </c>
      <c r="AO146" s="629"/>
      <c r="AP146" s="1062"/>
    </row>
    <row r="147" spans="1:42" s="100" customFormat="1" ht="18" hidden="1" customHeight="1">
      <c r="A147" s="374"/>
      <c r="B147" s="257" t="s">
        <v>237</v>
      </c>
      <c r="C147" s="258"/>
      <c r="D147" s="258"/>
      <c r="E147" s="258"/>
      <c r="F147" s="259"/>
      <c r="G147" s="260"/>
      <c r="H147" s="261"/>
      <c r="I147" s="375"/>
      <c r="J147" s="101"/>
      <c r="K147" s="262"/>
      <c r="L147" s="263"/>
      <c r="M147" s="264"/>
      <c r="N147" s="264"/>
      <c r="O147" s="264"/>
      <c r="P147" s="86"/>
      <c r="Q147" s="264"/>
      <c r="R147" s="264"/>
      <c r="S147" s="264"/>
      <c r="T147" s="264"/>
      <c r="U147" s="264"/>
      <c r="V147" s="264"/>
      <c r="W147" s="264"/>
      <c r="X147" s="86"/>
      <c r="Y147" s="86"/>
      <c r="Z147" s="264"/>
      <c r="AA147" s="264"/>
      <c r="AB147" s="264"/>
      <c r="AC147" s="264"/>
      <c r="AD147" s="264"/>
      <c r="AE147" s="264"/>
      <c r="AF147" s="264"/>
      <c r="AG147" s="264"/>
      <c r="AH147" s="264"/>
      <c r="AI147" s="264"/>
      <c r="AJ147" s="264"/>
      <c r="AK147" s="264"/>
      <c r="AL147" s="264"/>
      <c r="AM147" s="264"/>
      <c r="AN147" s="264"/>
      <c r="AO147" s="632"/>
      <c r="AP147" s="650"/>
    </row>
    <row r="148" spans="1:42" s="100" customFormat="1" ht="18" hidden="1" customHeight="1">
      <c r="A148" s="374"/>
      <c r="B148" s="257" t="s">
        <v>271</v>
      </c>
      <c r="C148" s="258"/>
      <c r="D148" s="258"/>
      <c r="E148" s="258"/>
      <c r="F148" s="259"/>
      <c r="G148" s="260"/>
      <c r="H148" s="261"/>
      <c r="I148" s="375"/>
      <c r="J148" s="101"/>
      <c r="K148" s="262"/>
      <c r="L148" s="263"/>
      <c r="M148" s="264"/>
      <c r="N148" s="264"/>
      <c r="O148" s="264"/>
      <c r="P148" s="86">
        <f>Q148</f>
        <v>0</v>
      </c>
      <c r="Q148" s="264">
        <f>S148+U148</f>
        <v>0</v>
      </c>
      <c r="R148" s="264"/>
      <c r="S148" s="264"/>
      <c r="T148" s="264">
        <v>0</v>
      </c>
      <c r="U148" s="264">
        <v>0</v>
      </c>
      <c r="V148" s="264"/>
      <c r="W148" s="264"/>
      <c r="X148" s="86"/>
      <c r="Y148" s="86"/>
      <c r="Z148" s="264">
        <f>SUM(AA148:AB148)</f>
        <v>0</v>
      </c>
      <c r="AA148" s="264"/>
      <c r="AB148" s="264">
        <v>0</v>
      </c>
      <c r="AC148" s="264"/>
      <c r="AD148" s="264"/>
      <c r="AE148" s="264"/>
      <c r="AF148" s="264"/>
      <c r="AG148" s="264"/>
      <c r="AH148" s="264"/>
      <c r="AI148" s="264"/>
      <c r="AJ148" s="264"/>
      <c r="AK148" s="264"/>
      <c r="AL148" s="264"/>
      <c r="AM148" s="264"/>
      <c r="AN148" s="264"/>
      <c r="AO148" s="632"/>
      <c r="AP148" s="650"/>
    </row>
    <row r="149" spans="1:42" s="326" customFormat="1" ht="35.25" customHeight="1">
      <c r="A149" s="832" t="s">
        <v>174</v>
      </c>
      <c r="B149" s="83" t="s">
        <v>175</v>
      </c>
      <c r="C149" s="338"/>
      <c r="D149" s="338"/>
      <c r="E149" s="338"/>
      <c r="F149" s="322"/>
      <c r="G149" s="339"/>
      <c r="H149" s="340"/>
      <c r="I149" s="820" t="s">
        <v>19</v>
      </c>
      <c r="J149" s="336"/>
      <c r="K149" s="337"/>
      <c r="L149" s="291">
        <f>L150</f>
        <v>8790.08</v>
      </c>
      <c r="M149" s="291">
        <f>M150</f>
        <v>0</v>
      </c>
      <c r="N149" s="291">
        <f t="shared" ref="N149:AN149" si="128">N150</f>
        <v>612.4</v>
      </c>
      <c r="O149" s="291">
        <f t="shared" si="128"/>
        <v>7188.28</v>
      </c>
      <c r="P149" s="291">
        <f t="shared" si="128"/>
        <v>612.4</v>
      </c>
      <c r="Q149" s="291">
        <f t="shared" si="128"/>
        <v>0</v>
      </c>
      <c r="R149" s="291">
        <f t="shared" si="128"/>
        <v>0</v>
      </c>
      <c r="S149" s="291">
        <f t="shared" si="128"/>
        <v>0</v>
      </c>
      <c r="T149" s="291">
        <f t="shared" si="128"/>
        <v>0</v>
      </c>
      <c r="U149" s="291">
        <f t="shared" si="128"/>
        <v>0</v>
      </c>
      <c r="V149" s="291">
        <f t="shared" si="128"/>
        <v>0</v>
      </c>
      <c r="W149" s="291">
        <f t="shared" si="128"/>
        <v>0</v>
      </c>
      <c r="X149" s="291">
        <f t="shared" si="128"/>
        <v>0</v>
      </c>
      <c r="Y149" s="291">
        <f t="shared" si="128"/>
        <v>0</v>
      </c>
      <c r="Z149" s="291">
        <f t="shared" si="128"/>
        <v>0</v>
      </c>
      <c r="AA149" s="291">
        <f>AA150</f>
        <v>0</v>
      </c>
      <c r="AB149" s="291">
        <f>AB150</f>
        <v>0</v>
      </c>
      <c r="AC149" s="291">
        <f t="shared" ref="AC149:AD149" si="129">AC150</f>
        <v>0</v>
      </c>
      <c r="AD149" s="291">
        <f t="shared" si="129"/>
        <v>0</v>
      </c>
      <c r="AE149" s="291">
        <f t="shared" si="128"/>
        <v>0</v>
      </c>
      <c r="AF149" s="291">
        <f t="shared" si="128"/>
        <v>0</v>
      </c>
      <c r="AG149" s="291">
        <f t="shared" si="128"/>
        <v>0</v>
      </c>
      <c r="AH149" s="291">
        <f t="shared" si="128"/>
        <v>0</v>
      </c>
      <c r="AI149" s="291">
        <f t="shared" si="128"/>
        <v>0</v>
      </c>
      <c r="AJ149" s="291">
        <f t="shared" si="128"/>
        <v>0</v>
      </c>
      <c r="AK149" s="291">
        <f t="shared" si="128"/>
        <v>0</v>
      </c>
      <c r="AL149" s="291">
        <f t="shared" si="128"/>
        <v>0</v>
      </c>
      <c r="AM149" s="291">
        <f t="shared" si="128"/>
        <v>0</v>
      </c>
      <c r="AN149" s="291">
        <f t="shared" si="128"/>
        <v>0</v>
      </c>
      <c r="AO149" s="628" t="s">
        <v>249</v>
      </c>
      <c r="AP149" s="1067"/>
    </row>
    <row r="150" spans="1:42" ht="18" customHeight="1">
      <c r="A150" s="827"/>
      <c r="B150" s="42" t="s">
        <v>15</v>
      </c>
      <c r="C150" s="342"/>
      <c r="D150" s="342"/>
      <c r="E150" s="342"/>
      <c r="F150" s="319"/>
      <c r="G150" s="343"/>
      <c r="H150" s="344"/>
      <c r="I150" s="821"/>
      <c r="J150" s="535"/>
      <c r="K150" s="345"/>
      <c r="L150" s="75">
        <v>8790.08</v>
      </c>
      <c r="M150" s="86">
        <v>0</v>
      </c>
      <c r="N150" s="86">
        <v>612.4</v>
      </c>
      <c r="O150" s="86">
        <v>7188.28</v>
      </c>
      <c r="P150" s="86">
        <f>N150</f>
        <v>612.4</v>
      </c>
      <c r="Q150" s="86">
        <v>0</v>
      </c>
      <c r="R150" s="86">
        <v>0</v>
      </c>
      <c r="S150" s="86">
        <v>0</v>
      </c>
      <c r="T150" s="86">
        <v>0</v>
      </c>
      <c r="U150" s="86">
        <v>0</v>
      </c>
      <c r="V150" s="86">
        <v>0</v>
      </c>
      <c r="W150" s="86">
        <v>0</v>
      </c>
      <c r="X150" s="86">
        <v>0</v>
      </c>
      <c r="Y150" s="86">
        <v>0</v>
      </c>
      <c r="Z150" s="86">
        <v>0</v>
      </c>
      <c r="AA150" s="86">
        <v>0</v>
      </c>
      <c r="AB150" s="86">
        <v>0</v>
      </c>
      <c r="AC150" s="86">
        <v>0</v>
      </c>
      <c r="AD150" s="86">
        <v>0</v>
      </c>
      <c r="AE150" s="86">
        <v>0</v>
      </c>
      <c r="AF150" s="86">
        <v>0</v>
      </c>
      <c r="AG150" s="86">
        <v>0</v>
      </c>
      <c r="AH150" s="86">
        <v>0</v>
      </c>
      <c r="AI150" s="86">
        <v>0</v>
      </c>
      <c r="AJ150" s="86">
        <v>0</v>
      </c>
      <c r="AK150" s="86">
        <v>0</v>
      </c>
      <c r="AL150" s="86">
        <v>0</v>
      </c>
      <c r="AM150" s="86">
        <v>0</v>
      </c>
      <c r="AN150" s="86">
        <v>0</v>
      </c>
      <c r="AO150" s="629"/>
      <c r="AP150" s="1062"/>
    </row>
    <row r="151" spans="1:42" s="326" customFormat="1" ht="54.75" customHeight="1">
      <c r="A151" s="832" t="s">
        <v>176</v>
      </c>
      <c r="B151" s="83" t="s">
        <v>177</v>
      </c>
      <c r="C151" s="338"/>
      <c r="D151" s="338"/>
      <c r="E151" s="338"/>
      <c r="F151" s="322"/>
      <c r="G151" s="339"/>
      <c r="H151" s="340"/>
      <c r="I151" s="820" t="s">
        <v>19</v>
      </c>
      <c r="J151" s="336"/>
      <c r="K151" s="337"/>
      <c r="L151" s="291">
        <f>L152+L158</f>
        <v>204849.53</v>
      </c>
      <c r="M151" s="291">
        <f t="shared" ref="M151:N151" si="130">M152+M158</f>
        <v>195485</v>
      </c>
      <c r="N151" s="291">
        <f t="shared" si="130"/>
        <v>203676.84</v>
      </c>
      <c r="O151" s="291">
        <f t="shared" ref="O151:AN151" si="131">O152</f>
        <v>1116.69</v>
      </c>
      <c r="P151" s="291">
        <f>P152+P158</f>
        <v>203676.84</v>
      </c>
      <c r="Q151" s="291">
        <f t="shared" si="131"/>
        <v>5164.4799999999996</v>
      </c>
      <c r="R151" s="291">
        <f t="shared" si="131"/>
        <v>0</v>
      </c>
      <c r="S151" s="291">
        <f t="shared" si="131"/>
        <v>0</v>
      </c>
      <c r="T151" s="291">
        <f t="shared" si="131"/>
        <v>1133.48</v>
      </c>
      <c r="U151" s="291">
        <f t="shared" si="131"/>
        <v>1133.48</v>
      </c>
      <c r="V151" s="291">
        <f t="shared" si="131"/>
        <v>0</v>
      </c>
      <c r="W151" s="291">
        <f t="shared" si="131"/>
        <v>4000</v>
      </c>
      <c r="X151" s="291">
        <f t="shared" si="131"/>
        <v>31</v>
      </c>
      <c r="Y151" s="291">
        <f t="shared" si="131"/>
        <v>31</v>
      </c>
      <c r="Z151" s="291">
        <f t="shared" si="131"/>
        <v>8164.482</v>
      </c>
      <c r="AA151" s="291">
        <f t="shared" si="131"/>
        <v>0</v>
      </c>
      <c r="AB151" s="291">
        <f t="shared" si="131"/>
        <v>8133.482</v>
      </c>
      <c r="AC151" s="291">
        <f t="shared" si="131"/>
        <v>0</v>
      </c>
      <c r="AD151" s="291">
        <f t="shared" si="131"/>
        <v>31</v>
      </c>
      <c r="AE151" s="291">
        <f t="shared" si="131"/>
        <v>0</v>
      </c>
      <c r="AF151" s="291">
        <f t="shared" si="131"/>
        <v>0</v>
      </c>
      <c r="AG151" s="291">
        <f t="shared" si="131"/>
        <v>0</v>
      </c>
      <c r="AH151" s="291">
        <f t="shared" si="131"/>
        <v>0</v>
      </c>
      <c r="AI151" s="291">
        <f t="shared" si="131"/>
        <v>0</v>
      </c>
      <c r="AJ151" s="291">
        <f t="shared" si="131"/>
        <v>0</v>
      </c>
      <c r="AK151" s="291">
        <f t="shared" si="131"/>
        <v>0</v>
      </c>
      <c r="AL151" s="291">
        <f t="shared" si="131"/>
        <v>0</v>
      </c>
      <c r="AM151" s="291">
        <f t="shared" si="131"/>
        <v>0</v>
      </c>
      <c r="AN151" s="291">
        <f t="shared" si="131"/>
        <v>0</v>
      </c>
      <c r="AO151" s="633" t="s">
        <v>264</v>
      </c>
      <c r="AP151" s="1065" t="s">
        <v>327</v>
      </c>
    </row>
    <row r="152" spans="1:42" ht="18" customHeight="1">
      <c r="A152" s="827"/>
      <c r="B152" s="42" t="s">
        <v>15</v>
      </c>
      <c r="C152" s="342"/>
      <c r="D152" s="342"/>
      <c r="E152" s="342"/>
      <c r="F152" s="319"/>
      <c r="G152" s="343"/>
      <c r="H152" s="344"/>
      <c r="I152" s="821"/>
      <c r="J152" s="535"/>
      <c r="K152" s="345"/>
      <c r="L152" s="75">
        <v>9364.5300000000007</v>
      </c>
      <c r="M152" s="86">
        <v>0</v>
      </c>
      <c r="N152" s="86">
        <v>8191.84</v>
      </c>
      <c r="O152" s="86">
        <v>1116.69</v>
      </c>
      <c r="P152" s="86">
        <f>N152</f>
        <v>8191.84</v>
      </c>
      <c r="Q152" s="86">
        <f>SUM(Q153:Q157)</f>
        <v>5164.4799999999996</v>
      </c>
      <c r="R152" s="86">
        <v>0</v>
      </c>
      <c r="S152" s="86">
        <v>0</v>
      </c>
      <c r="T152" s="86">
        <f>SUM(T153:T157)</f>
        <v>1133.48</v>
      </c>
      <c r="U152" s="86">
        <f>SUM(U153:U155)</f>
        <v>1133.48</v>
      </c>
      <c r="V152" s="86">
        <f t="shared" ref="V152:AI152" si="132">SUM(V153:V155)</f>
        <v>0</v>
      </c>
      <c r="W152" s="86">
        <f t="shared" si="132"/>
        <v>4000</v>
      </c>
      <c r="X152" s="86">
        <f>SUM(X153:X157)</f>
        <v>31</v>
      </c>
      <c r="Y152" s="86">
        <f>SUM(Y153:Y157)</f>
        <v>31</v>
      </c>
      <c r="Z152" s="86">
        <f>SUM(Z153:Z157)</f>
        <v>8164.482</v>
      </c>
      <c r="AA152" s="86">
        <f t="shared" si="132"/>
        <v>0</v>
      </c>
      <c r="AB152" s="86">
        <f t="shared" si="132"/>
        <v>8133.482</v>
      </c>
      <c r="AC152" s="86">
        <f t="shared" si="132"/>
        <v>0</v>
      </c>
      <c r="AD152" s="86">
        <f>SUM(AD153:AD157)</f>
        <v>31</v>
      </c>
      <c r="AE152" s="86">
        <f t="shared" si="132"/>
        <v>0</v>
      </c>
      <c r="AF152" s="86">
        <f t="shared" si="132"/>
        <v>0</v>
      </c>
      <c r="AG152" s="86">
        <f t="shared" si="132"/>
        <v>0</v>
      </c>
      <c r="AH152" s="86">
        <f t="shared" si="132"/>
        <v>0</v>
      </c>
      <c r="AI152" s="86">
        <f t="shared" si="132"/>
        <v>0</v>
      </c>
      <c r="AJ152" s="86">
        <v>0</v>
      </c>
      <c r="AK152" s="86">
        <v>0</v>
      </c>
      <c r="AL152" s="86">
        <v>0</v>
      </c>
      <c r="AM152" s="86">
        <v>0</v>
      </c>
      <c r="AN152" s="86">
        <v>0</v>
      </c>
      <c r="AO152" s="629"/>
      <c r="AP152" s="1008"/>
    </row>
    <row r="153" spans="1:42" s="100" customFormat="1" ht="18" hidden="1" customHeight="1">
      <c r="A153" s="332"/>
      <c r="B153" s="257" t="s">
        <v>238</v>
      </c>
      <c r="C153" s="258"/>
      <c r="D153" s="258"/>
      <c r="E153" s="258"/>
      <c r="F153" s="259"/>
      <c r="G153" s="260"/>
      <c r="H153" s="261"/>
      <c r="I153" s="376"/>
      <c r="J153" s="101"/>
      <c r="K153" s="262"/>
      <c r="L153" s="263"/>
      <c r="M153" s="264"/>
      <c r="N153" s="264"/>
      <c r="O153" s="264"/>
      <c r="P153" s="86"/>
      <c r="Q153" s="264">
        <f>Y153</f>
        <v>0</v>
      </c>
      <c r="R153" s="264"/>
      <c r="S153" s="264"/>
      <c r="T153" s="264"/>
      <c r="U153" s="264"/>
      <c r="V153" s="264"/>
      <c r="W153" s="264"/>
      <c r="X153" s="264">
        <f>Y153</f>
        <v>0</v>
      </c>
      <c r="Y153" s="86"/>
      <c r="Z153" s="264"/>
      <c r="AA153" s="264"/>
      <c r="AB153" s="264"/>
      <c r="AC153" s="264"/>
      <c r="AD153" s="264"/>
      <c r="AE153" s="264"/>
      <c r="AF153" s="264"/>
      <c r="AG153" s="264"/>
      <c r="AH153" s="264"/>
      <c r="AI153" s="264"/>
      <c r="AJ153" s="264"/>
      <c r="AK153" s="264"/>
      <c r="AL153" s="264"/>
      <c r="AM153" s="264"/>
      <c r="AN153" s="264"/>
      <c r="AO153" s="632"/>
      <c r="AP153" s="1008"/>
    </row>
    <row r="154" spans="1:42" s="100" customFormat="1" ht="18" hidden="1" customHeight="1">
      <c r="A154" s="332"/>
      <c r="B154" s="257" t="s">
        <v>270</v>
      </c>
      <c r="C154" s="258"/>
      <c r="D154" s="258"/>
      <c r="E154" s="258"/>
      <c r="F154" s="259"/>
      <c r="G154" s="260"/>
      <c r="H154" s="261"/>
      <c r="I154" s="376"/>
      <c r="J154" s="101"/>
      <c r="K154" s="262"/>
      <c r="L154" s="263"/>
      <c r="M154" s="264"/>
      <c r="N154" s="264"/>
      <c r="O154" s="264"/>
      <c r="P154" s="264">
        <v>8077.482</v>
      </c>
      <c r="Q154" s="264">
        <f>S154+U154+W154</f>
        <v>5077.4799999999996</v>
      </c>
      <c r="R154" s="264"/>
      <c r="S154" s="264"/>
      <c r="T154" s="264">
        <f>U154</f>
        <v>1077.48</v>
      </c>
      <c r="U154" s="264">
        <v>1077.48</v>
      </c>
      <c r="V154" s="264"/>
      <c r="W154" s="264">
        <v>4000</v>
      </c>
      <c r="X154" s="264"/>
      <c r="Y154" s="264"/>
      <c r="Z154" s="264">
        <f>SUM(AA154:AB154)</f>
        <v>8077.482</v>
      </c>
      <c r="AA154" s="264"/>
      <c r="AB154" s="264">
        <v>8077.482</v>
      </c>
      <c r="AC154" s="264"/>
      <c r="AD154" s="264"/>
      <c r="AE154" s="264"/>
      <c r="AF154" s="264"/>
      <c r="AG154" s="264"/>
      <c r="AH154" s="264"/>
      <c r="AI154" s="264"/>
      <c r="AJ154" s="264"/>
      <c r="AK154" s="264"/>
      <c r="AL154" s="264"/>
      <c r="AM154" s="264"/>
      <c r="AN154" s="264"/>
      <c r="AO154" s="632"/>
      <c r="AP154" s="1008"/>
    </row>
    <row r="155" spans="1:42" s="100" customFormat="1" ht="18" hidden="1" customHeight="1">
      <c r="A155" s="332"/>
      <c r="B155" s="257" t="s">
        <v>271</v>
      </c>
      <c r="C155" s="258"/>
      <c r="D155" s="258"/>
      <c r="E155" s="258"/>
      <c r="F155" s="259"/>
      <c r="G155" s="260"/>
      <c r="H155" s="261"/>
      <c r="I155" s="376"/>
      <c r="J155" s="101"/>
      <c r="K155" s="262"/>
      <c r="L155" s="263"/>
      <c r="M155" s="264"/>
      <c r="N155" s="264"/>
      <c r="O155" s="264"/>
      <c r="P155" s="264">
        <v>56</v>
      </c>
      <c r="Q155" s="264">
        <v>56</v>
      </c>
      <c r="R155" s="264">
        <v>0</v>
      </c>
      <c r="S155" s="264">
        <v>0</v>
      </c>
      <c r="T155" s="264">
        <v>56</v>
      </c>
      <c r="U155" s="264">
        <v>56</v>
      </c>
      <c r="V155" s="264"/>
      <c r="W155" s="264"/>
      <c r="X155" s="264"/>
      <c r="Y155" s="264"/>
      <c r="Z155" s="264">
        <f>SUM(AA155:AB155)</f>
        <v>56</v>
      </c>
      <c r="AA155" s="264"/>
      <c r="AB155" s="264">
        <v>56</v>
      </c>
      <c r="AC155" s="264"/>
      <c r="AD155" s="264"/>
      <c r="AE155" s="264"/>
      <c r="AF155" s="264"/>
      <c r="AG155" s="264"/>
      <c r="AH155" s="264"/>
      <c r="AI155" s="264"/>
      <c r="AJ155" s="264"/>
      <c r="AK155" s="264"/>
      <c r="AL155" s="264"/>
      <c r="AM155" s="264"/>
      <c r="AN155" s="264"/>
      <c r="AO155" s="632"/>
      <c r="AP155" s="1008"/>
    </row>
    <row r="156" spans="1:42" s="100" customFormat="1" ht="18" hidden="1" customHeight="1">
      <c r="A156" s="332"/>
      <c r="B156" s="257" t="s">
        <v>302</v>
      </c>
      <c r="C156" s="258"/>
      <c r="D156" s="258"/>
      <c r="E156" s="258"/>
      <c r="F156" s="259"/>
      <c r="G156" s="260"/>
      <c r="H156" s="261"/>
      <c r="I156" s="376"/>
      <c r="J156" s="101"/>
      <c r="K156" s="262"/>
      <c r="L156" s="263"/>
      <c r="M156" s="264"/>
      <c r="N156" s="264"/>
      <c r="O156" s="264"/>
      <c r="P156" s="264"/>
      <c r="Q156" s="264">
        <f>Y156</f>
        <v>8</v>
      </c>
      <c r="R156" s="264"/>
      <c r="S156" s="264"/>
      <c r="T156" s="264"/>
      <c r="U156" s="264"/>
      <c r="V156" s="264"/>
      <c r="W156" s="264"/>
      <c r="X156" s="264">
        <f>Y156</f>
        <v>8</v>
      </c>
      <c r="Y156" s="264">
        <v>8</v>
      </c>
      <c r="Z156" s="264">
        <f>SUM(AA156:AD156)</f>
        <v>8</v>
      </c>
      <c r="AA156" s="264"/>
      <c r="AB156" s="264"/>
      <c r="AC156" s="264"/>
      <c r="AD156" s="264">
        <v>8</v>
      </c>
      <c r="AE156" s="264"/>
      <c r="AF156" s="264"/>
      <c r="AG156" s="264"/>
      <c r="AH156" s="264"/>
      <c r="AI156" s="264"/>
      <c r="AJ156" s="264"/>
      <c r="AK156" s="264"/>
      <c r="AL156" s="264"/>
      <c r="AM156" s="264"/>
      <c r="AN156" s="264"/>
      <c r="AO156" s="632"/>
      <c r="AP156" s="1008"/>
    </row>
    <row r="157" spans="1:42" s="100" customFormat="1" ht="18" hidden="1" customHeight="1">
      <c r="A157" s="332"/>
      <c r="B157" s="257" t="s">
        <v>303</v>
      </c>
      <c r="C157" s="258"/>
      <c r="D157" s="258"/>
      <c r="E157" s="258"/>
      <c r="F157" s="259"/>
      <c r="G157" s="260"/>
      <c r="H157" s="261"/>
      <c r="I157" s="376"/>
      <c r="J157" s="101"/>
      <c r="K157" s="262"/>
      <c r="L157" s="263"/>
      <c r="M157" s="264"/>
      <c r="N157" s="264"/>
      <c r="O157" s="264"/>
      <c r="P157" s="264"/>
      <c r="Q157" s="264">
        <f>Y157</f>
        <v>23</v>
      </c>
      <c r="R157" s="264"/>
      <c r="S157" s="264"/>
      <c r="T157" s="264"/>
      <c r="U157" s="264"/>
      <c r="V157" s="264"/>
      <c r="W157" s="264"/>
      <c r="X157" s="264">
        <f>Y157</f>
        <v>23</v>
      </c>
      <c r="Y157" s="264">
        <v>23</v>
      </c>
      <c r="Z157" s="264">
        <f>SUM(AA157:AD157)</f>
        <v>23</v>
      </c>
      <c r="AA157" s="264"/>
      <c r="AB157" s="264"/>
      <c r="AC157" s="264"/>
      <c r="AD157" s="264">
        <v>23</v>
      </c>
      <c r="AE157" s="264"/>
      <c r="AF157" s="264"/>
      <c r="AG157" s="264"/>
      <c r="AH157" s="264"/>
      <c r="AI157" s="264"/>
      <c r="AJ157" s="264"/>
      <c r="AK157" s="264"/>
      <c r="AL157" s="264"/>
      <c r="AM157" s="264"/>
      <c r="AN157" s="264"/>
      <c r="AO157" s="632"/>
      <c r="AP157" s="1008"/>
    </row>
    <row r="158" spans="1:42" ht="27" customHeight="1">
      <c r="A158" s="528"/>
      <c r="B158" s="42" t="s">
        <v>16</v>
      </c>
      <c r="C158" s="342"/>
      <c r="D158" s="342"/>
      <c r="E158" s="342"/>
      <c r="F158" s="319"/>
      <c r="G158" s="343"/>
      <c r="H158" s="344"/>
      <c r="I158" s="529" t="s">
        <v>10</v>
      </c>
      <c r="J158" s="535"/>
      <c r="K158" s="345"/>
      <c r="L158" s="75">
        <v>195485</v>
      </c>
      <c r="M158" s="75">
        <v>195485</v>
      </c>
      <c r="N158" s="75">
        <v>195485</v>
      </c>
      <c r="O158" s="75">
        <v>195485</v>
      </c>
      <c r="P158" s="75">
        <v>195485</v>
      </c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629"/>
      <c r="AP158" s="1009"/>
    </row>
    <row r="159" spans="1:42" s="100" customFormat="1" ht="18" hidden="1" customHeight="1">
      <c r="A159" s="332"/>
      <c r="B159" s="257"/>
      <c r="C159" s="258"/>
      <c r="D159" s="258"/>
      <c r="E159" s="258"/>
      <c r="F159" s="259"/>
      <c r="G159" s="260"/>
      <c r="H159" s="261"/>
      <c r="I159" s="376"/>
      <c r="J159" s="101"/>
      <c r="K159" s="262"/>
      <c r="L159" s="263"/>
      <c r="M159" s="264"/>
      <c r="N159" s="264"/>
      <c r="O159" s="264"/>
      <c r="P159" s="86"/>
      <c r="Q159" s="264"/>
      <c r="R159" s="264"/>
      <c r="S159" s="264"/>
      <c r="T159" s="264"/>
      <c r="U159" s="264"/>
      <c r="V159" s="264"/>
      <c r="W159" s="264"/>
      <c r="X159" s="86"/>
      <c r="Y159" s="86"/>
      <c r="Z159" s="264"/>
      <c r="AA159" s="264"/>
      <c r="AB159" s="264"/>
      <c r="AC159" s="264"/>
      <c r="AD159" s="264"/>
      <c r="AE159" s="264"/>
      <c r="AF159" s="264"/>
      <c r="AG159" s="264"/>
      <c r="AH159" s="264"/>
      <c r="AI159" s="264"/>
      <c r="AJ159" s="264"/>
      <c r="AK159" s="264"/>
      <c r="AL159" s="264"/>
      <c r="AM159" s="264"/>
      <c r="AN159" s="264"/>
      <c r="AO159" s="632"/>
      <c r="AP159" s="650"/>
    </row>
    <row r="160" spans="1:42" ht="43.5" customHeight="1">
      <c r="A160" s="881" t="s">
        <v>24</v>
      </c>
      <c r="B160" s="889" t="s">
        <v>211</v>
      </c>
      <c r="C160" s="890"/>
      <c r="D160" s="890"/>
      <c r="E160" s="890"/>
      <c r="F160" s="890"/>
      <c r="G160" s="890"/>
      <c r="H160" s="891"/>
      <c r="I160" s="23" t="s">
        <v>19</v>
      </c>
      <c r="J160" s="535">
        <v>0</v>
      </c>
      <c r="K160" s="535">
        <v>0</v>
      </c>
      <c r="L160" s="22">
        <v>0</v>
      </c>
      <c r="M160" s="47">
        <v>0</v>
      </c>
      <c r="N160" s="47">
        <v>0</v>
      </c>
      <c r="O160" s="47">
        <v>1</v>
      </c>
      <c r="P160" s="47">
        <v>0</v>
      </c>
      <c r="Q160" s="47">
        <v>0</v>
      </c>
      <c r="R160" s="47">
        <v>0</v>
      </c>
      <c r="S160" s="47">
        <v>0</v>
      </c>
      <c r="T160" s="47">
        <v>0</v>
      </c>
      <c r="U160" s="47">
        <v>0</v>
      </c>
      <c r="V160" s="47">
        <v>0</v>
      </c>
      <c r="W160" s="47">
        <v>0</v>
      </c>
      <c r="X160" s="47">
        <v>0</v>
      </c>
      <c r="Y160" s="47">
        <v>0</v>
      </c>
      <c r="Z160" s="47">
        <v>0</v>
      </c>
      <c r="AA160" s="47">
        <v>0</v>
      </c>
      <c r="AB160" s="47">
        <v>0</v>
      </c>
      <c r="AC160" s="47">
        <v>0</v>
      </c>
      <c r="AD160" s="47">
        <v>0</v>
      </c>
      <c r="AE160" s="47">
        <v>0</v>
      </c>
      <c r="AF160" s="47">
        <v>0</v>
      </c>
      <c r="AG160" s="47">
        <v>0</v>
      </c>
      <c r="AH160" s="47">
        <v>0</v>
      </c>
      <c r="AI160" s="47">
        <v>0</v>
      </c>
      <c r="AJ160" s="47">
        <v>0</v>
      </c>
      <c r="AK160" s="47">
        <v>0</v>
      </c>
      <c r="AL160" s="47">
        <v>0</v>
      </c>
      <c r="AM160" s="47">
        <v>0</v>
      </c>
      <c r="AN160" s="47">
        <v>0</v>
      </c>
      <c r="AO160" s="608"/>
      <c r="AP160" s="648"/>
    </row>
    <row r="161" spans="1:42" ht="41.25" customHeight="1">
      <c r="A161" s="881"/>
      <c r="B161" s="892"/>
      <c r="C161" s="893"/>
      <c r="D161" s="893"/>
      <c r="E161" s="893"/>
      <c r="F161" s="893"/>
      <c r="G161" s="893"/>
      <c r="H161" s="894"/>
      <c r="I161" s="23" t="s">
        <v>20</v>
      </c>
      <c r="J161" s="535">
        <f>J164</f>
        <v>6379.79</v>
      </c>
      <c r="K161" s="535">
        <f>K164</f>
        <v>0</v>
      </c>
      <c r="L161" s="47">
        <f t="shared" ref="L161:P161" si="133">L164+L168+L174</f>
        <v>13097.62</v>
      </c>
      <c r="M161" s="47">
        <f t="shared" si="133"/>
        <v>4269.0300000000007</v>
      </c>
      <c r="N161" s="47">
        <f t="shared" si="133"/>
        <v>5370.84</v>
      </c>
      <c r="O161" s="47">
        <f t="shared" si="133"/>
        <v>3372.5</v>
      </c>
      <c r="P161" s="47">
        <f t="shared" si="133"/>
        <v>5370.84</v>
      </c>
      <c r="Q161" s="47">
        <f>Q164+Q168+Q174</f>
        <v>0</v>
      </c>
      <c r="R161" s="47">
        <f t="shared" ref="R161:AJ161" si="134">R164+R168+R174</f>
        <v>0</v>
      </c>
      <c r="S161" s="47">
        <f t="shared" si="134"/>
        <v>0</v>
      </c>
      <c r="T161" s="47">
        <f t="shared" si="134"/>
        <v>0</v>
      </c>
      <c r="U161" s="47">
        <f t="shared" si="134"/>
        <v>0</v>
      </c>
      <c r="V161" s="47">
        <f t="shared" si="134"/>
        <v>0</v>
      </c>
      <c r="W161" s="47">
        <f t="shared" si="134"/>
        <v>0</v>
      </c>
      <c r="X161" s="47">
        <f t="shared" si="134"/>
        <v>0</v>
      </c>
      <c r="Y161" s="47">
        <f t="shared" si="134"/>
        <v>0</v>
      </c>
      <c r="Z161" s="47">
        <f t="shared" si="134"/>
        <v>0</v>
      </c>
      <c r="AA161" s="47">
        <f t="shared" si="134"/>
        <v>0</v>
      </c>
      <c r="AB161" s="47">
        <f t="shared" si="134"/>
        <v>0</v>
      </c>
      <c r="AC161" s="47">
        <f t="shared" si="134"/>
        <v>0</v>
      </c>
      <c r="AD161" s="47">
        <f t="shared" si="134"/>
        <v>0</v>
      </c>
      <c r="AE161" s="47">
        <f t="shared" si="134"/>
        <v>0</v>
      </c>
      <c r="AF161" s="47">
        <f t="shared" si="134"/>
        <v>0</v>
      </c>
      <c r="AG161" s="47">
        <f t="shared" si="134"/>
        <v>0</v>
      </c>
      <c r="AH161" s="47">
        <f t="shared" si="134"/>
        <v>0</v>
      </c>
      <c r="AI161" s="47">
        <f t="shared" si="134"/>
        <v>0</v>
      </c>
      <c r="AJ161" s="47">
        <f t="shared" si="134"/>
        <v>5370.84</v>
      </c>
      <c r="AK161" s="47">
        <f t="shared" ref="AK161:AN161" si="135">AK164</f>
        <v>5370.84</v>
      </c>
      <c r="AL161" s="47">
        <f t="shared" si="135"/>
        <v>0</v>
      </c>
      <c r="AM161" s="47">
        <f t="shared" si="135"/>
        <v>0</v>
      </c>
      <c r="AN161" s="47">
        <f t="shared" si="135"/>
        <v>0</v>
      </c>
      <c r="AO161" s="608"/>
      <c r="AP161" s="648"/>
    </row>
    <row r="162" spans="1:42" ht="38.25" customHeight="1">
      <c r="A162" s="881"/>
      <c r="B162" s="892"/>
      <c r="C162" s="893"/>
      <c r="D162" s="893"/>
      <c r="E162" s="893"/>
      <c r="F162" s="893"/>
      <c r="G162" s="893"/>
      <c r="H162" s="894"/>
      <c r="I162" s="15" t="s">
        <v>10</v>
      </c>
      <c r="J162" s="535">
        <v>0</v>
      </c>
      <c r="K162" s="535">
        <v>0</v>
      </c>
      <c r="L162" s="22">
        <f>L180+L182</f>
        <v>2305.4499999999998</v>
      </c>
      <c r="M162" s="22">
        <f>M180+M182</f>
        <v>1650.1</v>
      </c>
      <c r="N162" s="22">
        <f t="shared" ref="N162:AI162" si="136">N180+N182</f>
        <v>0</v>
      </c>
      <c r="O162" s="22">
        <f t="shared" si="136"/>
        <v>0</v>
      </c>
      <c r="P162" s="22">
        <f t="shared" si="136"/>
        <v>0</v>
      </c>
      <c r="Q162" s="22">
        <f t="shared" si="136"/>
        <v>0</v>
      </c>
      <c r="R162" s="22">
        <f t="shared" si="136"/>
        <v>0</v>
      </c>
      <c r="S162" s="22">
        <f t="shared" si="136"/>
        <v>0</v>
      </c>
      <c r="T162" s="22">
        <f t="shared" si="136"/>
        <v>0</v>
      </c>
      <c r="U162" s="22">
        <f t="shared" si="136"/>
        <v>0</v>
      </c>
      <c r="V162" s="22">
        <f t="shared" si="136"/>
        <v>0</v>
      </c>
      <c r="W162" s="22">
        <f t="shared" si="136"/>
        <v>0</v>
      </c>
      <c r="X162" s="22">
        <f t="shared" si="136"/>
        <v>0</v>
      </c>
      <c r="Y162" s="22">
        <f t="shared" si="136"/>
        <v>0</v>
      </c>
      <c r="Z162" s="22">
        <f t="shared" si="136"/>
        <v>0</v>
      </c>
      <c r="AA162" s="22">
        <f t="shared" si="136"/>
        <v>0</v>
      </c>
      <c r="AB162" s="22">
        <f t="shared" si="136"/>
        <v>0</v>
      </c>
      <c r="AC162" s="22">
        <f t="shared" si="136"/>
        <v>0</v>
      </c>
      <c r="AD162" s="22">
        <f t="shared" si="136"/>
        <v>0</v>
      </c>
      <c r="AE162" s="22">
        <f t="shared" si="136"/>
        <v>0</v>
      </c>
      <c r="AF162" s="22">
        <f t="shared" si="136"/>
        <v>0</v>
      </c>
      <c r="AG162" s="22">
        <f t="shared" si="136"/>
        <v>0</v>
      </c>
      <c r="AH162" s="22">
        <f t="shared" si="136"/>
        <v>0</v>
      </c>
      <c r="AI162" s="22">
        <f t="shared" si="136"/>
        <v>0</v>
      </c>
      <c r="AJ162" s="22">
        <v>0</v>
      </c>
      <c r="AK162" s="22">
        <v>0</v>
      </c>
      <c r="AL162" s="22">
        <v>0</v>
      </c>
      <c r="AM162" s="22">
        <v>0</v>
      </c>
      <c r="AN162" s="22">
        <v>0</v>
      </c>
      <c r="AO162" s="609"/>
      <c r="AP162" s="648"/>
    </row>
    <row r="163" spans="1:42" ht="25.5">
      <c r="A163" s="881"/>
      <c r="B163" s="895"/>
      <c r="C163" s="896"/>
      <c r="D163" s="896"/>
      <c r="E163" s="896"/>
      <c r="F163" s="896"/>
      <c r="G163" s="896"/>
      <c r="H163" s="897"/>
      <c r="I163" s="15" t="s">
        <v>9</v>
      </c>
      <c r="J163" s="535">
        <v>0</v>
      </c>
      <c r="K163" s="535">
        <v>0</v>
      </c>
      <c r="L163" s="22">
        <v>0</v>
      </c>
      <c r="M163" s="22">
        <v>0</v>
      </c>
      <c r="N163" s="22">
        <v>0</v>
      </c>
      <c r="O163" s="22">
        <v>1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  <c r="V163" s="22">
        <v>0</v>
      </c>
      <c r="W163" s="22">
        <v>0</v>
      </c>
      <c r="X163" s="22">
        <v>0</v>
      </c>
      <c r="Y163" s="22">
        <v>0</v>
      </c>
      <c r="Z163" s="22">
        <v>0</v>
      </c>
      <c r="AA163" s="22">
        <v>0</v>
      </c>
      <c r="AB163" s="22">
        <v>0</v>
      </c>
      <c r="AC163" s="22">
        <v>0</v>
      </c>
      <c r="AD163" s="22">
        <v>0</v>
      </c>
      <c r="AE163" s="22">
        <v>0</v>
      </c>
      <c r="AF163" s="22">
        <v>0</v>
      </c>
      <c r="AG163" s="22">
        <v>0</v>
      </c>
      <c r="AH163" s="22">
        <v>0</v>
      </c>
      <c r="AI163" s="22">
        <v>0</v>
      </c>
      <c r="AJ163" s="22">
        <v>0</v>
      </c>
      <c r="AK163" s="22">
        <v>0</v>
      </c>
      <c r="AL163" s="22">
        <v>0</v>
      </c>
      <c r="AM163" s="22">
        <v>0</v>
      </c>
      <c r="AN163" s="22">
        <v>0</v>
      </c>
      <c r="AO163" s="609"/>
      <c r="AP163" s="648"/>
    </row>
    <row r="164" spans="1:42" ht="27" customHeight="1">
      <c r="A164" s="825" t="s">
        <v>30</v>
      </c>
      <c r="B164" s="80" t="s">
        <v>178</v>
      </c>
      <c r="C164" s="815">
        <v>300</v>
      </c>
      <c r="D164" s="815">
        <v>570</v>
      </c>
      <c r="E164" s="815"/>
      <c r="F164" s="815"/>
      <c r="G164" s="515"/>
      <c r="H164" s="515"/>
      <c r="I164" s="837" t="s">
        <v>20</v>
      </c>
      <c r="J164" s="912">
        <v>6379.79</v>
      </c>
      <c r="K164" s="3">
        <v>0</v>
      </c>
      <c r="L164" s="82">
        <f t="shared" ref="L164:AI164" si="137">L165+L167</f>
        <v>5597.58</v>
      </c>
      <c r="M164" s="82">
        <f t="shared" si="137"/>
        <v>0</v>
      </c>
      <c r="N164" s="82">
        <f t="shared" si="137"/>
        <v>5370.84</v>
      </c>
      <c r="O164" s="82">
        <f t="shared" si="137"/>
        <v>3372.5</v>
      </c>
      <c r="P164" s="82">
        <f t="shared" si="137"/>
        <v>5370.84</v>
      </c>
      <c r="Q164" s="82">
        <f t="shared" si="137"/>
        <v>0</v>
      </c>
      <c r="R164" s="82">
        <f t="shared" si="137"/>
        <v>0</v>
      </c>
      <c r="S164" s="82">
        <f t="shared" si="137"/>
        <v>0</v>
      </c>
      <c r="T164" s="82">
        <f t="shared" si="137"/>
        <v>0</v>
      </c>
      <c r="U164" s="82">
        <f t="shared" si="137"/>
        <v>0</v>
      </c>
      <c r="V164" s="82">
        <f t="shared" si="137"/>
        <v>0</v>
      </c>
      <c r="W164" s="82">
        <f t="shared" si="137"/>
        <v>0</v>
      </c>
      <c r="X164" s="82">
        <f t="shared" si="137"/>
        <v>0</v>
      </c>
      <c r="Y164" s="82">
        <f t="shared" si="137"/>
        <v>0</v>
      </c>
      <c r="Z164" s="82">
        <f t="shared" si="137"/>
        <v>0</v>
      </c>
      <c r="AA164" s="82">
        <f t="shared" si="137"/>
        <v>0</v>
      </c>
      <c r="AB164" s="82">
        <f t="shared" si="137"/>
        <v>0</v>
      </c>
      <c r="AC164" s="82">
        <f t="shared" si="137"/>
        <v>0</v>
      </c>
      <c r="AD164" s="82">
        <f t="shared" si="137"/>
        <v>0</v>
      </c>
      <c r="AE164" s="82">
        <f t="shared" si="137"/>
        <v>0</v>
      </c>
      <c r="AF164" s="82">
        <f t="shared" si="137"/>
        <v>0</v>
      </c>
      <c r="AG164" s="82">
        <f t="shared" si="137"/>
        <v>0</v>
      </c>
      <c r="AH164" s="82">
        <f t="shared" si="137"/>
        <v>0</v>
      </c>
      <c r="AI164" s="82">
        <f t="shared" si="137"/>
        <v>0</v>
      </c>
      <c r="AJ164" s="82">
        <f>P164-Q164</f>
        <v>5370.84</v>
      </c>
      <c r="AK164" s="82">
        <f>AJ164</f>
        <v>5370.84</v>
      </c>
      <c r="AL164" s="79">
        <f>ROUND((Q164*100%/P164*100),2)</f>
        <v>0</v>
      </c>
      <c r="AM164" s="82">
        <f>AM165+AM167</f>
        <v>0</v>
      </c>
      <c r="AN164" s="82">
        <f>AN165+AN167</f>
        <v>0</v>
      </c>
      <c r="AO164" s="623" t="s">
        <v>251</v>
      </c>
      <c r="AP164" s="1060"/>
    </row>
    <row r="165" spans="1:42" ht="15">
      <c r="A165" s="826"/>
      <c r="B165" s="1" t="s">
        <v>15</v>
      </c>
      <c r="C165" s="816"/>
      <c r="D165" s="816"/>
      <c r="E165" s="816"/>
      <c r="F165" s="816"/>
      <c r="G165" s="538">
        <v>2019</v>
      </c>
      <c r="H165" s="538">
        <v>2019</v>
      </c>
      <c r="I165" s="838"/>
      <c r="J165" s="913"/>
      <c r="K165" s="3"/>
      <c r="L165" s="47">
        <v>5597.58</v>
      </c>
      <c r="M165" s="50">
        <v>0</v>
      </c>
      <c r="N165" s="50">
        <v>5370.84</v>
      </c>
      <c r="O165" s="50">
        <v>0</v>
      </c>
      <c r="P165" s="460">
        <f>N165</f>
        <v>5370.84</v>
      </c>
      <c r="Q165" s="50">
        <f>SUM(Q166)</f>
        <v>0</v>
      </c>
      <c r="R165" s="50">
        <f t="shared" ref="R165:AN165" si="138">SUM(R166)</f>
        <v>0</v>
      </c>
      <c r="S165" s="50">
        <f t="shared" si="138"/>
        <v>0</v>
      </c>
      <c r="T165" s="50">
        <f t="shared" si="138"/>
        <v>0</v>
      </c>
      <c r="U165" s="50">
        <f t="shared" si="138"/>
        <v>0</v>
      </c>
      <c r="V165" s="50">
        <f t="shared" si="138"/>
        <v>0</v>
      </c>
      <c r="W165" s="50">
        <f t="shared" si="138"/>
        <v>0</v>
      </c>
      <c r="X165" s="50">
        <f t="shared" si="138"/>
        <v>0</v>
      </c>
      <c r="Y165" s="50">
        <f t="shared" si="138"/>
        <v>0</v>
      </c>
      <c r="Z165" s="50">
        <f t="shared" si="138"/>
        <v>0</v>
      </c>
      <c r="AA165" s="50">
        <f t="shared" si="138"/>
        <v>0</v>
      </c>
      <c r="AB165" s="50">
        <f t="shared" si="138"/>
        <v>0</v>
      </c>
      <c r="AC165" s="50">
        <f t="shared" si="138"/>
        <v>0</v>
      </c>
      <c r="AD165" s="50">
        <f t="shared" si="138"/>
        <v>0</v>
      </c>
      <c r="AE165" s="50">
        <f>SUM(AE166)</f>
        <v>0</v>
      </c>
      <c r="AF165" s="50">
        <f t="shared" ref="AF165:AI165" si="139">SUM(AF166)</f>
        <v>0</v>
      </c>
      <c r="AG165" s="50">
        <f t="shared" si="139"/>
        <v>0</v>
      </c>
      <c r="AH165" s="50">
        <f t="shared" si="139"/>
        <v>0</v>
      </c>
      <c r="AI165" s="50">
        <f t="shared" si="139"/>
        <v>0</v>
      </c>
      <c r="AJ165" s="50">
        <f t="shared" si="138"/>
        <v>0</v>
      </c>
      <c r="AK165" s="50">
        <f t="shared" si="138"/>
        <v>0</v>
      </c>
      <c r="AL165" s="50">
        <f t="shared" si="138"/>
        <v>0</v>
      </c>
      <c r="AM165" s="50">
        <f t="shared" si="138"/>
        <v>0</v>
      </c>
      <c r="AN165" s="50">
        <f t="shared" si="138"/>
        <v>0</v>
      </c>
      <c r="AO165" s="634"/>
      <c r="AP165" s="1061"/>
    </row>
    <row r="166" spans="1:42" s="273" customFormat="1" ht="15" hidden="1" customHeight="1">
      <c r="A166" s="826"/>
      <c r="B166" s="95"/>
      <c r="C166" s="816"/>
      <c r="D166" s="816"/>
      <c r="E166" s="816"/>
      <c r="F166" s="816"/>
      <c r="G166" s="107"/>
      <c r="H166" s="107"/>
      <c r="I166" s="838"/>
      <c r="J166" s="913"/>
      <c r="K166" s="98"/>
      <c r="L166" s="99"/>
      <c r="M166" s="268"/>
      <c r="N166" s="268"/>
      <c r="O166" s="268"/>
      <c r="P166" s="50"/>
      <c r="Q166" s="268"/>
      <c r="R166" s="268"/>
      <c r="S166" s="268"/>
      <c r="T166" s="268"/>
      <c r="U166" s="268"/>
      <c r="V166" s="268"/>
      <c r="W166" s="268"/>
      <c r="X166" s="268"/>
      <c r="Y166" s="268"/>
      <c r="Z166" s="268"/>
      <c r="AA166" s="268"/>
      <c r="AB166" s="268"/>
      <c r="AC166" s="268"/>
      <c r="AD166" s="268"/>
      <c r="AE166" s="268">
        <f>SUM(AF166:AF166)</f>
        <v>0</v>
      </c>
      <c r="AF166" s="268"/>
      <c r="AG166" s="268"/>
      <c r="AH166" s="268"/>
      <c r="AI166" s="268"/>
      <c r="AJ166" s="268"/>
      <c r="AK166" s="268"/>
      <c r="AL166" s="268"/>
      <c r="AM166" s="268"/>
      <c r="AN166" s="268"/>
      <c r="AO166" s="635"/>
      <c r="AP166" s="1061"/>
    </row>
    <row r="167" spans="1:42" ht="15.75" customHeight="1">
      <c r="A167" s="827"/>
      <c r="B167" s="515" t="s">
        <v>16</v>
      </c>
      <c r="C167" s="900"/>
      <c r="D167" s="900"/>
      <c r="E167" s="900"/>
      <c r="F167" s="900"/>
      <c r="G167" s="538">
        <v>2021</v>
      </c>
      <c r="H167" s="538">
        <v>2021</v>
      </c>
      <c r="I167" s="840"/>
      <c r="J167" s="914"/>
      <c r="K167" s="3"/>
      <c r="L167" s="47">
        <v>0</v>
      </c>
      <c r="M167" s="50">
        <v>0</v>
      </c>
      <c r="N167" s="50">
        <v>0</v>
      </c>
      <c r="O167" s="50">
        <v>3372.5</v>
      </c>
      <c r="P167" s="50">
        <v>0</v>
      </c>
      <c r="Q167" s="50">
        <v>0</v>
      </c>
      <c r="R167" s="50">
        <v>0</v>
      </c>
      <c r="S167" s="50">
        <v>0</v>
      </c>
      <c r="T167" s="50">
        <v>0</v>
      </c>
      <c r="U167" s="50">
        <v>0</v>
      </c>
      <c r="V167" s="50">
        <v>0</v>
      </c>
      <c r="W167" s="50">
        <v>0</v>
      </c>
      <c r="X167" s="50">
        <v>0</v>
      </c>
      <c r="Y167" s="50">
        <v>0</v>
      </c>
      <c r="Z167" s="50">
        <v>0</v>
      </c>
      <c r="AA167" s="50">
        <v>0</v>
      </c>
      <c r="AB167" s="50">
        <v>0</v>
      </c>
      <c r="AC167" s="50">
        <v>0</v>
      </c>
      <c r="AD167" s="50">
        <v>0</v>
      </c>
      <c r="AE167" s="50">
        <v>0</v>
      </c>
      <c r="AF167" s="50">
        <v>0</v>
      </c>
      <c r="AG167" s="50">
        <v>0</v>
      </c>
      <c r="AH167" s="50">
        <v>0</v>
      </c>
      <c r="AI167" s="50">
        <v>0</v>
      </c>
      <c r="AJ167" s="50">
        <v>0</v>
      </c>
      <c r="AK167" s="50">
        <v>0</v>
      </c>
      <c r="AL167" s="50">
        <v>0</v>
      </c>
      <c r="AM167" s="50">
        <v>0</v>
      </c>
      <c r="AN167" s="50">
        <v>0</v>
      </c>
      <c r="AO167" s="634"/>
      <c r="AP167" s="1062"/>
    </row>
    <row r="168" spans="1:42" ht="53.25" customHeight="1">
      <c r="A168" s="825" t="s">
        <v>179</v>
      </c>
      <c r="B168" s="80" t="s">
        <v>180</v>
      </c>
      <c r="C168" s="143"/>
      <c r="D168" s="143"/>
      <c r="E168" s="143"/>
      <c r="F168" s="143"/>
      <c r="G168" s="515"/>
      <c r="H168" s="515"/>
      <c r="I168" s="837" t="s">
        <v>20</v>
      </c>
      <c r="J168" s="540"/>
      <c r="K168" s="3"/>
      <c r="L168" s="82">
        <f>L169</f>
        <v>3750.02</v>
      </c>
      <c r="M168" s="82">
        <f>M169</f>
        <v>1639</v>
      </c>
      <c r="N168" s="82">
        <f t="shared" ref="N168:AN168" si="140">N169</f>
        <v>0</v>
      </c>
      <c r="O168" s="82">
        <f t="shared" si="140"/>
        <v>0</v>
      </c>
      <c r="P168" s="82">
        <f t="shared" si="140"/>
        <v>0</v>
      </c>
      <c r="Q168" s="82">
        <f t="shared" si="140"/>
        <v>0</v>
      </c>
      <c r="R168" s="82">
        <f t="shared" si="140"/>
        <v>0</v>
      </c>
      <c r="S168" s="82">
        <f t="shared" si="140"/>
        <v>0</v>
      </c>
      <c r="T168" s="82">
        <f t="shared" si="140"/>
        <v>0</v>
      </c>
      <c r="U168" s="82">
        <f t="shared" si="140"/>
        <v>0</v>
      </c>
      <c r="V168" s="82">
        <f t="shared" si="140"/>
        <v>0</v>
      </c>
      <c r="W168" s="82">
        <f t="shared" si="140"/>
        <v>0</v>
      </c>
      <c r="X168" s="82">
        <f t="shared" si="140"/>
        <v>0</v>
      </c>
      <c r="Y168" s="82">
        <f t="shared" si="140"/>
        <v>0</v>
      </c>
      <c r="Z168" s="82">
        <f t="shared" si="140"/>
        <v>0</v>
      </c>
      <c r="AA168" s="82">
        <f t="shared" si="140"/>
        <v>0</v>
      </c>
      <c r="AB168" s="82">
        <f t="shared" si="140"/>
        <v>0</v>
      </c>
      <c r="AC168" s="82">
        <f t="shared" si="140"/>
        <v>0</v>
      </c>
      <c r="AD168" s="82">
        <f t="shared" si="140"/>
        <v>0</v>
      </c>
      <c r="AE168" s="82">
        <f t="shared" si="140"/>
        <v>0</v>
      </c>
      <c r="AF168" s="82">
        <f t="shared" si="140"/>
        <v>0</v>
      </c>
      <c r="AG168" s="82">
        <f t="shared" si="140"/>
        <v>0</v>
      </c>
      <c r="AH168" s="82">
        <f t="shared" si="140"/>
        <v>0</v>
      </c>
      <c r="AI168" s="82">
        <f t="shared" si="140"/>
        <v>0</v>
      </c>
      <c r="AJ168" s="82">
        <f t="shared" si="140"/>
        <v>0</v>
      </c>
      <c r="AK168" s="82">
        <f t="shared" si="140"/>
        <v>0</v>
      </c>
      <c r="AL168" s="82">
        <f t="shared" si="140"/>
        <v>0</v>
      </c>
      <c r="AM168" s="82">
        <f t="shared" si="140"/>
        <v>0</v>
      </c>
      <c r="AN168" s="82">
        <f t="shared" si="140"/>
        <v>0</v>
      </c>
      <c r="AO168" s="623" t="s">
        <v>264</v>
      </c>
      <c r="AP168" s="648"/>
    </row>
    <row r="169" spans="1:42" ht="15.75" customHeight="1">
      <c r="A169" s="827"/>
      <c r="B169" s="42" t="s">
        <v>15</v>
      </c>
      <c r="C169" s="143"/>
      <c r="D169" s="143"/>
      <c r="E169" s="143"/>
      <c r="F169" s="143"/>
      <c r="G169" s="320"/>
      <c r="H169" s="321"/>
      <c r="I169" s="840"/>
      <c r="J169" s="540"/>
      <c r="K169" s="325"/>
      <c r="L169" s="47">
        <v>3750.02</v>
      </c>
      <c r="M169" s="47">
        <v>1639</v>
      </c>
      <c r="N169" s="47">
        <v>0</v>
      </c>
      <c r="O169" s="47">
        <v>0</v>
      </c>
      <c r="P169" s="47">
        <v>0</v>
      </c>
      <c r="Q169" s="50">
        <f>SUM(Q170:Q173)</f>
        <v>0</v>
      </c>
      <c r="R169" s="50">
        <f t="shared" ref="R169:AI169" si="141">SUM(R170:R173)</f>
        <v>0</v>
      </c>
      <c r="S169" s="50">
        <f t="shared" si="141"/>
        <v>0</v>
      </c>
      <c r="T169" s="50">
        <f t="shared" si="141"/>
        <v>0</v>
      </c>
      <c r="U169" s="50">
        <f t="shared" si="141"/>
        <v>0</v>
      </c>
      <c r="V169" s="50">
        <f t="shared" si="141"/>
        <v>0</v>
      </c>
      <c r="W169" s="50">
        <f t="shared" si="141"/>
        <v>0</v>
      </c>
      <c r="X169" s="47">
        <v>0</v>
      </c>
      <c r="Y169" s="50">
        <f t="shared" si="141"/>
        <v>0</v>
      </c>
      <c r="Z169" s="50">
        <f t="shared" si="141"/>
        <v>0</v>
      </c>
      <c r="AA169" s="50">
        <f t="shared" si="141"/>
        <v>0</v>
      </c>
      <c r="AB169" s="50">
        <f t="shared" si="141"/>
        <v>0</v>
      </c>
      <c r="AC169" s="50">
        <f t="shared" si="141"/>
        <v>0</v>
      </c>
      <c r="AD169" s="50">
        <f t="shared" si="141"/>
        <v>0</v>
      </c>
      <c r="AE169" s="50">
        <f t="shared" si="141"/>
        <v>0</v>
      </c>
      <c r="AF169" s="50">
        <f t="shared" si="141"/>
        <v>0</v>
      </c>
      <c r="AG169" s="50">
        <f t="shared" si="141"/>
        <v>0</v>
      </c>
      <c r="AH169" s="50">
        <f t="shared" si="141"/>
        <v>0</v>
      </c>
      <c r="AI169" s="50">
        <f t="shared" si="141"/>
        <v>0</v>
      </c>
      <c r="AJ169" s="50">
        <f>SUM(AJ170:AJ173)</f>
        <v>0</v>
      </c>
      <c r="AK169" s="50">
        <f t="shared" ref="AK169:AN169" si="142">SUM(AK170:AK173)</f>
        <v>0</v>
      </c>
      <c r="AL169" s="50">
        <f t="shared" si="142"/>
        <v>0</v>
      </c>
      <c r="AM169" s="50">
        <f t="shared" si="142"/>
        <v>0</v>
      </c>
      <c r="AN169" s="50">
        <f t="shared" si="142"/>
        <v>0</v>
      </c>
      <c r="AO169" s="634"/>
      <c r="AP169" s="648"/>
    </row>
    <row r="170" spans="1:42" s="100" customFormat="1" ht="15.75" hidden="1" customHeight="1">
      <c r="A170" s="374"/>
      <c r="B170" s="257" t="s">
        <v>239</v>
      </c>
      <c r="C170" s="377"/>
      <c r="D170" s="377"/>
      <c r="E170" s="377"/>
      <c r="F170" s="377"/>
      <c r="G170" s="371"/>
      <c r="H170" s="372"/>
      <c r="I170" s="378"/>
      <c r="J170" s="379"/>
      <c r="K170" s="380"/>
      <c r="L170" s="99"/>
      <c r="M170" s="99"/>
      <c r="N170" s="99"/>
      <c r="O170" s="99"/>
      <c r="P170" s="47"/>
      <c r="Q170" s="268">
        <f>Y170</f>
        <v>0</v>
      </c>
      <c r="R170" s="268"/>
      <c r="S170" s="268"/>
      <c r="T170" s="268"/>
      <c r="U170" s="268"/>
      <c r="V170" s="268"/>
      <c r="W170" s="268"/>
      <c r="X170" s="268">
        <v>0</v>
      </c>
      <c r="Y170" s="268">
        <v>0</v>
      </c>
      <c r="Z170" s="268">
        <v>0</v>
      </c>
      <c r="AA170" s="268">
        <v>0</v>
      </c>
      <c r="AB170" s="268"/>
      <c r="AC170" s="268"/>
      <c r="AD170" s="268"/>
      <c r="AE170" s="268"/>
      <c r="AF170" s="268"/>
      <c r="AG170" s="268"/>
      <c r="AH170" s="268"/>
      <c r="AI170" s="268"/>
      <c r="AJ170" s="268"/>
      <c r="AK170" s="268"/>
      <c r="AL170" s="268"/>
      <c r="AM170" s="268"/>
      <c r="AN170" s="268"/>
      <c r="AO170" s="635"/>
      <c r="AP170" s="650"/>
    </row>
    <row r="171" spans="1:42" s="100" customFormat="1" ht="15.75" hidden="1" customHeight="1">
      <c r="A171" s="374"/>
      <c r="B171" s="257" t="s">
        <v>240</v>
      </c>
      <c r="C171" s="377"/>
      <c r="D171" s="377"/>
      <c r="E171" s="377"/>
      <c r="F171" s="377"/>
      <c r="G171" s="371"/>
      <c r="H171" s="372"/>
      <c r="I171" s="378"/>
      <c r="J171" s="379"/>
      <c r="K171" s="380"/>
      <c r="L171" s="99"/>
      <c r="M171" s="99"/>
      <c r="N171" s="99"/>
      <c r="O171" s="99"/>
      <c r="P171" s="47"/>
      <c r="Q171" s="268">
        <f t="shared" ref="Q171:Q173" si="143">Y171</f>
        <v>0</v>
      </c>
      <c r="R171" s="268"/>
      <c r="S171" s="268"/>
      <c r="T171" s="268"/>
      <c r="U171" s="268"/>
      <c r="V171" s="268"/>
      <c r="W171" s="268"/>
      <c r="X171" s="268">
        <v>0</v>
      </c>
      <c r="Y171" s="268">
        <v>0</v>
      </c>
      <c r="Z171" s="268">
        <v>0</v>
      </c>
      <c r="AA171" s="268">
        <v>0</v>
      </c>
      <c r="AB171" s="268"/>
      <c r="AC171" s="268"/>
      <c r="AD171" s="268"/>
      <c r="AE171" s="268"/>
      <c r="AF171" s="268"/>
      <c r="AG171" s="268"/>
      <c r="AH171" s="268"/>
      <c r="AI171" s="268"/>
      <c r="AJ171" s="268"/>
      <c r="AK171" s="268"/>
      <c r="AL171" s="268"/>
      <c r="AM171" s="268"/>
      <c r="AN171" s="268"/>
      <c r="AO171" s="635"/>
      <c r="AP171" s="650"/>
    </row>
    <row r="172" spans="1:42" s="100" customFormat="1" ht="15.75" hidden="1" customHeight="1">
      <c r="A172" s="374"/>
      <c r="B172" s="257" t="s">
        <v>241</v>
      </c>
      <c r="C172" s="377"/>
      <c r="D172" s="377"/>
      <c r="E172" s="377"/>
      <c r="F172" s="377"/>
      <c r="G172" s="371"/>
      <c r="H172" s="372"/>
      <c r="I172" s="378"/>
      <c r="J172" s="379"/>
      <c r="K172" s="380"/>
      <c r="L172" s="99"/>
      <c r="M172" s="99"/>
      <c r="N172" s="99"/>
      <c r="O172" s="99"/>
      <c r="P172" s="47"/>
      <c r="Q172" s="268">
        <f t="shared" si="143"/>
        <v>0</v>
      </c>
      <c r="R172" s="268"/>
      <c r="S172" s="268"/>
      <c r="T172" s="268"/>
      <c r="U172" s="268"/>
      <c r="V172" s="268"/>
      <c r="W172" s="268"/>
      <c r="X172" s="268">
        <v>0</v>
      </c>
      <c r="Y172" s="268">
        <v>0</v>
      </c>
      <c r="Z172" s="268">
        <v>0</v>
      </c>
      <c r="AA172" s="268">
        <v>0</v>
      </c>
      <c r="AB172" s="268"/>
      <c r="AC172" s="268"/>
      <c r="AD172" s="268"/>
      <c r="AE172" s="268"/>
      <c r="AF172" s="268"/>
      <c r="AG172" s="268"/>
      <c r="AH172" s="268"/>
      <c r="AI172" s="268"/>
      <c r="AJ172" s="268"/>
      <c r="AK172" s="268"/>
      <c r="AL172" s="268"/>
      <c r="AM172" s="268"/>
      <c r="AN172" s="268"/>
      <c r="AO172" s="635"/>
      <c r="AP172" s="650"/>
    </row>
    <row r="173" spans="1:42" s="100" customFormat="1" ht="15.75" hidden="1" customHeight="1">
      <c r="A173" s="374"/>
      <c r="B173" s="257" t="s">
        <v>242</v>
      </c>
      <c r="C173" s="377"/>
      <c r="D173" s="377"/>
      <c r="E173" s="377"/>
      <c r="F173" s="377"/>
      <c r="G173" s="371"/>
      <c r="H173" s="372"/>
      <c r="I173" s="378"/>
      <c r="J173" s="379"/>
      <c r="K173" s="380"/>
      <c r="L173" s="99"/>
      <c r="M173" s="99"/>
      <c r="N173" s="99"/>
      <c r="O173" s="99"/>
      <c r="P173" s="47"/>
      <c r="Q173" s="268">
        <f t="shared" si="143"/>
        <v>0</v>
      </c>
      <c r="R173" s="268"/>
      <c r="S173" s="268"/>
      <c r="T173" s="268"/>
      <c r="U173" s="268"/>
      <c r="V173" s="268"/>
      <c r="W173" s="268"/>
      <c r="X173" s="268">
        <v>0</v>
      </c>
      <c r="Y173" s="268">
        <v>0</v>
      </c>
      <c r="Z173" s="268">
        <v>0</v>
      </c>
      <c r="AA173" s="268">
        <v>0</v>
      </c>
      <c r="AB173" s="268"/>
      <c r="AC173" s="268"/>
      <c r="AD173" s="268"/>
      <c r="AE173" s="268"/>
      <c r="AF173" s="268"/>
      <c r="AG173" s="268"/>
      <c r="AH173" s="268"/>
      <c r="AI173" s="268"/>
      <c r="AJ173" s="268"/>
      <c r="AK173" s="268"/>
      <c r="AL173" s="268"/>
      <c r="AM173" s="268"/>
      <c r="AN173" s="268"/>
      <c r="AO173" s="635"/>
      <c r="AP173" s="650"/>
    </row>
    <row r="174" spans="1:42" ht="63" customHeight="1">
      <c r="A174" s="526" t="s">
        <v>181</v>
      </c>
      <c r="B174" s="80" t="s">
        <v>182</v>
      </c>
      <c r="C174" s="143"/>
      <c r="D174" s="143"/>
      <c r="E174" s="143"/>
      <c r="F174" s="143"/>
      <c r="G174" s="515"/>
      <c r="H174" s="515"/>
      <c r="I174" s="837" t="s">
        <v>20</v>
      </c>
      <c r="J174" s="540"/>
      <c r="K174" s="3"/>
      <c r="L174" s="82">
        <f>L175</f>
        <v>3750.02</v>
      </c>
      <c r="M174" s="82">
        <f>M175</f>
        <v>2630.03</v>
      </c>
      <c r="N174" s="82">
        <f t="shared" ref="N174:AN174" si="144">N175</f>
        <v>0</v>
      </c>
      <c r="O174" s="82">
        <f t="shared" si="144"/>
        <v>0</v>
      </c>
      <c r="P174" s="82">
        <f t="shared" si="144"/>
        <v>0</v>
      </c>
      <c r="Q174" s="82">
        <f t="shared" si="144"/>
        <v>0</v>
      </c>
      <c r="R174" s="82">
        <f t="shared" si="144"/>
        <v>0</v>
      </c>
      <c r="S174" s="82">
        <f t="shared" si="144"/>
        <v>0</v>
      </c>
      <c r="T174" s="82">
        <f t="shared" si="144"/>
        <v>0</v>
      </c>
      <c r="U174" s="82">
        <f t="shared" si="144"/>
        <v>0</v>
      </c>
      <c r="V174" s="82">
        <f t="shared" si="144"/>
        <v>0</v>
      </c>
      <c r="W174" s="82">
        <f t="shared" si="144"/>
        <v>0</v>
      </c>
      <c r="X174" s="82">
        <f t="shared" si="144"/>
        <v>0</v>
      </c>
      <c r="Y174" s="82">
        <f t="shared" si="144"/>
        <v>0</v>
      </c>
      <c r="Z174" s="82">
        <f t="shared" si="144"/>
        <v>0</v>
      </c>
      <c r="AA174" s="82">
        <f t="shared" si="144"/>
        <v>0</v>
      </c>
      <c r="AB174" s="82">
        <f t="shared" si="144"/>
        <v>0</v>
      </c>
      <c r="AC174" s="82">
        <f t="shared" si="144"/>
        <v>0</v>
      </c>
      <c r="AD174" s="82">
        <f t="shared" si="144"/>
        <v>0</v>
      </c>
      <c r="AE174" s="82">
        <f t="shared" si="144"/>
        <v>0</v>
      </c>
      <c r="AF174" s="82">
        <f t="shared" si="144"/>
        <v>0</v>
      </c>
      <c r="AG174" s="82">
        <f t="shared" si="144"/>
        <v>0</v>
      </c>
      <c r="AH174" s="82">
        <f t="shared" si="144"/>
        <v>0</v>
      </c>
      <c r="AI174" s="82">
        <f t="shared" si="144"/>
        <v>0</v>
      </c>
      <c r="AJ174" s="82">
        <f t="shared" si="144"/>
        <v>0</v>
      </c>
      <c r="AK174" s="82">
        <f t="shared" si="144"/>
        <v>0</v>
      </c>
      <c r="AL174" s="82">
        <f t="shared" si="144"/>
        <v>0</v>
      </c>
      <c r="AM174" s="82">
        <f t="shared" si="144"/>
        <v>0</v>
      </c>
      <c r="AN174" s="82">
        <f t="shared" si="144"/>
        <v>0</v>
      </c>
      <c r="AO174" s="623" t="s">
        <v>264</v>
      </c>
      <c r="AP174" s="648"/>
    </row>
    <row r="175" spans="1:42" ht="15.75" customHeight="1">
      <c r="A175" s="527"/>
      <c r="B175" s="42" t="s">
        <v>15</v>
      </c>
      <c r="C175" s="143"/>
      <c r="D175" s="143"/>
      <c r="E175" s="143"/>
      <c r="F175" s="143"/>
      <c r="G175" s="320"/>
      <c r="H175" s="321"/>
      <c r="I175" s="840"/>
      <c r="J175" s="540"/>
      <c r="K175" s="325"/>
      <c r="L175" s="47">
        <v>3750.02</v>
      </c>
      <c r="M175" s="47">
        <v>2630.03</v>
      </c>
      <c r="N175" s="47">
        <v>0</v>
      </c>
      <c r="O175" s="47">
        <v>0</v>
      </c>
      <c r="P175" s="47">
        <v>0</v>
      </c>
      <c r="Q175" s="50">
        <f>SUM(Q176:Q179)</f>
        <v>0</v>
      </c>
      <c r="R175" s="50">
        <f t="shared" ref="R175:W175" si="145">SUM(R176:R179)</f>
        <v>0</v>
      </c>
      <c r="S175" s="50">
        <f t="shared" si="145"/>
        <v>0</v>
      </c>
      <c r="T175" s="50">
        <f t="shared" si="145"/>
        <v>0</v>
      </c>
      <c r="U175" s="50">
        <f t="shared" si="145"/>
        <v>0</v>
      </c>
      <c r="V175" s="50">
        <f t="shared" si="145"/>
        <v>0</v>
      </c>
      <c r="W175" s="50">
        <f t="shared" si="145"/>
        <v>0</v>
      </c>
      <c r="X175" s="47">
        <v>0</v>
      </c>
      <c r="Y175" s="50">
        <f t="shared" ref="Y175:AI175" si="146">SUM(Y176:Y179)</f>
        <v>0</v>
      </c>
      <c r="Z175" s="50">
        <f t="shared" si="146"/>
        <v>0</v>
      </c>
      <c r="AA175" s="50">
        <f t="shared" si="146"/>
        <v>0</v>
      </c>
      <c r="AB175" s="50">
        <f t="shared" si="146"/>
        <v>0</v>
      </c>
      <c r="AC175" s="50">
        <f t="shared" si="146"/>
        <v>0</v>
      </c>
      <c r="AD175" s="50">
        <f t="shared" si="146"/>
        <v>0</v>
      </c>
      <c r="AE175" s="50">
        <f t="shared" si="146"/>
        <v>0</v>
      </c>
      <c r="AF175" s="50">
        <f t="shared" si="146"/>
        <v>0</v>
      </c>
      <c r="AG175" s="50">
        <f t="shared" si="146"/>
        <v>0</v>
      </c>
      <c r="AH175" s="50">
        <f t="shared" si="146"/>
        <v>0</v>
      </c>
      <c r="AI175" s="50">
        <f t="shared" si="146"/>
        <v>0</v>
      </c>
      <c r="AJ175" s="50">
        <v>0</v>
      </c>
      <c r="AK175" s="50">
        <v>0</v>
      </c>
      <c r="AL175" s="50">
        <v>0</v>
      </c>
      <c r="AM175" s="50">
        <v>0</v>
      </c>
      <c r="AN175" s="50">
        <v>0</v>
      </c>
      <c r="AO175" s="634"/>
      <c r="AP175" s="648"/>
    </row>
    <row r="176" spans="1:42" s="100" customFormat="1" ht="15.75" hidden="1" customHeight="1">
      <c r="A176" s="374"/>
      <c r="B176" s="257" t="s">
        <v>243</v>
      </c>
      <c r="C176" s="377"/>
      <c r="D176" s="377"/>
      <c r="E176" s="377"/>
      <c r="F176" s="377"/>
      <c r="G176" s="371"/>
      <c r="H176" s="372"/>
      <c r="I176" s="378"/>
      <c r="J176" s="379"/>
      <c r="K176" s="380"/>
      <c r="L176" s="99"/>
      <c r="M176" s="99"/>
      <c r="N176" s="99"/>
      <c r="O176" s="99"/>
      <c r="P176" s="47"/>
      <c r="Q176" s="268">
        <f>Y176</f>
        <v>0</v>
      </c>
      <c r="R176" s="268"/>
      <c r="S176" s="268"/>
      <c r="T176" s="268"/>
      <c r="U176" s="268"/>
      <c r="V176" s="268"/>
      <c r="W176" s="268"/>
      <c r="X176" s="268">
        <v>0</v>
      </c>
      <c r="Y176" s="268">
        <v>0</v>
      </c>
      <c r="Z176" s="268">
        <v>0</v>
      </c>
      <c r="AA176" s="268">
        <v>0</v>
      </c>
      <c r="AB176" s="268"/>
      <c r="AC176" s="268"/>
      <c r="AD176" s="268"/>
      <c r="AE176" s="268"/>
      <c r="AF176" s="268"/>
      <c r="AG176" s="268"/>
      <c r="AH176" s="268"/>
      <c r="AI176" s="268"/>
      <c r="AJ176" s="268"/>
      <c r="AK176" s="268"/>
      <c r="AL176" s="268"/>
      <c r="AM176" s="268"/>
      <c r="AN176" s="268"/>
      <c r="AO176" s="635"/>
      <c r="AP176" s="650"/>
    </row>
    <row r="177" spans="1:42" s="100" customFormat="1" ht="15.75" hidden="1" customHeight="1">
      <c r="A177" s="374"/>
      <c r="B177" s="257" t="s">
        <v>244</v>
      </c>
      <c r="C177" s="377"/>
      <c r="D177" s="377"/>
      <c r="E177" s="377"/>
      <c r="F177" s="377"/>
      <c r="G177" s="371"/>
      <c r="H177" s="372"/>
      <c r="I177" s="378"/>
      <c r="J177" s="379"/>
      <c r="K177" s="380"/>
      <c r="L177" s="99"/>
      <c r="M177" s="99"/>
      <c r="N177" s="99"/>
      <c r="O177" s="99"/>
      <c r="P177" s="47"/>
      <c r="Q177" s="268">
        <f t="shared" ref="Q177:Q179" si="147">Y177</f>
        <v>0</v>
      </c>
      <c r="R177" s="268"/>
      <c r="S177" s="268"/>
      <c r="T177" s="268"/>
      <c r="U177" s="268"/>
      <c r="V177" s="268"/>
      <c r="W177" s="268"/>
      <c r="X177" s="268">
        <v>0</v>
      </c>
      <c r="Y177" s="268">
        <v>0</v>
      </c>
      <c r="Z177" s="268">
        <v>0</v>
      </c>
      <c r="AA177" s="268">
        <v>0</v>
      </c>
      <c r="AB177" s="268"/>
      <c r="AC177" s="268"/>
      <c r="AD177" s="268"/>
      <c r="AE177" s="268"/>
      <c r="AF177" s="268"/>
      <c r="AG177" s="268"/>
      <c r="AH177" s="268"/>
      <c r="AI177" s="268"/>
      <c r="AJ177" s="268"/>
      <c r="AK177" s="268"/>
      <c r="AL177" s="268"/>
      <c r="AM177" s="268"/>
      <c r="AN177" s="268"/>
      <c r="AO177" s="635"/>
      <c r="AP177" s="650"/>
    </row>
    <row r="178" spans="1:42" s="100" customFormat="1" ht="15.75" hidden="1" customHeight="1">
      <c r="A178" s="374"/>
      <c r="B178" s="257" t="s">
        <v>239</v>
      </c>
      <c r="C178" s="377"/>
      <c r="D178" s="377"/>
      <c r="E178" s="377"/>
      <c r="F178" s="377"/>
      <c r="G178" s="371"/>
      <c r="H178" s="372"/>
      <c r="I178" s="378"/>
      <c r="J178" s="379"/>
      <c r="K178" s="380"/>
      <c r="L178" s="99"/>
      <c r="M178" s="99"/>
      <c r="N178" s="99"/>
      <c r="O178" s="99"/>
      <c r="P178" s="47"/>
      <c r="Q178" s="268">
        <f t="shared" si="147"/>
        <v>0</v>
      </c>
      <c r="R178" s="268"/>
      <c r="S178" s="268"/>
      <c r="T178" s="268"/>
      <c r="U178" s="268"/>
      <c r="V178" s="268"/>
      <c r="W178" s="268"/>
      <c r="X178" s="268">
        <v>0</v>
      </c>
      <c r="Y178" s="268">
        <v>0</v>
      </c>
      <c r="Z178" s="268">
        <v>0</v>
      </c>
      <c r="AA178" s="268">
        <v>0</v>
      </c>
      <c r="AB178" s="268"/>
      <c r="AC178" s="268"/>
      <c r="AD178" s="268"/>
      <c r="AE178" s="268"/>
      <c r="AF178" s="268"/>
      <c r="AG178" s="268"/>
      <c r="AH178" s="268"/>
      <c r="AI178" s="268"/>
      <c r="AJ178" s="268"/>
      <c r="AK178" s="268"/>
      <c r="AL178" s="268"/>
      <c r="AM178" s="268"/>
      <c r="AN178" s="268"/>
      <c r="AO178" s="635"/>
      <c r="AP178" s="650"/>
    </row>
    <row r="179" spans="1:42" s="100" customFormat="1" ht="15.75" hidden="1" customHeight="1">
      <c r="A179" s="374"/>
      <c r="B179" s="257" t="s">
        <v>242</v>
      </c>
      <c r="C179" s="377"/>
      <c r="D179" s="377"/>
      <c r="E179" s="377"/>
      <c r="F179" s="377"/>
      <c r="G179" s="371"/>
      <c r="H179" s="372"/>
      <c r="I179" s="378"/>
      <c r="J179" s="379"/>
      <c r="K179" s="380"/>
      <c r="L179" s="99"/>
      <c r="M179" s="99"/>
      <c r="N179" s="99"/>
      <c r="O179" s="99"/>
      <c r="P179" s="47"/>
      <c r="Q179" s="268">
        <f t="shared" si="147"/>
        <v>0</v>
      </c>
      <c r="R179" s="268"/>
      <c r="S179" s="268"/>
      <c r="T179" s="268"/>
      <c r="U179" s="268"/>
      <c r="V179" s="268"/>
      <c r="W179" s="268"/>
      <c r="X179" s="268">
        <v>0</v>
      </c>
      <c r="Y179" s="268">
        <v>0</v>
      </c>
      <c r="Z179" s="268">
        <v>0</v>
      </c>
      <c r="AA179" s="268">
        <v>0</v>
      </c>
      <c r="AB179" s="268"/>
      <c r="AC179" s="268"/>
      <c r="AD179" s="268"/>
      <c r="AE179" s="268"/>
      <c r="AF179" s="268"/>
      <c r="AG179" s="268"/>
      <c r="AH179" s="268"/>
      <c r="AI179" s="268"/>
      <c r="AJ179" s="268"/>
      <c r="AK179" s="268"/>
      <c r="AL179" s="268"/>
      <c r="AM179" s="268"/>
      <c r="AN179" s="268"/>
      <c r="AO179" s="635"/>
      <c r="AP179" s="650"/>
    </row>
    <row r="180" spans="1:42" ht="77.25" customHeight="1">
      <c r="A180" s="526" t="s">
        <v>183</v>
      </c>
      <c r="B180" s="80" t="s">
        <v>185</v>
      </c>
      <c r="C180" s="143"/>
      <c r="D180" s="143"/>
      <c r="E180" s="143"/>
      <c r="F180" s="143"/>
      <c r="G180" s="515"/>
      <c r="H180" s="515"/>
      <c r="I180" s="837" t="s">
        <v>186</v>
      </c>
      <c r="J180" s="540"/>
      <c r="K180" s="3"/>
      <c r="L180" s="82">
        <f>L181</f>
        <v>962.68</v>
      </c>
      <c r="M180" s="82">
        <f>M181</f>
        <v>403.33</v>
      </c>
      <c r="N180" s="82">
        <f t="shared" ref="N180:AN180" si="148">N181</f>
        <v>0</v>
      </c>
      <c r="O180" s="82">
        <f t="shared" si="148"/>
        <v>0</v>
      </c>
      <c r="P180" s="82">
        <f t="shared" si="148"/>
        <v>0</v>
      </c>
      <c r="Q180" s="82">
        <f t="shared" si="148"/>
        <v>0</v>
      </c>
      <c r="R180" s="82">
        <f t="shared" si="148"/>
        <v>0</v>
      </c>
      <c r="S180" s="82">
        <f t="shared" si="148"/>
        <v>0</v>
      </c>
      <c r="T180" s="82">
        <f t="shared" si="148"/>
        <v>0</v>
      </c>
      <c r="U180" s="82">
        <f t="shared" si="148"/>
        <v>0</v>
      </c>
      <c r="V180" s="82">
        <f t="shared" si="148"/>
        <v>0</v>
      </c>
      <c r="W180" s="82">
        <f t="shared" si="148"/>
        <v>0</v>
      </c>
      <c r="X180" s="82">
        <f t="shared" si="148"/>
        <v>0</v>
      </c>
      <c r="Y180" s="82">
        <f t="shared" si="148"/>
        <v>0</v>
      </c>
      <c r="Z180" s="82">
        <f t="shared" si="148"/>
        <v>0</v>
      </c>
      <c r="AA180" s="82">
        <f t="shared" si="148"/>
        <v>0</v>
      </c>
      <c r="AB180" s="82">
        <f t="shared" si="148"/>
        <v>0</v>
      </c>
      <c r="AC180" s="82">
        <f t="shared" si="148"/>
        <v>0</v>
      </c>
      <c r="AD180" s="82">
        <f t="shared" si="148"/>
        <v>0</v>
      </c>
      <c r="AE180" s="82">
        <f t="shared" si="148"/>
        <v>0</v>
      </c>
      <c r="AF180" s="82">
        <f t="shared" si="148"/>
        <v>0</v>
      </c>
      <c r="AG180" s="82">
        <f t="shared" si="148"/>
        <v>0</v>
      </c>
      <c r="AH180" s="82">
        <f t="shared" si="148"/>
        <v>0</v>
      </c>
      <c r="AI180" s="82">
        <f t="shared" si="148"/>
        <v>0</v>
      </c>
      <c r="AJ180" s="82">
        <f t="shared" si="148"/>
        <v>0</v>
      </c>
      <c r="AK180" s="82">
        <f t="shared" si="148"/>
        <v>0</v>
      </c>
      <c r="AL180" s="82">
        <f t="shared" si="148"/>
        <v>0</v>
      </c>
      <c r="AM180" s="82">
        <f t="shared" si="148"/>
        <v>0</v>
      </c>
      <c r="AN180" s="82">
        <f t="shared" si="148"/>
        <v>0</v>
      </c>
      <c r="AO180" s="620" t="s">
        <v>212</v>
      </c>
      <c r="AP180" s="648"/>
    </row>
    <row r="181" spans="1:42" ht="15.75" customHeight="1">
      <c r="A181" s="527"/>
      <c r="B181" s="42" t="s">
        <v>15</v>
      </c>
      <c r="C181" s="143"/>
      <c r="D181" s="143"/>
      <c r="E181" s="143"/>
      <c r="F181" s="143"/>
      <c r="G181" s="320"/>
      <c r="H181" s="321"/>
      <c r="I181" s="840"/>
      <c r="J181" s="540"/>
      <c r="K181" s="325"/>
      <c r="L181" s="47">
        <v>962.68</v>
      </c>
      <c r="M181" s="47">
        <v>403.33</v>
      </c>
      <c r="N181" s="47">
        <v>0</v>
      </c>
      <c r="O181" s="50">
        <v>0</v>
      </c>
      <c r="P181" s="50">
        <v>0</v>
      </c>
      <c r="Q181" s="50">
        <v>0</v>
      </c>
      <c r="R181" s="50">
        <v>0</v>
      </c>
      <c r="S181" s="50">
        <v>0</v>
      </c>
      <c r="T181" s="50">
        <v>0</v>
      </c>
      <c r="U181" s="50">
        <v>0</v>
      </c>
      <c r="V181" s="50">
        <v>0</v>
      </c>
      <c r="W181" s="50">
        <v>0</v>
      </c>
      <c r="X181" s="50">
        <v>0</v>
      </c>
      <c r="Y181" s="50">
        <v>0</v>
      </c>
      <c r="Z181" s="50">
        <v>0</v>
      </c>
      <c r="AA181" s="50">
        <v>0</v>
      </c>
      <c r="AB181" s="50">
        <v>0</v>
      </c>
      <c r="AC181" s="50">
        <v>0</v>
      </c>
      <c r="AD181" s="50">
        <v>0</v>
      </c>
      <c r="AE181" s="50">
        <v>0</v>
      </c>
      <c r="AF181" s="50">
        <v>0</v>
      </c>
      <c r="AG181" s="50">
        <v>0</v>
      </c>
      <c r="AH181" s="50">
        <v>0</v>
      </c>
      <c r="AI181" s="50">
        <v>0</v>
      </c>
      <c r="AJ181" s="50">
        <v>0</v>
      </c>
      <c r="AK181" s="50">
        <v>0</v>
      </c>
      <c r="AL181" s="50">
        <v>0</v>
      </c>
      <c r="AM181" s="50">
        <v>0</v>
      </c>
      <c r="AN181" s="50">
        <v>0</v>
      </c>
      <c r="AO181" s="636"/>
      <c r="AP181" s="648"/>
    </row>
    <row r="182" spans="1:42" ht="27.75" customHeight="1">
      <c r="A182" s="526" t="s">
        <v>184</v>
      </c>
      <c r="B182" s="80" t="s">
        <v>187</v>
      </c>
      <c r="C182" s="143"/>
      <c r="D182" s="143"/>
      <c r="E182" s="143"/>
      <c r="F182" s="143"/>
      <c r="G182" s="515"/>
      <c r="H182" s="515"/>
      <c r="I182" s="837" t="s">
        <v>186</v>
      </c>
      <c r="J182" s="540"/>
      <c r="K182" s="3"/>
      <c r="L182" s="82">
        <f>L183</f>
        <v>1342.77</v>
      </c>
      <c r="M182" s="82">
        <f>M183</f>
        <v>1246.77</v>
      </c>
      <c r="N182" s="82">
        <f t="shared" ref="N182:AN182" si="149">N183</f>
        <v>0</v>
      </c>
      <c r="O182" s="82">
        <f t="shared" si="149"/>
        <v>0</v>
      </c>
      <c r="P182" s="82">
        <f t="shared" si="149"/>
        <v>0</v>
      </c>
      <c r="Q182" s="82">
        <f t="shared" si="149"/>
        <v>0</v>
      </c>
      <c r="R182" s="82">
        <f t="shared" si="149"/>
        <v>0</v>
      </c>
      <c r="S182" s="82">
        <f t="shared" si="149"/>
        <v>0</v>
      </c>
      <c r="T182" s="82">
        <f t="shared" si="149"/>
        <v>0</v>
      </c>
      <c r="U182" s="82">
        <f t="shared" si="149"/>
        <v>0</v>
      </c>
      <c r="V182" s="82">
        <f t="shared" si="149"/>
        <v>0</v>
      </c>
      <c r="W182" s="82">
        <f t="shared" si="149"/>
        <v>0</v>
      </c>
      <c r="X182" s="82">
        <f t="shared" si="149"/>
        <v>0</v>
      </c>
      <c r="Y182" s="82">
        <f t="shared" si="149"/>
        <v>0</v>
      </c>
      <c r="Z182" s="82">
        <f t="shared" si="149"/>
        <v>0</v>
      </c>
      <c r="AA182" s="82">
        <f t="shared" si="149"/>
        <v>0</v>
      </c>
      <c r="AB182" s="82">
        <f t="shared" si="149"/>
        <v>0</v>
      </c>
      <c r="AC182" s="82">
        <f t="shared" si="149"/>
        <v>0</v>
      </c>
      <c r="AD182" s="82">
        <f t="shared" si="149"/>
        <v>0</v>
      </c>
      <c r="AE182" s="82">
        <f t="shared" si="149"/>
        <v>0</v>
      </c>
      <c r="AF182" s="82">
        <f t="shared" si="149"/>
        <v>0</v>
      </c>
      <c r="AG182" s="82">
        <f t="shared" si="149"/>
        <v>0</v>
      </c>
      <c r="AH182" s="82">
        <f t="shared" si="149"/>
        <v>0</v>
      </c>
      <c r="AI182" s="82">
        <f t="shared" si="149"/>
        <v>0</v>
      </c>
      <c r="AJ182" s="82">
        <f t="shared" si="149"/>
        <v>0</v>
      </c>
      <c r="AK182" s="82">
        <f t="shared" si="149"/>
        <v>0</v>
      </c>
      <c r="AL182" s="82">
        <f t="shared" si="149"/>
        <v>0</v>
      </c>
      <c r="AM182" s="82">
        <f t="shared" si="149"/>
        <v>0</v>
      </c>
      <c r="AN182" s="82">
        <f t="shared" si="149"/>
        <v>0</v>
      </c>
      <c r="AO182" s="620" t="s">
        <v>212</v>
      </c>
      <c r="AP182" s="648"/>
    </row>
    <row r="183" spans="1:42" ht="15.75" customHeight="1">
      <c r="A183" s="527"/>
      <c r="B183" s="42" t="s">
        <v>15</v>
      </c>
      <c r="C183" s="143"/>
      <c r="D183" s="143"/>
      <c r="E183" s="143"/>
      <c r="F183" s="143"/>
      <c r="G183" s="320"/>
      <c r="H183" s="321"/>
      <c r="I183" s="840"/>
      <c r="J183" s="540"/>
      <c r="K183" s="325"/>
      <c r="L183" s="47">
        <v>1342.77</v>
      </c>
      <c r="M183" s="47">
        <v>1246.77</v>
      </c>
      <c r="N183" s="50">
        <v>0</v>
      </c>
      <c r="O183" s="50">
        <v>0</v>
      </c>
      <c r="P183" s="47">
        <v>0</v>
      </c>
      <c r="Q183" s="50">
        <v>0</v>
      </c>
      <c r="R183" s="50">
        <v>0</v>
      </c>
      <c r="S183" s="50">
        <v>0</v>
      </c>
      <c r="T183" s="50">
        <v>0</v>
      </c>
      <c r="U183" s="50">
        <v>0</v>
      </c>
      <c r="V183" s="50">
        <v>0</v>
      </c>
      <c r="W183" s="50">
        <v>0</v>
      </c>
      <c r="X183" s="47">
        <v>0</v>
      </c>
      <c r="Y183" s="50">
        <v>0</v>
      </c>
      <c r="Z183" s="50">
        <v>0</v>
      </c>
      <c r="AA183" s="50">
        <v>0</v>
      </c>
      <c r="AB183" s="50">
        <v>0</v>
      </c>
      <c r="AC183" s="50">
        <v>0</v>
      </c>
      <c r="AD183" s="50">
        <v>0</v>
      </c>
      <c r="AE183" s="50">
        <v>0</v>
      </c>
      <c r="AF183" s="50">
        <v>0</v>
      </c>
      <c r="AG183" s="50">
        <v>0</v>
      </c>
      <c r="AH183" s="50">
        <v>0</v>
      </c>
      <c r="AI183" s="50">
        <v>0</v>
      </c>
      <c r="AJ183" s="50">
        <v>0</v>
      </c>
      <c r="AK183" s="50">
        <v>0</v>
      </c>
      <c r="AL183" s="50">
        <v>0</v>
      </c>
      <c r="AM183" s="50">
        <v>0</v>
      </c>
      <c r="AN183" s="50">
        <v>0</v>
      </c>
      <c r="AO183" s="634"/>
      <c r="AP183" s="648"/>
    </row>
    <row r="184" spans="1:42" ht="54" customHeight="1">
      <c r="A184" s="833" t="s">
        <v>31</v>
      </c>
      <c r="B184" s="889" t="s">
        <v>213</v>
      </c>
      <c r="C184" s="890"/>
      <c r="D184" s="890"/>
      <c r="E184" s="890"/>
      <c r="F184" s="890"/>
      <c r="G184" s="890"/>
      <c r="H184" s="891"/>
      <c r="I184" s="15" t="s">
        <v>19</v>
      </c>
      <c r="J184" s="517">
        <v>0</v>
      </c>
      <c r="K184" s="517">
        <v>0</v>
      </c>
      <c r="L184" s="16">
        <f t="shared" ref="L184:L187" si="150">M184+N184+O184</f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  <c r="V184" s="22">
        <v>0</v>
      </c>
      <c r="W184" s="22">
        <v>0</v>
      </c>
      <c r="X184" s="22">
        <v>0</v>
      </c>
      <c r="Y184" s="22">
        <v>0</v>
      </c>
      <c r="Z184" s="22">
        <v>0</v>
      </c>
      <c r="AA184" s="22">
        <v>0</v>
      </c>
      <c r="AB184" s="22">
        <v>0</v>
      </c>
      <c r="AC184" s="22">
        <v>0</v>
      </c>
      <c r="AD184" s="22">
        <v>0</v>
      </c>
      <c r="AE184" s="22">
        <v>0</v>
      </c>
      <c r="AF184" s="22">
        <v>0</v>
      </c>
      <c r="AG184" s="22">
        <v>0</v>
      </c>
      <c r="AH184" s="22">
        <v>0</v>
      </c>
      <c r="AI184" s="22">
        <v>0</v>
      </c>
      <c r="AJ184" s="22">
        <v>0</v>
      </c>
      <c r="AK184" s="22">
        <v>0</v>
      </c>
      <c r="AL184" s="22">
        <v>0</v>
      </c>
      <c r="AM184" s="22">
        <v>0</v>
      </c>
      <c r="AN184" s="22">
        <v>0</v>
      </c>
      <c r="AO184" s="609"/>
      <c r="AP184" s="648"/>
    </row>
    <row r="185" spans="1:42" ht="39.75" customHeight="1">
      <c r="A185" s="834"/>
      <c r="B185" s="892"/>
      <c r="C185" s="893"/>
      <c r="D185" s="893"/>
      <c r="E185" s="893"/>
      <c r="F185" s="893"/>
      <c r="G185" s="893"/>
      <c r="H185" s="894"/>
      <c r="I185" s="15" t="s">
        <v>20</v>
      </c>
      <c r="J185" s="517">
        <f>K185+L185</f>
        <v>6696.7899999999991</v>
      </c>
      <c r="K185" s="517">
        <f>K188+K203+K206+K212</f>
        <v>0</v>
      </c>
      <c r="L185" s="16">
        <f>L188</f>
        <v>6696.7899999999991</v>
      </c>
      <c r="M185" s="22">
        <f>M188</f>
        <v>0</v>
      </c>
      <c r="N185" s="22">
        <f t="shared" ref="N185:AD185" si="151">N188</f>
        <v>2081.9299999999998</v>
      </c>
      <c r="O185" s="22">
        <f t="shared" si="151"/>
        <v>4372.5</v>
      </c>
      <c r="P185" s="22">
        <f t="shared" si="151"/>
        <v>2081.9299999999998</v>
      </c>
      <c r="Q185" s="22">
        <f t="shared" si="151"/>
        <v>810</v>
      </c>
      <c r="R185" s="22">
        <f t="shared" si="151"/>
        <v>270</v>
      </c>
      <c r="S185" s="22">
        <f t="shared" si="151"/>
        <v>270</v>
      </c>
      <c r="T185" s="22">
        <f t="shared" si="151"/>
        <v>540</v>
      </c>
      <c r="U185" s="22">
        <f t="shared" si="151"/>
        <v>540</v>
      </c>
      <c r="V185" s="22">
        <f t="shared" si="151"/>
        <v>0</v>
      </c>
      <c r="W185" s="22">
        <f t="shared" si="151"/>
        <v>0</v>
      </c>
      <c r="X185" s="22">
        <f t="shared" si="151"/>
        <v>0</v>
      </c>
      <c r="Y185" s="22">
        <f t="shared" si="151"/>
        <v>0</v>
      </c>
      <c r="Z185" s="22">
        <f t="shared" si="151"/>
        <v>810</v>
      </c>
      <c r="AA185" s="22">
        <f t="shared" si="151"/>
        <v>810</v>
      </c>
      <c r="AB185" s="22">
        <f t="shared" si="151"/>
        <v>0</v>
      </c>
      <c r="AC185" s="22">
        <f t="shared" si="151"/>
        <v>0</v>
      </c>
      <c r="AD185" s="22">
        <f t="shared" si="151"/>
        <v>0</v>
      </c>
      <c r="AE185" s="22">
        <f t="shared" ref="AE185:AN185" si="152">AE188+AE203+AE206+AE212+AE214</f>
        <v>26166.241999999998</v>
      </c>
      <c r="AF185" s="22">
        <f t="shared" si="152"/>
        <v>0</v>
      </c>
      <c r="AG185" s="22">
        <f t="shared" si="152"/>
        <v>26166.241999999998</v>
      </c>
      <c r="AH185" s="22">
        <f t="shared" si="152"/>
        <v>0</v>
      </c>
      <c r="AI185" s="22">
        <f t="shared" si="152"/>
        <v>0</v>
      </c>
      <c r="AJ185" s="22">
        <f t="shared" si="152"/>
        <v>42197.321000000004</v>
      </c>
      <c r="AK185" s="22">
        <f t="shared" si="152"/>
        <v>42197.321000000004</v>
      </c>
      <c r="AL185" s="22">
        <f t="shared" si="152"/>
        <v>38.94</v>
      </c>
      <c r="AM185" s="22">
        <f t="shared" si="152"/>
        <v>0</v>
      </c>
      <c r="AN185" s="22">
        <f t="shared" si="152"/>
        <v>0</v>
      </c>
      <c r="AO185" s="609"/>
      <c r="AP185" s="648"/>
    </row>
    <row r="186" spans="1:42" ht="26.25" customHeight="1">
      <c r="A186" s="834"/>
      <c r="B186" s="892"/>
      <c r="C186" s="893"/>
      <c r="D186" s="893"/>
      <c r="E186" s="893"/>
      <c r="F186" s="893"/>
      <c r="G186" s="893"/>
      <c r="H186" s="894"/>
      <c r="I186" s="15" t="s">
        <v>10</v>
      </c>
      <c r="J186" s="517">
        <v>0</v>
      </c>
      <c r="K186" s="517">
        <v>0</v>
      </c>
      <c r="L186" s="16">
        <f t="shared" si="150"/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  <c r="V186" s="22">
        <v>0</v>
      </c>
      <c r="W186" s="22">
        <v>0</v>
      </c>
      <c r="X186" s="22">
        <v>0</v>
      </c>
      <c r="Y186" s="22">
        <v>0</v>
      </c>
      <c r="Z186" s="22">
        <v>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22">
        <v>0</v>
      </c>
      <c r="AG186" s="22">
        <v>0</v>
      </c>
      <c r="AH186" s="22">
        <v>0</v>
      </c>
      <c r="AI186" s="22">
        <v>0</v>
      </c>
      <c r="AJ186" s="22">
        <v>0</v>
      </c>
      <c r="AK186" s="22">
        <v>0</v>
      </c>
      <c r="AL186" s="22">
        <v>0</v>
      </c>
      <c r="AM186" s="22">
        <v>0</v>
      </c>
      <c r="AN186" s="22">
        <v>0</v>
      </c>
      <c r="AO186" s="609"/>
      <c r="AP186" s="648"/>
    </row>
    <row r="187" spans="1:42" ht="25.5">
      <c r="A187" s="835"/>
      <c r="B187" s="895"/>
      <c r="C187" s="896"/>
      <c r="D187" s="896"/>
      <c r="E187" s="896"/>
      <c r="F187" s="896"/>
      <c r="G187" s="896"/>
      <c r="H187" s="897"/>
      <c r="I187" s="15" t="s">
        <v>9</v>
      </c>
      <c r="J187" s="517">
        <v>0</v>
      </c>
      <c r="K187" s="517">
        <v>0</v>
      </c>
      <c r="L187" s="16">
        <f t="shared" si="150"/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  <c r="V187" s="22">
        <v>0</v>
      </c>
      <c r="W187" s="22">
        <v>0</v>
      </c>
      <c r="X187" s="22">
        <v>0</v>
      </c>
      <c r="Y187" s="22">
        <v>0</v>
      </c>
      <c r="Z187" s="22">
        <v>0</v>
      </c>
      <c r="AA187" s="22">
        <v>0</v>
      </c>
      <c r="AB187" s="22">
        <v>0</v>
      </c>
      <c r="AC187" s="22">
        <v>0</v>
      </c>
      <c r="AD187" s="22">
        <v>0</v>
      </c>
      <c r="AE187" s="22">
        <v>0</v>
      </c>
      <c r="AF187" s="22">
        <v>0</v>
      </c>
      <c r="AG187" s="22">
        <v>0</v>
      </c>
      <c r="AH187" s="22">
        <v>0</v>
      </c>
      <c r="AI187" s="22">
        <v>0</v>
      </c>
      <c r="AJ187" s="22">
        <v>0</v>
      </c>
      <c r="AK187" s="22">
        <v>0</v>
      </c>
      <c r="AL187" s="22">
        <v>0</v>
      </c>
      <c r="AM187" s="22">
        <v>0</v>
      </c>
      <c r="AN187" s="22">
        <v>0</v>
      </c>
      <c r="AO187" s="609"/>
      <c r="AP187" s="648"/>
    </row>
    <row r="188" spans="1:42" ht="40.5" customHeight="1">
      <c r="A188" s="945" t="s">
        <v>50</v>
      </c>
      <c r="B188" s="87" t="s">
        <v>188</v>
      </c>
      <c r="C188" s="817"/>
      <c r="D188" s="815"/>
      <c r="E188" s="815"/>
      <c r="F188" s="898">
        <v>150000</v>
      </c>
      <c r="G188" s="820">
        <v>2019</v>
      </c>
      <c r="H188" s="820">
        <v>2019</v>
      </c>
      <c r="I188" s="820" t="s">
        <v>20</v>
      </c>
      <c r="J188" s="906">
        <v>4914.5600000000004</v>
      </c>
      <c r="K188" s="3"/>
      <c r="L188" s="82">
        <f>L191+L189</f>
        <v>6696.7899999999991</v>
      </c>
      <c r="M188" s="82">
        <f>M191+M189</f>
        <v>0</v>
      </c>
      <c r="N188" s="82">
        <f t="shared" ref="N188:P188" si="153">N191+N189</f>
        <v>2081.9299999999998</v>
      </c>
      <c r="O188" s="82">
        <f t="shared" si="153"/>
        <v>4372.5</v>
      </c>
      <c r="P188" s="82">
        <f t="shared" si="153"/>
        <v>2081.9299999999998</v>
      </c>
      <c r="Q188" s="82">
        <f>Q191+Q189</f>
        <v>810</v>
      </c>
      <c r="R188" s="82">
        <f t="shared" ref="R188:AI188" si="154">R191+R189</f>
        <v>270</v>
      </c>
      <c r="S188" s="82">
        <f t="shared" si="154"/>
        <v>270</v>
      </c>
      <c r="T188" s="82">
        <f t="shared" si="154"/>
        <v>540</v>
      </c>
      <c r="U188" s="82">
        <f t="shared" si="154"/>
        <v>540</v>
      </c>
      <c r="V188" s="82">
        <f t="shared" si="154"/>
        <v>0</v>
      </c>
      <c r="W188" s="82">
        <f t="shared" si="154"/>
        <v>0</v>
      </c>
      <c r="X188" s="82">
        <f t="shared" si="154"/>
        <v>0</v>
      </c>
      <c r="Y188" s="82">
        <f t="shared" si="154"/>
        <v>0</v>
      </c>
      <c r="Z188" s="82">
        <f t="shared" si="154"/>
        <v>810</v>
      </c>
      <c r="AA188" s="82">
        <f t="shared" si="154"/>
        <v>810</v>
      </c>
      <c r="AB188" s="82">
        <f t="shared" si="154"/>
        <v>0</v>
      </c>
      <c r="AC188" s="82">
        <f t="shared" si="154"/>
        <v>0</v>
      </c>
      <c r="AD188" s="82">
        <f t="shared" si="154"/>
        <v>0</v>
      </c>
      <c r="AE188" s="82">
        <f t="shared" si="154"/>
        <v>0</v>
      </c>
      <c r="AF188" s="82">
        <f t="shared" si="154"/>
        <v>0</v>
      </c>
      <c r="AG188" s="82">
        <f t="shared" si="154"/>
        <v>0</v>
      </c>
      <c r="AH188" s="82">
        <f t="shared" si="154"/>
        <v>0</v>
      </c>
      <c r="AI188" s="82">
        <f t="shared" si="154"/>
        <v>0</v>
      </c>
      <c r="AJ188" s="82">
        <f>P188-Q188</f>
        <v>1271.9299999999998</v>
      </c>
      <c r="AK188" s="82">
        <f>AJ188</f>
        <v>1271.9299999999998</v>
      </c>
      <c r="AL188" s="79">
        <f>ROUND((Q188*100%/P188*100),2)</f>
        <v>38.909999999999997</v>
      </c>
      <c r="AM188" s="82">
        <f t="shared" ref="AM188:AN188" si="155">AM191</f>
        <v>0</v>
      </c>
      <c r="AN188" s="82">
        <f t="shared" si="155"/>
        <v>0</v>
      </c>
      <c r="AO188" s="623" t="s">
        <v>281</v>
      </c>
      <c r="AP188" s="1060"/>
    </row>
    <row r="189" spans="1:42" s="292" customFormat="1" ht="19.5" customHeight="1">
      <c r="A189" s="946"/>
      <c r="B189" s="1" t="s">
        <v>15</v>
      </c>
      <c r="C189" s="818"/>
      <c r="D189" s="816"/>
      <c r="E189" s="816"/>
      <c r="F189" s="899"/>
      <c r="G189" s="822"/>
      <c r="H189" s="822"/>
      <c r="I189" s="822"/>
      <c r="J189" s="907"/>
      <c r="K189" s="47"/>
      <c r="L189" s="47">
        <f>SUM(M189:O189)</f>
        <v>2081.9299999999998</v>
      </c>
      <c r="M189" s="4">
        <v>0</v>
      </c>
      <c r="N189" s="4">
        <v>2081.9299999999998</v>
      </c>
      <c r="O189" s="4">
        <f t="shared" ref="O189:AN189" si="156">O190</f>
        <v>0</v>
      </c>
      <c r="P189" s="4">
        <f>N189</f>
        <v>2081.9299999999998</v>
      </c>
      <c r="Q189" s="4">
        <f t="shared" si="156"/>
        <v>810</v>
      </c>
      <c r="R189" s="4">
        <f t="shared" si="156"/>
        <v>270</v>
      </c>
      <c r="S189" s="4">
        <f t="shared" si="156"/>
        <v>270</v>
      </c>
      <c r="T189" s="4">
        <f t="shared" si="156"/>
        <v>540</v>
      </c>
      <c r="U189" s="4">
        <f t="shared" si="156"/>
        <v>540</v>
      </c>
      <c r="V189" s="4">
        <f t="shared" si="156"/>
        <v>0</v>
      </c>
      <c r="W189" s="4">
        <f t="shared" si="156"/>
        <v>0</v>
      </c>
      <c r="X189" s="4">
        <f t="shared" si="156"/>
        <v>0</v>
      </c>
      <c r="Y189" s="4">
        <f t="shared" si="156"/>
        <v>0</v>
      </c>
      <c r="Z189" s="4">
        <f t="shared" si="156"/>
        <v>810</v>
      </c>
      <c r="AA189" s="4">
        <f t="shared" si="156"/>
        <v>810</v>
      </c>
      <c r="AB189" s="4">
        <f t="shared" si="156"/>
        <v>0</v>
      </c>
      <c r="AC189" s="4">
        <f t="shared" si="156"/>
        <v>0</v>
      </c>
      <c r="AD189" s="4">
        <f t="shared" si="156"/>
        <v>0</v>
      </c>
      <c r="AE189" s="4">
        <f t="shared" si="156"/>
        <v>0</v>
      </c>
      <c r="AF189" s="4">
        <f t="shared" si="156"/>
        <v>0</v>
      </c>
      <c r="AG189" s="4">
        <v>0</v>
      </c>
      <c r="AH189" s="4">
        <v>0</v>
      </c>
      <c r="AI189" s="4">
        <v>0</v>
      </c>
      <c r="AJ189" s="4">
        <f t="shared" si="156"/>
        <v>0</v>
      </c>
      <c r="AK189" s="4">
        <f t="shared" si="156"/>
        <v>0</v>
      </c>
      <c r="AL189" s="4">
        <f t="shared" si="156"/>
        <v>0</v>
      </c>
      <c r="AM189" s="4">
        <f t="shared" si="156"/>
        <v>0</v>
      </c>
      <c r="AN189" s="4">
        <f t="shared" si="156"/>
        <v>0</v>
      </c>
      <c r="AO189" s="615"/>
      <c r="AP189" s="1061"/>
    </row>
    <row r="190" spans="1:42" s="273" customFormat="1" ht="15" hidden="1" customHeight="1">
      <c r="A190" s="946"/>
      <c r="B190" s="95" t="s">
        <v>258</v>
      </c>
      <c r="C190" s="818"/>
      <c r="D190" s="816"/>
      <c r="E190" s="816"/>
      <c r="F190" s="899"/>
      <c r="G190" s="822"/>
      <c r="H190" s="822"/>
      <c r="I190" s="822"/>
      <c r="J190" s="907"/>
      <c r="K190" s="98"/>
      <c r="L190" s="99">
        <f t="shared" ref="L190" si="157">SUM(M190:O190)</f>
        <v>0</v>
      </c>
      <c r="M190" s="275">
        <v>0</v>
      </c>
      <c r="N190" s="268"/>
      <c r="O190" s="268"/>
      <c r="P190" s="50"/>
      <c r="Q190" s="268">
        <f>S190+U190</f>
        <v>810</v>
      </c>
      <c r="R190" s="268">
        <f>S190</f>
        <v>270</v>
      </c>
      <c r="S190" s="268">
        <v>270</v>
      </c>
      <c r="T190" s="268">
        <v>540</v>
      </c>
      <c r="U190" s="268">
        <v>540</v>
      </c>
      <c r="V190" s="268">
        <v>0</v>
      </c>
      <c r="W190" s="268">
        <v>0</v>
      </c>
      <c r="X190" s="268">
        <v>0</v>
      </c>
      <c r="Y190" s="268">
        <v>0</v>
      </c>
      <c r="Z190" s="268">
        <f>AA190</f>
        <v>810</v>
      </c>
      <c r="AA190" s="268">
        <v>810</v>
      </c>
      <c r="AB190" s="268">
        <v>0</v>
      </c>
      <c r="AC190" s="268"/>
      <c r="AD190" s="268"/>
      <c r="AE190" s="268"/>
      <c r="AF190" s="268"/>
      <c r="AG190" s="268"/>
      <c r="AH190" s="268"/>
      <c r="AI190" s="268"/>
      <c r="AJ190" s="268"/>
      <c r="AK190" s="268"/>
      <c r="AL190" s="268"/>
      <c r="AM190" s="268"/>
      <c r="AN190" s="268"/>
      <c r="AO190" s="635"/>
      <c r="AP190" s="1061"/>
    </row>
    <row r="191" spans="1:42" ht="18" customHeight="1">
      <c r="A191" s="947"/>
      <c r="B191" s="5" t="s">
        <v>16</v>
      </c>
      <c r="C191" s="819"/>
      <c r="D191" s="819"/>
      <c r="E191" s="816"/>
      <c r="F191" s="909"/>
      <c r="G191" s="822"/>
      <c r="H191" s="822"/>
      <c r="I191" s="822"/>
      <c r="J191" s="908"/>
      <c r="K191" s="47">
        <v>0</v>
      </c>
      <c r="L191" s="47">
        <v>4614.8599999999997</v>
      </c>
      <c r="M191" s="4">
        <v>0</v>
      </c>
      <c r="N191" s="4">
        <v>0</v>
      </c>
      <c r="O191" s="4">
        <v>4372.5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4">
        <v>0</v>
      </c>
      <c r="AK191" s="4">
        <v>0</v>
      </c>
      <c r="AL191" s="4">
        <v>0</v>
      </c>
      <c r="AM191" s="4">
        <v>0</v>
      </c>
      <c r="AN191" s="4">
        <v>0</v>
      </c>
      <c r="AO191" s="615"/>
      <c r="AP191" s="1062"/>
    </row>
    <row r="192" spans="1:42" ht="54" customHeight="1">
      <c r="A192" s="833" t="s">
        <v>139</v>
      </c>
      <c r="B192" s="889" t="s">
        <v>214</v>
      </c>
      <c r="C192" s="890"/>
      <c r="D192" s="890"/>
      <c r="E192" s="890"/>
      <c r="F192" s="890"/>
      <c r="G192" s="890"/>
      <c r="H192" s="891"/>
      <c r="I192" s="15" t="s">
        <v>19</v>
      </c>
      <c r="J192" s="517">
        <v>0</v>
      </c>
      <c r="K192" s="517">
        <v>0</v>
      </c>
      <c r="L192" s="22">
        <f t="shared" ref="L192" si="158">M192+N192+O192</f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  <c r="V192" s="22">
        <v>0</v>
      </c>
      <c r="W192" s="22">
        <v>0</v>
      </c>
      <c r="X192" s="22">
        <v>0</v>
      </c>
      <c r="Y192" s="22">
        <v>0</v>
      </c>
      <c r="Z192" s="22">
        <v>0</v>
      </c>
      <c r="AA192" s="22">
        <v>0</v>
      </c>
      <c r="AB192" s="22">
        <v>0</v>
      </c>
      <c r="AC192" s="22">
        <v>0</v>
      </c>
      <c r="AD192" s="22">
        <v>0</v>
      </c>
      <c r="AE192" s="22">
        <v>0</v>
      </c>
      <c r="AF192" s="22">
        <v>0</v>
      </c>
      <c r="AG192" s="22">
        <v>0</v>
      </c>
      <c r="AH192" s="22">
        <v>0</v>
      </c>
      <c r="AI192" s="22">
        <v>0</v>
      </c>
      <c r="AJ192" s="22">
        <v>0</v>
      </c>
      <c r="AK192" s="22">
        <v>0</v>
      </c>
      <c r="AL192" s="22">
        <v>0</v>
      </c>
      <c r="AM192" s="22">
        <v>0</v>
      </c>
      <c r="AN192" s="22">
        <v>0</v>
      </c>
      <c r="AO192" s="609"/>
      <c r="AP192" s="648"/>
    </row>
    <row r="193" spans="1:42" ht="39.75" customHeight="1">
      <c r="A193" s="834"/>
      <c r="B193" s="892"/>
      <c r="C193" s="893"/>
      <c r="D193" s="893"/>
      <c r="E193" s="893"/>
      <c r="F193" s="893"/>
      <c r="G193" s="893"/>
      <c r="H193" s="894"/>
      <c r="I193" s="15" t="s">
        <v>20</v>
      </c>
      <c r="J193" s="517" t="e">
        <f>K193+L193</f>
        <v>#REF!</v>
      </c>
      <c r="K193" s="517" t="e">
        <f>#REF!+K234+K241+K242</f>
        <v>#REF!</v>
      </c>
      <c r="L193" s="47">
        <f>L196+L198++L203+L207+L212+L214+L218+L223+L230+L234</f>
        <v>333768.50999999995</v>
      </c>
      <c r="M193" s="47">
        <f t="shared" ref="M193:AL193" si="159">M196+M198++M203+M207+M212+M214+M218+M223+M230+M234</f>
        <v>31936.59</v>
      </c>
      <c r="N193" s="47">
        <f t="shared" si="159"/>
        <v>80827.610000000015</v>
      </c>
      <c r="O193" s="47">
        <f t="shared" si="159"/>
        <v>46251.09</v>
      </c>
      <c r="P193" s="47">
        <f t="shared" si="159"/>
        <v>80827.610000000015</v>
      </c>
      <c r="Q193" s="22">
        <f t="shared" si="159"/>
        <v>13492.993</v>
      </c>
      <c r="R193" s="22">
        <f t="shared" si="159"/>
        <v>2790.4500000000003</v>
      </c>
      <c r="S193" s="22">
        <f t="shared" si="159"/>
        <v>2790.4500000000003</v>
      </c>
      <c r="T193" s="22">
        <f t="shared" si="159"/>
        <v>5251.1220000000003</v>
      </c>
      <c r="U193" s="22">
        <f t="shared" si="159"/>
        <v>5251.1220000000003</v>
      </c>
      <c r="V193" s="22">
        <f t="shared" si="159"/>
        <v>4419.8019999999997</v>
      </c>
      <c r="W193" s="22">
        <f t="shared" si="159"/>
        <v>4419.8019999999997</v>
      </c>
      <c r="X193" s="22">
        <f t="shared" si="159"/>
        <v>1000</v>
      </c>
      <c r="Y193" s="22">
        <f t="shared" si="159"/>
        <v>1031.6190000000001</v>
      </c>
      <c r="Z193" s="22">
        <f t="shared" si="159"/>
        <v>9791.1879999999983</v>
      </c>
      <c r="AA193" s="22">
        <f t="shared" si="159"/>
        <v>1165.77</v>
      </c>
      <c r="AB193" s="22">
        <f t="shared" si="159"/>
        <v>5358.8769999999995</v>
      </c>
      <c r="AC193" s="22">
        <f t="shared" si="159"/>
        <v>1504.922</v>
      </c>
      <c r="AD193" s="22">
        <f t="shared" si="159"/>
        <v>1761.6189999999999</v>
      </c>
      <c r="AE193" s="22">
        <f t="shared" si="159"/>
        <v>26166.241999999998</v>
      </c>
      <c r="AF193" s="22">
        <f t="shared" si="159"/>
        <v>0</v>
      </c>
      <c r="AG193" s="22">
        <f t="shared" si="159"/>
        <v>26166.241999999998</v>
      </c>
      <c r="AH193" s="22">
        <f t="shared" si="159"/>
        <v>0</v>
      </c>
      <c r="AI193" s="22">
        <f t="shared" si="159"/>
        <v>0</v>
      </c>
      <c r="AJ193" s="22">
        <f t="shared" si="159"/>
        <v>17824.156999999999</v>
      </c>
      <c r="AK193" s="22">
        <f t="shared" si="159"/>
        <v>17824.156999999999</v>
      </c>
      <c r="AL193" s="22">
        <f t="shared" si="159"/>
        <v>11.28</v>
      </c>
      <c r="AM193" s="22">
        <f t="shared" ref="AM193:AN193" si="160">AM196+AM198++AM203+AM206+AM212+AM214+AM218+AM223+AM230+AM233</f>
        <v>0</v>
      </c>
      <c r="AN193" s="22">
        <f t="shared" si="160"/>
        <v>0</v>
      </c>
      <c r="AO193" s="609"/>
      <c r="AP193" s="648"/>
    </row>
    <row r="194" spans="1:42" ht="26.25" customHeight="1">
      <c r="A194" s="834"/>
      <c r="B194" s="892"/>
      <c r="C194" s="893"/>
      <c r="D194" s="893"/>
      <c r="E194" s="893"/>
      <c r="F194" s="893"/>
      <c r="G194" s="893"/>
      <c r="H194" s="894"/>
      <c r="I194" s="15" t="s">
        <v>10</v>
      </c>
      <c r="J194" s="517">
        <v>0</v>
      </c>
      <c r="K194" s="517">
        <v>0</v>
      </c>
      <c r="L194" s="22">
        <f>L210+L211+L238</f>
        <v>297742.64</v>
      </c>
      <c r="M194" s="22">
        <f t="shared" ref="M194:AL194" si="161">M210+M211+M238</f>
        <v>295242.64</v>
      </c>
      <c r="N194" s="22">
        <f t="shared" si="161"/>
        <v>297742.64</v>
      </c>
      <c r="O194" s="22">
        <f t="shared" si="161"/>
        <v>297742.64</v>
      </c>
      <c r="P194" s="22">
        <f>P210+P211+P238</f>
        <v>297742.64</v>
      </c>
      <c r="Q194" s="22">
        <f t="shared" si="161"/>
        <v>0</v>
      </c>
      <c r="R194" s="22">
        <f t="shared" si="161"/>
        <v>0</v>
      </c>
      <c r="S194" s="22">
        <f t="shared" si="161"/>
        <v>0</v>
      </c>
      <c r="T194" s="22">
        <f t="shared" si="161"/>
        <v>0</v>
      </c>
      <c r="U194" s="22">
        <f t="shared" si="161"/>
        <v>0</v>
      </c>
      <c r="V194" s="22">
        <f t="shared" si="161"/>
        <v>0</v>
      </c>
      <c r="W194" s="22">
        <f t="shared" si="161"/>
        <v>0</v>
      </c>
      <c r="X194" s="22">
        <f t="shared" si="161"/>
        <v>0</v>
      </c>
      <c r="Y194" s="22">
        <f t="shared" si="161"/>
        <v>0</v>
      </c>
      <c r="Z194" s="22">
        <f t="shared" si="161"/>
        <v>0</v>
      </c>
      <c r="AA194" s="22">
        <f t="shared" si="161"/>
        <v>0</v>
      </c>
      <c r="AB194" s="22">
        <f t="shared" si="161"/>
        <v>0</v>
      </c>
      <c r="AC194" s="22">
        <f t="shared" si="161"/>
        <v>0</v>
      </c>
      <c r="AD194" s="22">
        <f t="shared" si="161"/>
        <v>0</v>
      </c>
      <c r="AE194" s="22">
        <f t="shared" si="161"/>
        <v>0</v>
      </c>
      <c r="AF194" s="22">
        <f t="shared" si="161"/>
        <v>0</v>
      </c>
      <c r="AG194" s="22">
        <f t="shared" si="161"/>
        <v>0</v>
      </c>
      <c r="AH194" s="22">
        <f t="shared" si="161"/>
        <v>0</v>
      </c>
      <c r="AI194" s="22">
        <f t="shared" si="161"/>
        <v>0</v>
      </c>
      <c r="AJ194" s="22">
        <f t="shared" si="161"/>
        <v>0</v>
      </c>
      <c r="AK194" s="22">
        <f t="shared" si="161"/>
        <v>0</v>
      </c>
      <c r="AL194" s="22">
        <f t="shared" si="161"/>
        <v>0</v>
      </c>
      <c r="AM194" s="22">
        <v>0</v>
      </c>
      <c r="AN194" s="22">
        <v>0</v>
      </c>
      <c r="AO194" s="609"/>
      <c r="AP194" s="648"/>
    </row>
    <row r="195" spans="1:42" ht="25.5">
      <c r="A195" s="835"/>
      <c r="B195" s="895"/>
      <c r="C195" s="896"/>
      <c r="D195" s="896"/>
      <c r="E195" s="896"/>
      <c r="F195" s="896"/>
      <c r="G195" s="896"/>
      <c r="H195" s="897"/>
      <c r="I195" s="15" t="s">
        <v>9</v>
      </c>
      <c r="J195" s="517">
        <v>0</v>
      </c>
      <c r="K195" s="517">
        <v>0</v>
      </c>
      <c r="L195" s="22">
        <f t="shared" ref="L195" si="162">M195+N195+O195</f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  <c r="V195" s="22">
        <v>0</v>
      </c>
      <c r="W195" s="22">
        <v>0</v>
      </c>
      <c r="X195" s="22">
        <v>0</v>
      </c>
      <c r="Y195" s="22">
        <v>0</v>
      </c>
      <c r="Z195" s="22">
        <v>0</v>
      </c>
      <c r="AA195" s="22">
        <v>0</v>
      </c>
      <c r="AB195" s="22">
        <v>0</v>
      </c>
      <c r="AC195" s="22">
        <v>0</v>
      </c>
      <c r="AD195" s="22">
        <v>0</v>
      </c>
      <c r="AE195" s="22">
        <v>0</v>
      </c>
      <c r="AF195" s="22">
        <v>0</v>
      </c>
      <c r="AG195" s="22">
        <v>0</v>
      </c>
      <c r="AH195" s="22">
        <v>0</v>
      </c>
      <c r="AI195" s="22">
        <v>1</v>
      </c>
      <c r="AJ195" s="22">
        <v>0</v>
      </c>
      <c r="AK195" s="22">
        <v>0</v>
      </c>
      <c r="AL195" s="22">
        <v>0</v>
      </c>
      <c r="AM195" s="22">
        <v>0</v>
      </c>
      <c r="AN195" s="22">
        <v>0</v>
      </c>
      <c r="AO195" s="609"/>
      <c r="AP195" s="648"/>
    </row>
    <row r="196" spans="1:42" ht="27.75" customHeight="1">
      <c r="A196" s="825" t="s">
        <v>189</v>
      </c>
      <c r="B196" s="80" t="s">
        <v>89</v>
      </c>
      <c r="C196" s="143"/>
      <c r="D196" s="143"/>
      <c r="E196" s="143"/>
      <c r="F196" s="143"/>
      <c r="G196" s="515"/>
      <c r="H196" s="515"/>
      <c r="I196" s="837" t="s">
        <v>20</v>
      </c>
      <c r="J196" s="540"/>
      <c r="K196" s="3"/>
      <c r="L196" s="82">
        <f>L197</f>
        <v>5195.03</v>
      </c>
      <c r="M196" s="82">
        <f>M197</f>
        <v>0</v>
      </c>
      <c r="N196" s="82">
        <f t="shared" ref="N196:AN196" si="163">N197</f>
        <v>5037.4399999999996</v>
      </c>
      <c r="O196" s="82">
        <f t="shared" si="163"/>
        <v>0</v>
      </c>
      <c r="P196" s="82">
        <f t="shared" si="163"/>
        <v>5037.4399999999996</v>
      </c>
      <c r="Q196" s="82">
        <f t="shared" si="163"/>
        <v>0</v>
      </c>
      <c r="R196" s="82">
        <f t="shared" si="163"/>
        <v>0</v>
      </c>
      <c r="S196" s="82">
        <f t="shared" si="163"/>
        <v>0</v>
      </c>
      <c r="T196" s="82">
        <f t="shared" si="163"/>
        <v>0</v>
      </c>
      <c r="U196" s="82">
        <f t="shared" si="163"/>
        <v>0</v>
      </c>
      <c r="V196" s="82">
        <f t="shared" si="163"/>
        <v>0</v>
      </c>
      <c r="W196" s="82">
        <f t="shared" si="163"/>
        <v>0</v>
      </c>
      <c r="X196" s="82">
        <f t="shared" si="163"/>
        <v>0</v>
      </c>
      <c r="Y196" s="82">
        <f t="shared" si="163"/>
        <v>0</v>
      </c>
      <c r="Z196" s="82">
        <f t="shared" si="163"/>
        <v>0</v>
      </c>
      <c r="AA196" s="82">
        <f t="shared" si="163"/>
        <v>0</v>
      </c>
      <c r="AB196" s="82">
        <f t="shared" si="163"/>
        <v>0</v>
      </c>
      <c r="AC196" s="82">
        <f t="shared" si="163"/>
        <v>0</v>
      </c>
      <c r="AD196" s="82">
        <f t="shared" si="163"/>
        <v>0</v>
      </c>
      <c r="AE196" s="82">
        <f t="shared" si="163"/>
        <v>0</v>
      </c>
      <c r="AF196" s="82">
        <f t="shared" si="163"/>
        <v>0</v>
      </c>
      <c r="AG196" s="82">
        <f t="shared" si="163"/>
        <v>0</v>
      </c>
      <c r="AH196" s="82">
        <f t="shared" si="163"/>
        <v>0</v>
      </c>
      <c r="AI196" s="82">
        <f t="shared" si="163"/>
        <v>0</v>
      </c>
      <c r="AJ196" s="82">
        <f t="shared" si="163"/>
        <v>0</v>
      </c>
      <c r="AK196" s="82">
        <f t="shared" si="163"/>
        <v>0</v>
      </c>
      <c r="AL196" s="82">
        <f t="shared" si="163"/>
        <v>0</v>
      </c>
      <c r="AM196" s="82">
        <f t="shared" si="163"/>
        <v>0</v>
      </c>
      <c r="AN196" s="82">
        <f t="shared" si="163"/>
        <v>0</v>
      </c>
      <c r="AO196" s="623" t="s">
        <v>252</v>
      </c>
      <c r="AP196" s="1060"/>
    </row>
    <row r="197" spans="1:42" ht="15.75" customHeight="1">
      <c r="A197" s="836"/>
      <c r="B197" s="47" t="s">
        <v>15</v>
      </c>
      <c r="C197" s="143"/>
      <c r="D197" s="143"/>
      <c r="E197" s="143"/>
      <c r="F197" s="143"/>
      <c r="G197" s="320"/>
      <c r="H197" s="321"/>
      <c r="I197" s="840"/>
      <c r="J197" s="540"/>
      <c r="K197" s="325"/>
      <c r="L197" s="47">
        <v>5195.03</v>
      </c>
      <c r="M197" s="50">
        <v>0</v>
      </c>
      <c r="N197" s="50">
        <v>5037.4399999999996</v>
      </c>
      <c r="O197" s="50">
        <v>0</v>
      </c>
      <c r="P197" s="50">
        <f>N197</f>
        <v>5037.4399999999996</v>
      </c>
      <c r="Q197" s="50">
        <v>0</v>
      </c>
      <c r="R197" s="50">
        <v>0</v>
      </c>
      <c r="S197" s="50">
        <v>0</v>
      </c>
      <c r="T197" s="50">
        <v>0</v>
      </c>
      <c r="U197" s="50">
        <v>0</v>
      </c>
      <c r="V197" s="50">
        <v>0</v>
      </c>
      <c r="W197" s="50">
        <v>0</v>
      </c>
      <c r="X197" s="50">
        <v>0</v>
      </c>
      <c r="Y197" s="50">
        <v>0</v>
      </c>
      <c r="Z197" s="50">
        <v>0</v>
      </c>
      <c r="AA197" s="50">
        <v>0</v>
      </c>
      <c r="AB197" s="50">
        <v>0</v>
      </c>
      <c r="AC197" s="50">
        <v>0</v>
      </c>
      <c r="AD197" s="50">
        <v>0</v>
      </c>
      <c r="AE197" s="50">
        <v>0</v>
      </c>
      <c r="AF197" s="50">
        <v>0</v>
      </c>
      <c r="AG197" s="50">
        <v>0</v>
      </c>
      <c r="AH197" s="50">
        <v>0</v>
      </c>
      <c r="AI197" s="50">
        <v>0</v>
      </c>
      <c r="AJ197" s="50">
        <v>0</v>
      </c>
      <c r="AK197" s="50">
        <v>0</v>
      </c>
      <c r="AL197" s="50">
        <v>0</v>
      </c>
      <c r="AM197" s="50">
        <v>0</v>
      </c>
      <c r="AN197" s="50">
        <v>0</v>
      </c>
      <c r="AO197" s="634"/>
      <c r="AP197" s="1068"/>
    </row>
    <row r="198" spans="1:42" ht="41.25" customHeight="1">
      <c r="A198" s="825" t="s">
        <v>190</v>
      </c>
      <c r="B198" s="80" t="s">
        <v>192</v>
      </c>
      <c r="C198" s="143"/>
      <c r="D198" s="143"/>
      <c r="E198" s="143"/>
      <c r="F198" s="143"/>
      <c r="G198" s="515"/>
      <c r="H198" s="515"/>
      <c r="I198" s="837" t="s">
        <v>20</v>
      </c>
      <c r="J198" s="540"/>
      <c r="K198" s="3"/>
      <c r="L198" s="82">
        <f>L199+L202</f>
        <v>134036.41</v>
      </c>
      <c r="M198" s="82">
        <f>M199+M202</f>
        <v>1825.11</v>
      </c>
      <c r="N198" s="82">
        <f>N199+N202</f>
        <v>57476.200000000004</v>
      </c>
      <c r="O198" s="82">
        <f t="shared" ref="O198:AN198" si="164">O199+O202</f>
        <v>0</v>
      </c>
      <c r="P198" s="82">
        <f>N198</f>
        <v>57476.200000000004</v>
      </c>
      <c r="Q198" s="82">
        <f t="shared" si="164"/>
        <v>2401.491</v>
      </c>
      <c r="R198" s="82">
        <f t="shared" si="164"/>
        <v>0</v>
      </c>
      <c r="S198" s="82">
        <f t="shared" si="164"/>
        <v>0</v>
      </c>
      <c r="T198" s="82">
        <f t="shared" si="164"/>
        <v>996.56899999999996</v>
      </c>
      <c r="U198" s="82">
        <f t="shared" si="164"/>
        <v>996.56899999999996</v>
      </c>
      <c r="V198" s="82">
        <f t="shared" si="164"/>
        <v>404.92200000000003</v>
      </c>
      <c r="W198" s="82">
        <f t="shared" si="164"/>
        <v>404.92200000000003</v>
      </c>
      <c r="X198" s="82">
        <f t="shared" si="164"/>
        <v>1000</v>
      </c>
      <c r="Y198" s="82">
        <f t="shared" si="164"/>
        <v>1000</v>
      </c>
      <c r="Z198" s="82">
        <f>Z199+Z202</f>
        <v>2401.491</v>
      </c>
      <c r="AA198" s="82">
        <f t="shared" si="164"/>
        <v>0</v>
      </c>
      <c r="AB198" s="82">
        <f t="shared" si="164"/>
        <v>976.56899999999996</v>
      </c>
      <c r="AC198" s="82">
        <f t="shared" si="164"/>
        <v>1424.922</v>
      </c>
      <c r="AD198" s="82">
        <f t="shared" si="164"/>
        <v>0</v>
      </c>
      <c r="AE198" s="82">
        <f t="shared" si="164"/>
        <v>0</v>
      </c>
      <c r="AF198" s="82">
        <f t="shared" si="164"/>
        <v>0</v>
      </c>
      <c r="AG198" s="82">
        <f t="shared" si="164"/>
        <v>0</v>
      </c>
      <c r="AH198" s="82">
        <f t="shared" si="164"/>
        <v>0</v>
      </c>
      <c r="AI198" s="82">
        <f t="shared" si="164"/>
        <v>0</v>
      </c>
      <c r="AJ198" s="82">
        <f t="shared" si="164"/>
        <v>0</v>
      </c>
      <c r="AK198" s="82">
        <f t="shared" si="164"/>
        <v>0</v>
      </c>
      <c r="AL198" s="82">
        <f t="shared" si="164"/>
        <v>0</v>
      </c>
      <c r="AM198" s="82">
        <f t="shared" si="164"/>
        <v>0</v>
      </c>
      <c r="AN198" s="82">
        <f t="shared" si="164"/>
        <v>0</v>
      </c>
      <c r="AO198" s="623" t="s">
        <v>264</v>
      </c>
      <c r="AP198" s="1060"/>
    </row>
    <row r="199" spans="1:42" ht="15.75" customHeight="1">
      <c r="A199" s="902"/>
      <c r="B199" s="47" t="s">
        <v>15</v>
      </c>
      <c r="C199" s="143"/>
      <c r="D199" s="143"/>
      <c r="E199" s="143"/>
      <c r="F199" s="143"/>
      <c r="G199" s="320"/>
      <c r="H199" s="321"/>
      <c r="I199" s="838"/>
      <c r="J199" s="540"/>
      <c r="K199" s="325"/>
      <c r="L199" s="47">
        <v>2401.5100000000002</v>
      </c>
      <c r="M199" s="47">
        <v>1825.11</v>
      </c>
      <c r="N199" s="47">
        <v>576.4</v>
      </c>
      <c r="O199" s="47">
        <v>0</v>
      </c>
      <c r="P199" s="47">
        <f>N199</f>
        <v>576.4</v>
      </c>
      <c r="Q199" s="47">
        <f>SUM(Q200:Q201)</f>
        <v>2401.491</v>
      </c>
      <c r="R199" s="50">
        <f>SUM(R200:R201)</f>
        <v>0</v>
      </c>
      <c r="S199" s="50">
        <f t="shared" ref="S199:Y199" si="165">SUM(S200:S201)</f>
        <v>0</v>
      </c>
      <c r="T199" s="50">
        <f t="shared" si="165"/>
        <v>996.56899999999996</v>
      </c>
      <c r="U199" s="50">
        <f t="shared" si="165"/>
        <v>996.56899999999996</v>
      </c>
      <c r="V199" s="50">
        <f t="shared" si="165"/>
        <v>404.92200000000003</v>
      </c>
      <c r="W199" s="50">
        <f t="shared" si="165"/>
        <v>404.92200000000003</v>
      </c>
      <c r="X199" s="460">
        <f t="shared" si="165"/>
        <v>1000</v>
      </c>
      <c r="Y199" s="460">
        <f t="shared" si="165"/>
        <v>1000</v>
      </c>
      <c r="Z199" s="460">
        <f>Z200+Z201</f>
        <v>2401.491</v>
      </c>
      <c r="AA199" s="50">
        <f t="shared" ref="AA199:AC199" si="166">AA200+AA201</f>
        <v>0</v>
      </c>
      <c r="AB199" s="50">
        <f t="shared" si="166"/>
        <v>976.56899999999996</v>
      </c>
      <c r="AC199" s="50">
        <f t="shared" si="166"/>
        <v>1424.922</v>
      </c>
      <c r="AD199" s="50">
        <f t="shared" ref="AD199" si="167">AD200</f>
        <v>0</v>
      </c>
      <c r="AE199" s="50">
        <v>0</v>
      </c>
      <c r="AF199" s="50">
        <v>0</v>
      </c>
      <c r="AG199" s="50">
        <v>0</v>
      </c>
      <c r="AH199" s="50">
        <v>0</v>
      </c>
      <c r="AI199" s="50">
        <v>0</v>
      </c>
      <c r="AJ199" s="50">
        <v>0</v>
      </c>
      <c r="AK199" s="50">
        <v>0</v>
      </c>
      <c r="AL199" s="50">
        <v>0</v>
      </c>
      <c r="AM199" s="50">
        <v>0</v>
      </c>
      <c r="AN199" s="50">
        <v>0</v>
      </c>
      <c r="AO199" s="634"/>
      <c r="AP199" s="1061"/>
    </row>
    <row r="200" spans="1:42" s="100" customFormat="1" ht="15.75" hidden="1" customHeight="1">
      <c r="A200" s="902"/>
      <c r="B200" s="464" t="s">
        <v>275</v>
      </c>
      <c r="C200" s="377"/>
      <c r="D200" s="377"/>
      <c r="E200" s="377"/>
      <c r="F200" s="377"/>
      <c r="G200" s="465"/>
      <c r="H200" s="466"/>
      <c r="I200" s="838"/>
      <c r="J200" s="379"/>
      <c r="K200" s="380"/>
      <c r="L200" s="99"/>
      <c r="M200" s="275"/>
      <c r="N200" s="275"/>
      <c r="O200" s="275"/>
      <c r="P200" s="275">
        <f>Q200</f>
        <v>996.56899999999996</v>
      </c>
      <c r="Q200" s="467">
        <f>S200+U200+W200</f>
        <v>996.56899999999996</v>
      </c>
      <c r="R200" s="467"/>
      <c r="S200" s="467"/>
      <c r="T200" s="467">
        <f>976.569+20</f>
        <v>996.56899999999996</v>
      </c>
      <c r="U200" s="467">
        <f>976.569+20</f>
        <v>996.56899999999996</v>
      </c>
      <c r="V200" s="467"/>
      <c r="W200" s="467"/>
      <c r="X200" s="467"/>
      <c r="Y200" s="467"/>
      <c r="Z200" s="467">
        <f>SUM(AA200:AD200)</f>
        <v>996.56899999999996</v>
      </c>
      <c r="AA200" s="467"/>
      <c r="AB200" s="467">
        <v>976.56899999999996</v>
      </c>
      <c r="AC200" s="467">
        <v>20</v>
      </c>
      <c r="AD200" s="467"/>
      <c r="AE200" s="467"/>
      <c r="AF200" s="467"/>
      <c r="AG200" s="467"/>
      <c r="AH200" s="467"/>
      <c r="AI200" s="467"/>
      <c r="AJ200" s="467"/>
      <c r="AK200" s="467"/>
      <c r="AL200" s="467"/>
      <c r="AM200" s="467"/>
      <c r="AN200" s="467"/>
      <c r="AO200" s="637"/>
      <c r="AP200" s="1061"/>
    </row>
    <row r="201" spans="1:42" s="100" customFormat="1" ht="15.75" hidden="1" customHeight="1">
      <c r="A201" s="902"/>
      <c r="B201" s="464" t="s">
        <v>280</v>
      </c>
      <c r="C201" s="377"/>
      <c r="D201" s="377"/>
      <c r="E201" s="377"/>
      <c r="F201" s="377"/>
      <c r="G201" s="465"/>
      <c r="H201" s="466"/>
      <c r="I201" s="838"/>
      <c r="J201" s="379"/>
      <c r="K201" s="380"/>
      <c r="L201" s="99"/>
      <c r="M201" s="275"/>
      <c r="N201" s="275"/>
      <c r="O201" s="275"/>
      <c r="P201" s="275"/>
      <c r="Q201" s="510">
        <f>S201+U201+W201+Y201</f>
        <v>1404.922</v>
      </c>
      <c r="R201" s="510"/>
      <c r="S201" s="510"/>
      <c r="T201" s="510"/>
      <c r="U201" s="510"/>
      <c r="V201" s="510">
        <f>W201</f>
        <v>404.92200000000003</v>
      </c>
      <c r="W201" s="510">
        <v>404.92200000000003</v>
      </c>
      <c r="X201" s="510">
        <f>Y201</f>
        <v>1000</v>
      </c>
      <c r="Y201" s="510">
        <v>1000</v>
      </c>
      <c r="Z201" s="510">
        <f>SUM(AA201:AD201)</f>
        <v>1404.922</v>
      </c>
      <c r="AA201" s="510"/>
      <c r="AB201" s="510"/>
      <c r="AC201" s="510">
        <v>1404.922</v>
      </c>
      <c r="AD201" s="467"/>
      <c r="AE201" s="467"/>
      <c r="AF201" s="467"/>
      <c r="AG201" s="467"/>
      <c r="AH201" s="467"/>
      <c r="AI201" s="467"/>
      <c r="AJ201" s="467"/>
      <c r="AK201" s="467"/>
      <c r="AL201" s="467"/>
      <c r="AM201" s="467"/>
      <c r="AN201" s="467"/>
      <c r="AO201" s="637"/>
      <c r="AP201" s="1061"/>
    </row>
    <row r="202" spans="1:42" ht="15.75" customHeight="1">
      <c r="A202" s="836"/>
      <c r="B202" s="348" t="s">
        <v>32</v>
      </c>
      <c r="C202" s="143"/>
      <c r="D202" s="143"/>
      <c r="E202" s="143"/>
      <c r="F202" s="143"/>
      <c r="G202" s="349"/>
      <c r="H202" s="350"/>
      <c r="I202" s="839"/>
      <c r="J202" s="540"/>
      <c r="K202" s="325"/>
      <c r="L202" s="47">
        <v>131634.9</v>
      </c>
      <c r="M202" s="351">
        <v>0</v>
      </c>
      <c r="N202" s="47">
        <v>56899.8</v>
      </c>
      <c r="O202" s="351">
        <v>0</v>
      </c>
      <c r="P202" s="47">
        <f>N202</f>
        <v>56899.8</v>
      </c>
      <c r="Q202" s="351">
        <v>0</v>
      </c>
      <c r="R202" s="351">
        <v>0</v>
      </c>
      <c r="S202" s="351">
        <v>0</v>
      </c>
      <c r="T202" s="351">
        <v>0</v>
      </c>
      <c r="U202" s="351">
        <v>0</v>
      </c>
      <c r="V202" s="351">
        <v>0</v>
      </c>
      <c r="W202" s="351">
        <v>0</v>
      </c>
      <c r="X202" s="351">
        <v>0</v>
      </c>
      <c r="Y202" s="351">
        <v>0</v>
      </c>
      <c r="Z202" s="351">
        <v>0</v>
      </c>
      <c r="AA202" s="351">
        <v>0</v>
      </c>
      <c r="AB202" s="351">
        <v>0</v>
      </c>
      <c r="AC202" s="351">
        <v>0</v>
      </c>
      <c r="AD202" s="351">
        <v>0</v>
      </c>
      <c r="AE202" s="351">
        <v>0</v>
      </c>
      <c r="AF202" s="351">
        <v>0</v>
      </c>
      <c r="AG202" s="351">
        <v>0</v>
      </c>
      <c r="AH202" s="351">
        <v>0</v>
      </c>
      <c r="AI202" s="351">
        <v>0</v>
      </c>
      <c r="AJ202" s="351">
        <v>0</v>
      </c>
      <c r="AK202" s="351">
        <v>0</v>
      </c>
      <c r="AL202" s="351">
        <v>0</v>
      </c>
      <c r="AM202" s="351">
        <v>0</v>
      </c>
      <c r="AN202" s="351">
        <v>0</v>
      </c>
      <c r="AO202" s="638"/>
      <c r="AP202" s="1062"/>
    </row>
    <row r="203" spans="1:42" ht="42" customHeight="1">
      <c r="A203" s="828" t="s">
        <v>191</v>
      </c>
      <c r="B203" s="80" t="s">
        <v>215</v>
      </c>
      <c r="C203" s="542"/>
      <c r="D203" s="542"/>
      <c r="E203" s="542">
        <v>300</v>
      </c>
      <c r="F203" s="542"/>
      <c r="G203" s="538">
        <v>2019</v>
      </c>
      <c r="H203" s="538">
        <v>2019</v>
      </c>
      <c r="I203" s="830" t="s">
        <v>20</v>
      </c>
      <c r="J203" s="53">
        <f>K203+L203</f>
        <v>27019.38</v>
      </c>
      <c r="K203" s="3">
        <v>0</v>
      </c>
      <c r="L203" s="82">
        <f>L204</f>
        <v>27019.38</v>
      </c>
      <c r="M203" s="82">
        <f>M204</f>
        <v>27019.38</v>
      </c>
      <c r="N203" s="79">
        <v>0</v>
      </c>
      <c r="O203" s="79">
        <v>0</v>
      </c>
      <c r="P203" s="79">
        <f>P204</f>
        <v>0</v>
      </c>
      <c r="Q203" s="79">
        <f>Q204</f>
        <v>10331.279999999999</v>
      </c>
      <c r="R203" s="79">
        <f t="shared" ref="R203:AN204" si="168">R204</f>
        <v>2639.28</v>
      </c>
      <c r="S203" s="79">
        <f t="shared" si="168"/>
        <v>2639.28</v>
      </c>
      <c r="T203" s="79">
        <f t="shared" si="168"/>
        <v>3827.12</v>
      </c>
      <c r="U203" s="79">
        <f t="shared" si="168"/>
        <v>3827.12</v>
      </c>
      <c r="V203" s="79">
        <f t="shared" si="168"/>
        <v>3864.88</v>
      </c>
      <c r="W203" s="79">
        <f t="shared" si="168"/>
        <v>3864.88</v>
      </c>
      <c r="X203" s="79">
        <f t="shared" si="168"/>
        <v>0</v>
      </c>
      <c r="Y203" s="79">
        <f t="shared" si="168"/>
        <v>0</v>
      </c>
      <c r="Z203" s="79">
        <f t="shared" si="168"/>
        <v>4837.4849999999997</v>
      </c>
      <c r="AA203" s="79">
        <f t="shared" si="168"/>
        <v>972.61</v>
      </c>
      <c r="AB203" s="79">
        <f t="shared" si="168"/>
        <v>3864.875</v>
      </c>
      <c r="AC203" s="79">
        <f t="shared" si="168"/>
        <v>0</v>
      </c>
      <c r="AD203" s="79">
        <f t="shared" si="168"/>
        <v>0</v>
      </c>
      <c r="AE203" s="79">
        <f t="shared" si="168"/>
        <v>26166.241999999998</v>
      </c>
      <c r="AF203" s="79">
        <f t="shared" si="168"/>
        <v>0</v>
      </c>
      <c r="AG203" s="79">
        <f t="shared" si="168"/>
        <v>26166.241999999998</v>
      </c>
      <c r="AH203" s="79">
        <f t="shared" si="168"/>
        <v>0</v>
      </c>
      <c r="AI203" s="79">
        <f t="shared" si="168"/>
        <v>0</v>
      </c>
      <c r="AJ203" s="79">
        <f t="shared" si="168"/>
        <v>0</v>
      </c>
      <c r="AK203" s="79">
        <f t="shared" si="168"/>
        <v>0</v>
      </c>
      <c r="AL203" s="79">
        <f t="shared" si="168"/>
        <v>0</v>
      </c>
      <c r="AM203" s="79">
        <f t="shared" si="168"/>
        <v>0</v>
      </c>
      <c r="AN203" s="79">
        <f t="shared" si="168"/>
        <v>0</v>
      </c>
      <c r="AO203" s="639" t="s">
        <v>282</v>
      </c>
      <c r="AP203" s="1065" t="s">
        <v>328</v>
      </c>
    </row>
    <row r="204" spans="1:42" s="292" customFormat="1" ht="19.5" customHeight="1">
      <c r="A204" s="829"/>
      <c r="B204" s="1" t="s">
        <v>216</v>
      </c>
      <c r="C204" s="538"/>
      <c r="D204" s="538"/>
      <c r="E204" s="538"/>
      <c r="F204" s="538"/>
      <c r="G204" s="538"/>
      <c r="H204" s="538"/>
      <c r="I204" s="831"/>
      <c r="J204" s="6"/>
      <c r="K204" s="47"/>
      <c r="L204" s="47">
        <v>27019.38</v>
      </c>
      <c r="M204" s="47">
        <v>27019.38</v>
      </c>
      <c r="N204" s="47">
        <v>0</v>
      </c>
      <c r="O204" s="47">
        <v>0</v>
      </c>
      <c r="P204" s="4">
        <v>0</v>
      </c>
      <c r="Q204" s="4">
        <f>Q205</f>
        <v>10331.279999999999</v>
      </c>
      <c r="R204" s="4">
        <f t="shared" si="168"/>
        <v>2639.28</v>
      </c>
      <c r="S204" s="4">
        <f t="shared" si="168"/>
        <v>2639.28</v>
      </c>
      <c r="T204" s="4">
        <f t="shared" si="168"/>
        <v>3827.12</v>
      </c>
      <c r="U204" s="4">
        <f t="shared" si="168"/>
        <v>3827.12</v>
      </c>
      <c r="V204" s="4">
        <f t="shared" si="168"/>
        <v>3864.88</v>
      </c>
      <c r="W204" s="4">
        <f t="shared" si="168"/>
        <v>3864.88</v>
      </c>
      <c r="X204" s="4">
        <v>0</v>
      </c>
      <c r="Y204" s="4">
        <f t="shared" si="168"/>
        <v>0</v>
      </c>
      <c r="Z204" s="4">
        <f t="shared" si="168"/>
        <v>4837.4849999999997</v>
      </c>
      <c r="AA204" s="4">
        <f t="shared" si="168"/>
        <v>972.61</v>
      </c>
      <c r="AB204" s="4">
        <f t="shared" si="168"/>
        <v>3864.875</v>
      </c>
      <c r="AC204" s="4">
        <f t="shared" si="168"/>
        <v>0</v>
      </c>
      <c r="AD204" s="4">
        <f t="shared" si="168"/>
        <v>0</v>
      </c>
      <c r="AE204" s="4">
        <f>AE205</f>
        <v>26166.241999999998</v>
      </c>
      <c r="AF204" s="4">
        <f t="shared" si="168"/>
        <v>0</v>
      </c>
      <c r="AG204" s="4">
        <f t="shared" si="168"/>
        <v>26166.241999999998</v>
      </c>
      <c r="AH204" s="4">
        <f t="shared" si="168"/>
        <v>0</v>
      </c>
      <c r="AI204" s="4">
        <f t="shared" si="168"/>
        <v>0</v>
      </c>
      <c r="AJ204" s="4">
        <f t="shared" si="168"/>
        <v>0</v>
      </c>
      <c r="AK204" s="4">
        <f t="shared" si="168"/>
        <v>0</v>
      </c>
      <c r="AL204" s="4">
        <f t="shared" si="168"/>
        <v>0</v>
      </c>
      <c r="AM204" s="4">
        <f t="shared" si="168"/>
        <v>0</v>
      </c>
      <c r="AN204" s="4">
        <f t="shared" si="168"/>
        <v>0</v>
      </c>
      <c r="AO204" s="640"/>
      <c r="AP204" s="992"/>
    </row>
    <row r="205" spans="1:42" s="273" customFormat="1" hidden="1">
      <c r="A205" s="274"/>
      <c r="B205" s="105" t="s">
        <v>261</v>
      </c>
      <c r="C205" s="107"/>
      <c r="D205" s="107"/>
      <c r="E205" s="107"/>
      <c r="F205" s="107"/>
      <c r="G205" s="107"/>
      <c r="H205" s="107"/>
      <c r="I205" s="105"/>
      <c r="J205" s="109"/>
      <c r="K205" s="99"/>
      <c r="L205" s="99"/>
      <c r="M205" s="275"/>
      <c r="N205" s="275"/>
      <c r="O205" s="275"/>
      <c r="P205" s="275">
        <f>Q205</f>
        <v>10331.279999999999</v>
      </c>
      <c r="Q205" s="275">
        <f>S205+U205+W205</f>
        <v>10331.279999999999</v>
      </c>
      <c r="R205" s="275">
        <f>S205</f>
        <v>2639.28</v>
      </c>
      <c r="S205" s="275">
        <v>2639.28</v>
      </c>
      <c r="T205" s="275">
        <f>U205</f>
        <v>3827.12</v>
      </c>
      <c r="U205" s="275">
        <v>3827.12</v>
      </c>
      <c r="V205" s="275">
        <f>W205</f>
        <v>3864.88</v>
      </c>
      <c r="W205" s="275">
        <v>3864.88</v>
      </c>
      <c r="X205" s="275">
        <v>0</v>
      </c>
      <c r="Y205" s="275">
        <v>0</v>
      </c>
      <c r="Z205" s="275">
        <f>SUM(AA205:AB205)</f>
        <v>4837.4849999999997</v>
      </c>
      <c r="AA205" s="275">
        <v>972.61</v>
      </c>
      <c r="AB205" s="275">
        <v>3864.875</v>
      </c>
      <c r="AC205" s="275">
        <v>0</v>
      </c>
      <c r="AD205" s="275"/>
      <c r="AE205" s="275">
        <f>SUM(AF205:AH205)</f>
        <v>26166.241999999998</v>
      </c>
      <c r="AF205" s="275"/>
      <c r="AG205" s="275">
        <v>26166.241999999998</v>
      </c>
      <c r="AH205" s="275">
        <v>0</v>
      </c>
      <c r="AI205" s="275"/>
      <c r="AJ205" s="99"/>
      <c r="AK205" s="99"/>
      <c r="AL205" s="99"/>
      <c r="AM205" s="275"/>
      <c r="AN205" s="275"/>
      <c r="AO205" s="641"/>
      <c r="AP205" s="269"/>
    </row>
    <row r="206" spans="1:42" ht="57" customHeight="1">
      <c r="A206" s="14" t="s">
        <v>193</v>
      </c>
      <c r="B206" s="80" t="s">
        <v>298</v>
      </c>
      <c r="C206" s="354">
        <v>63</v>
      </c>
      <c r="D206" s="354">
        <v>250</v>
      </c>
      <c r="E206" s="354">
        <v>250</v>
      </c>
      <c r="F206" s="354"/>
      <c r="G206" s="355">
        <v>2019</v>
      </c>
      <c r="H206" s="355">
        <v>2019</v>
      </c>
      <c r="I206" s="1"/>
      <c r="J206" s="356">
        <f>K206+L206</f>
        <v>36691.870000000003</v>
      </c>
      <c r="K206" s="357">
        <v>0</v>
      </c>
      <c r="L206" s="82">
        <f>L207+L210+L211</f>
        <v>36691.870000000003</v>
      </c>
      <c r="M206" s="82">
        <f t="shared" ref="M206:N206" si="169">M207+M210+M211</f>
        <v>31392.57</v>
      </c>
      <c r="N206" s="82">
        <f t="shared" si="169"/>
        <v>33892.57</v>
      </c>
      <c r="O206" s="82">
        <v>0</v>
      </c>
      <c r="P206" s="82">
        <f>N206</f>
        <v>33892.57</v>
      </c>
      <c r="Q206" s="82">
        <f>Q207</f>
        <v>11.619</v>
      </c>
      <c r="R206" s="82">
        <v>0</v>
      </c>
      <c r="S206" s="82">
        <v>0</v>
      </c>
      <c r="T206" s="82">
        <f>T207</f>
        <v>0</v>
      </c>
      <c r="U206" s="82">
        <f>U207</f>
        <v>0</v>
      </c>
      <c r="V206" s="82">
        <f t="shared" ref="V206:Y206" si="170">V207</f>
        <v>0</v>
      </c>
      <c r="W206" s="82">
        <f t="shared" si="170"/>
        <v>0</v>
      </c>
      <c r="X206" s="82">
        <f t="shared" si="170"/>
        <v>0</v>
      </c>
      <c r="Y206" s="82">
        <f t="shared" si="170"/>
        <v>11.619</v>
      </c>
      <c r="Z206" s="82">
        <f>Z207</f>
        <v>11.619</v>
      </c>
      <c r="AA206" s="82">
        <v>0</v>
      </c>
      <c r="AB206" s="82">
        <f>AB207</f>
        <v>0</v>
      </c>
      <c r="AC206" s="82">
        <f t="shared" ref="AC206:AD206" si="171">AC207</f>
        <v>0</v>
      </c>
      <c r="AD206" s="82">
        <f t="shared" si="171"/>
        <v>11.619</v>
      </c>
      <c r="AE206" s="82">
        <v>0</v>
      </c>
      <c r="AF206" s="82">
        <v>0</v>
      </c>
      <c r="AG206" s="82">
        <v>0</v>
      </c>
      <c r="AH206" s="82">
        <v>0</v>
      </c>
      <c r="AI206" s="82">
        <v>0</v>
      </c>
      <c r="AJ206" s="82">
        <f>P206-Q206</f>
        <v>33880.951000000001</v>
      </c>
      <c r="AK206" s="82">
        <f>AJ206</f>
        <v>33880.951000000001</v>
      </c>
      <c r="AL206" s="79">
        <f>ROUND((Q206*100%/P206*100),2)</f>
        <v>0.03</v>
      </c>
      <c r="AM206" s="82">
        <v>0</v>
      </c>
      <c r="AN206" s="82">
        <v>0</v>
      </c>
      <c r="AO206" s="623" t="s">
        <v>249</v>
      </c>
      <c r="AP206" s="1060"/>
    </row>
    <row r="207" spans="1:42" s="292" customFormat="1" ht="33.75">
      <c r="A207" s="544"/>
      <c r="B207" s="47" t="s">
        <v>15</v>
      </c>
      <c r="C207" s="538"/>
      <c r="D207" s="538"/>
      <c r="E207" s="538"/>
      <c r="F207" s="538"/>
      <c r="G207" s="538"/>
      <c r="H207" s="538"/>
      <c r="I207" s="501" t="s">
        <v>20</v>
      </c>
      <c r="J207" s="476"/>
      <c r="K207" s="47"/>
      <c r="L207" s="47">
        <v>2799.3</v>
      </c>
      <c r="M207" s="4"/>
      <c r="N207" s="4">
        <v>0</v>
      </c>
      <c r="O207" s="4"/>
      <c r="P207" s="4">
        <v>0</v>
      </c>
      <c r="Q207" s="4">
        <f>SUM(Q208:Q209)</f>
        <v>11.619</v>
      </c>
      <c r="R207" s="4">
        <f t="shared" ref="R207:AD207" si="172">SUM(R208:R209)</f>
        <v>0</v>
      </c>
      <c r="S207" s="4">
        <f t="shared" si="172"/>
        <v>0</v>
      </c>
      <c r="T207" s="4">
        <f t="shared" si="172"/>
        <v>0</v>
      </c>
      <c r="U207" s="4">
        <f t="shared" si="172"/>
        <v>0</v>
      </c>
      <c r="V207" s="4">
        <f t="shared" si="172"/>
        <v>0</v>
      </c>
      <c r="W207" s="4">
        <f t="shared" si="172"/>
        <v>0</v>
      </c>
      <c r="X207" s="4">
        <f t="shared" si="172"/>
        <v>0</v>
      </c>
      <c r="Y207" s="4">
        <f t="shared" si="172"/>
        <v>11.619</v>
      </c>
      <c r="Z207" s="4">
        <f t="shared" si="172"/>
        <v>11.619</v>
      </c>
      <c r="AA207" s="4">
        <f t="shared" si="172"/>
        <v>0</v>
      </c>
      <c r="AB207" s="4">
        <f t="shared" si="172"/>
        <v>0</v>
      </c>
      <c r="AC207" s="4">
        <f t="shared" si="172"/>
        <v>0</v>
      </c>
      <c r="AD207" s="4">
        <f t="shared" si="172"/>
        <v>11.619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7"/>
      <c r="AK207" s="47"/>
      <c r="AL207" s="47"/>
      <c r="AM207" s="4"/>
      <c r="AN207" s="4"/>
      <c r="AO207" s="615"/>
      <c r="AP207" s="1061"/>
    </row>
    <row r="208" spans="1:42" s="273" customFormat="1" ht="15.75" hidden="1" customHeight="1">
      <c r="A208" s="274"/>
      <c r="B208" s="105" t="s">
        <v>271</v>
      </c>
      <c r="C208" s="107"/>
      <c r="D208" s="107"/>
      <c r="E208" s="107"/>
      <c r="F208" s="107"/>
      <c r="G208" s="107"/>
      <c r="H208" s="107"/>
      <c r="I208" s="105"/>
      <c r="J208" s="109"/>
      <c r="K208" s="99"/>
      <c r="L208" s="99"/>
      <c r="M208" s="275"/>
      <c r="N208" s="275"/>
      <c r="O208" s="275"/>
      <c r="P208" s="275">
        <f>R208+T208</f>
        <v>0</v>
      </c>
      <c r="Q208" s="275">
        <f>Y208</f>
        <v>6</v>
      </c>
      <c r="R208" s="275"/>
      <c r="S208" s="275"/>
      <c r="T208" s="275">
        <f>U208</f>
        <v>0</v>
      </c>
      <c r="U208" s="275">
        <v>0</v>
      </c>
      <c r="V208" s="275"/>
      <c r="W208" s="275"/>
      <c r="X208" s="275"/>
      <c r="Y208" s="275">
        <v>6</v>
      </c>
      <c r="Z208" s="275">
        <f>AD208</f>
        <v>6</v>
      </c>
      <c r="AA208" s="275"/>
      <c r="AB208" s="275">
        <v>0</v>
      </c>
      <c r="AC208" s="275"/>
      <c r="AD208" s="275">
        <v>6</v>
      </c>
      <c r="AE208" s="275"/>
      <c r="AF208" s="275"/>
      <c r="AG208" s="275"/>
      <c r="AH208" s="275"/>
      <c r="AI208" s="275"/>
      <c r="AJ208" s="99"/>
      <c r="AK208" s="99"/>
      <c r="AL208" s="99"/>
      <c r="AM208" s="275"/>
      <c r="AN208" s="275"/>
      <c r="AO208" s="641"/>
      <c r="AP208" s="1061"/>
    </row>
    <row r="209" spans="1:42" s="273" customFormat="1" ht="15.75" hidden="1" customHeight="1">
      <c r="A209" s="511"/>
      <c r="B209" s="105" t="s">
        <v>304</v>
      </c>
      <c r="C209" s="107"/>
      <c r="D209" s="107"/>
      <c r="E209" s="107"/>
      <c r="F209" s="107"/>
      <c r="G209" s="107"/>
      <c r="H209" s="107"/>
      <c r="I209" s="95"/>
      <c r="J209" s="455"/>
      <c r="K209" s="99"/>
      <c r="L209" s="99"/>
      <c r="M209" s="275"/>
      <c r="N209" s="275"/>
      <c r="O209" s="275"/>
      <c r="P209" s="275"/>
      <c r="Q209" s="275">
        <f>Y209</f>
        <v>5.6189999999999998</v>
      </c>
      <c r="R209" s="275"/>
      <c r="S209" s="275"/>
      <c r="T209" s="275"/>
      <c r="U209" s="275"/>
      <c r="V209" s="275"/>
      <c r="W209" s="275"/>
      <c r="X209" s="275"/>
      <c r="Y209" s="275">
        <v>5.6189999999999998</v>
      </c>
      <c r="Z209" s="275">
        <f>AD209</f>
        <v>5.6189999999999998</v>
      </c>
      <c r="AA209" s="275"/>
      <c r="AB209" s="275"/>
      <c r="AC209" s="275"/>
      <c r="AD209" s="275">
        <v>5.6189999999999998</v>
      </c>
      <c r="AE209" s="275"/>
      <c r="AF209" s="275"/>
      <c r="AG209" s="275"/>
      <c r="AH209" s="275"/>
      <c r="AI209" s="275"/>
      <c r="AJ209" s="99"/>
      <c r="AK209" s="99"/>
      <c r="AL209" s="99"/>
      <c r="AM209" s="275"/>
      <c r="AN209" s="275"/>
      <c r="AO209" s="641"/>
      <c r="AP209" s="1061"/>
    </row>
    <row r="210" spans="1:42" s="292" customFormat="1">
      <c r="A210" s="544"/>
      <c r="B210" s="47" t="s">
        <v>15</v>
      </c>
      <c r="C210" s="538"/>
      <c r="D210" s="538"/>
      <c r="E210" s="538"/>
      <c r="F210" s="538"/>
      <c r="G210" s="538"/>
      <c r="H210" s="538"/>
      <c r="I210" s="830" t="s">
        <v>10</v>
      </c>
      <c r="J210" s="476"/>
      <c r="K210" s="47"/>
      <c r="L210" s="47">
        <v>2500</v>
      </c>
      <c r="M210" s="4"/>
      <c r="N210" s="4">
        <v>2500</v>
      </c>
      <c r="O210" s="4">
        <v>2500</v>
      </c>
      <c r="P210" s="4">
        <v>2500</v>
      </c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7"/>
      <c r="AK210" s="47"/>
      <c r="AL210" s="47"/>
      <c r="AM210" s="4"/>
      <c r="AN210" s="4"/>
      <c r="AO210" s="640"/>
      <c r="AP210" s="1061"/>
    </row>
    <row r="211" spans="1:42" s="292" customFormat="1">
      <c r="A211" s="544"/>
      <c r="B211" s="1" t="s">
        <v>16</v>
      </c>
      <c r="C211" s="538"/>
      <c r="D211" s="538"/>
      <c r="E211" s="538"/>
      <c r="F211" s="538"/>
      <c r="G211" s="538"/>
      <c r="H211" s="538"/>
      <c r="I211" s="831"/>
      <c r="J211" s="476"/>
      <c r="K211" s="47"/>
      <c r="L211" s="47">
        <v>31392.57</v>
      </c>
      <c r="M211" s="47">
        <v>31392.57</v>
      </c>
      <c r="N211" s="47">
        <v>31392.57</v>
      </c>
      <c r="O211" s="47">
        <v>31392.57</v>
      </c>
      <c r="P211" s="47">
        <v>31392.57</v>
      </c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7"/>
      <c r="AK211" s="47"/>
      <c r="AL211" s="47"/>
      <c r="AM211" s="4"/>
      <c r="AN211" s="4"/>
      <c r="AO211" s="640"/>
      <c r="AP211" s="1062"/>
    </row>
    <row r="212" spans="1:42" ht="28.5" customHeight="1">
      <c r="A212" s="803" t="s">
        <v>194</v>
      </c>
      <c r="B212" s="80" t="s">
        <v>35</v>
      </c>
      <c r="C212" s="823">
        <v>500</v>
      </c>
      <c r="D212" s="823" t="s">
        <v>43</v>
      </c>
      <c r="E212" s="823">
        <v>850</v>
      </c>
      <c r="F212" s="824">
        <v>20400</v>
      </c>
      <c r="G212" s="52"/>
      <c r="H212" s="52"/>
      <c r="I212" s="820" t="s">
        <v>20</v>
      </c>
      <c r="J212" s="912">
        <v>6942.46</v>
      </c>
      <c r="K212" s="3">
        <v>0</v>
      </c>
      <c r="L212" s="82">
        <f>L213</f>
        <v>6462.97</v>
      </c>
      <c r="M212" s="79">
        <f>M213</f>
        <v>0</v>
      </c>
      <c r="N212" s="79">
        <f t="shared" ref="N212:O212" si="173">N213</f>
        <v>0</v>
      </c>
      <c r="O212" s="79">
        <f t="shared" si="173"/>
        <v>6942.46</v>
      </c>
      <c r="P212" s="79">
        <f>P213</f>
        <v>0</v>
      </c>
      <c r="Q212" s="79">
        <v>0</v>
      </c>
      <c r="R212" s="79">
        <v>0</v>
      </c>
      <c r="S212" s="79">
        <v>0</v>
      </c>
      <c r="T212" s="79">
        <v>0</v>
      </c>
      <c r="U212" s="79">
        <v>0</v>
      </c>
      <c r="V212" s="79">
        <v>0</v>
      </c>
      <c r="W212" s="79">
        <v>0</v>
      </c>
      <c r="X212" s="79">
        <v>0</v>
      </c>
      <c r="Y212" s="79">
        <v>0</v>
      </c>
      <c r="Z212" s="79">
        <v>0</v>
      </c>
      <c r="AA212" s="79">
        <v>0</v>
      </c>
      <c r="AB212" s="79">
        <v>0</v>
      </c>
      <c r="AC212" s="79">
        <v>0</v>
      </c>
      <c r="AD212" s="79">
        <v>0</v>
      </c>
      <c r="AE212" s="79">
        <v>0</v>
      </c>
      <c r="AF212" s="79">
        <v>0</v>
      </c>
      <c r="AG212" s="79">
        <v>0</v>
      </c>
      <c r="AH212" s="79">
        <v>0</v>
      </c>
      <c r="AI212" s="79">
        <v>0</v>
      </c>
      <c r="AJ212" s="82">
        <f>P212-Q212</f>
        <v>0</v>
      </c>
      <c r="AK212" s="82">
        <f>AJ212</f>
        <v>0</v>
      </c>
      <c r="AL212" s="82">
        <v>0</v>
      </c>
      <c r="AM212" s="79">
        <v>0</v>
      </c>
      <c r="AN212" s="79">
        <v>0</v>
      </c>
      <c r="AO212" s="639"/>
      <c r="AP212" s="648"/>
    </row>
    <row r="213" spans="1:42" ht="15" customHeight="1">
      <c r="A213" s="805"/>
      <c r="B213" s="1" t="s">
        <v>15</v>
      </c>
      <c r="C213" s="823"/>
      <c r="D213" s="823"/>
      <c r="E213" s="823"/>
      <c r="F213" s="823"/>
      <c r="G213" s="538">
        <v>2021</v>
      </c>
      <c r="H213" s="538">
        <v>2021</v>
      </c>
      <c r="I213" s="821"/>
      <c r="J213" s="914"/>
      <c r="K213" s="3"/>
      <c r="L213" s="22">
        <v>6462.97</v>
      </c>
      <c r="M213" s="47">
        <v>0</v>
      </c>
      <c r="N213" s="47">
        <v>0</v>
      </c>
      <c r="O213" s="47">
        <v>6942.46</v>
      </c>
      <c r="P213" s="47">
        <v>0</v>
      </c>
      <c r="Q213" s="47">
        <v>0</v>
      </c>
      <c r="R213" s="47">
        <v>0</v>
      </c>
      <c r="S213" s="47">
        <v>0</v>
      </c>
      <c r="T213" s="47">
        <v>0</v>
      </c>
      <c r="U213" s="47">
        <v>0</v>
      </c>
      <c r="V213" s="47">
        <v>0</v>
      </c>
      <c r="W213" s="47">
        <v>0</v>
      </c>
      <c r="X213" s="47">
        <v>0</v>
      </c>
      <c r="Y213" s="47">
        <v>0</v>
      </c>
      <c r="Z213" s="47">
        <v>0</v>
      </c>
      <c r="AA213" s="47">
        <v>0</v>
      </c>
      <c r="AB213" s="47">
        <v>0</v>
      </c>
      <c r="AC213" s="47">
        <v>0</v>
      </c>
      <c r="AD213" s="47">
        <v>0</v>
      </c>
      <c r="AE213" s="47">
        <v>0</v>
      </c>
      <c r="AF213" s="47">
        <v>0</v>
      </c>
      <c r="AG213" s="47">
        <v>0</v>
      </c>
      <c r="AH213" s="47">
        <v>0</v>
      </c>
      <c r="AI213" s="47">
        <v>0</v>
      </c>
      <c r="AJ213" s="47">
        <v>0</v>
      </c>
      <c r="AK213" s="47">
        <v>0</v>
      </c>
      <c r="AL213" s="47">
        <v>0</v>
      </c>
      <c r="AM213" s="47">
        <v>0</v>
      </c>
      <c r="AN213" s="47">
        <v>0</v>
      </c>
      <c r="AO213" s="642"/>
      <c r="AP213" s="648"/>
    </row>
    <row r="214" spans="1:42" ht="40.5" customHeight="1">
      <c r="A214" s="803" t="s">
        <v>195</v>
      </c>
      <c r="B214" s="80" t="s">
        <v>196</v>
      </c>
      <c r="C214" s="824"/>
      <c r="D214" s="824"/>
      <c r="E214" s="824"/>
      <c r="F214" s="824">
        <v>80</v>
      </c>
      <c r="G214" s="52"/>
      <c r="H214" s="52"/>
      <c r="I214" s="820" t="s">
        <v>20</v>
      </c>
      <c r="J214" s="54">
        <f>L214</f>
        <v>45265.81</v>
      </c>
      <c r="K214" s="6"/>
      <c r="L214" s="82">
        <f>L215+L217</f>
        <v>45265.81</v>
      </c>
      <c r="M214" s="82">
        <f>M215+M217</f>
        <v>33.479999999999997</v>
      </c>
      <c r="N214" s="82">
        <f t="shared" ref="N214:O214" si="174">N215+N217</f>
        <v>7044.44</v>
      </c>
      <c r="O214" s="82">
        <f t="shared" si="174"/>
        <v>11467.37</v>
      </c>
      <c r="P214" s="82">
        <f>N214</f>
        <v>7044.44</v>
      </c>
      <c r="Q214" s="82">
        <f>Q215+Q217</f>
        <v>0</v>
      </c>
      <c r="R214" s="82">
        <f t="shared" ref="R214:AN214" si="175">R215+R217</f>
        <v>0</v>
      </c>
      <c r="S214" s="82">
        <f t="shared" si="175"/>
        <v>0</v>
      </c>
      <c r="T214" s="82">
        <f t="shared" si="175"/>
        <v>0</v>
      </c>
      <c r="U214" s="82">
        <f t="shared" si="175"/>
        <v>0</v>
      </c>
      <c r="V214" s="82">
        <f t="shared" si="175"/>
        <v>0</v>
      </c>
      <c r="W214" s="82">
        <f t="shared" si="175"/>
        <v>0</v>
      </c>
      <c r="X214" s="82">
        <f t="shared" si="175"/>
        <v>0</v>
      </c>
      <c r="Y214" s="82">
        <f t="shared" si="175"/>
        <v>0</v>
      </c>
      <c r="Z214" s="82">
        <f t="shared" si="175"/>
        <v>0</v>
      </c>
      <c r="AA214" s="82">
        <f>AA215+AA217</f>
        <v>0</v>
      </c>
      <c r="AB214" s="82">
        <f t="shared" ref="AB214:AD214" si="176">AB215+AB217</f>
        <v>0</v>
      </c>
      <c r="AC214" s="82">
        <f t="shared" si="176"/>
        <v>0</v>
      </c>
      <c r="AD214" s="82">
        <f t="shared" si="176"/>
        <v>0</v>
      </c>
      <c r="AE214" s="82">
        <f t="shared" si="175"/>
        <v>0</v>
      </c>
      <c r="AF214" s="82">
        <f t="shared" si="175"/>
        <v>0</v>
      </c>
      <c r="AG214" s="82">
        <f t="shared" si="175"/>
        <v>0</v>
      </c>
      <c r="AH214" s="82">
        <f t="shared" si="175"/>
        <v>0</v>
      </c>
      <c r="AI214" s="82">
        <f t="shared" si="175"/>
        <v>0</v>
      </c>
      <c r="AJ214" s="82">
        <f>P214-Q214</f>
        <v>7044.44</v>
      </c>
      <c r="AK214" s="82">
        <f>AJ214</f>
        <v>7044.44</v>
      </c>
      <c r="AL214" s="79">
        <f>ROUND((Q214*100%/P214*100),2)</f>
        <v>0</v>
      </c>
      <c r="AM214" s="82">
        <f t="shared" si="175"/>
        <v>0</v>
      </c>
      <c r="AN214" s="82">
        <f t="shared" si="175"/>
        <v>0</v>
      </c>
      <c r="AO214" s="643" t="s">
        <v>250</v>
      </c>
      <c r="AP214" s="1060"/>
    </row>
    <row r="215" spans="1:42" ht="17.25" customHeight="1">
      <c r="A215" s="804"/>
      <c r="B215" s="1" t="s">
        <v>15</v>
      </c>
      <c r="C215" s="823"/>
      <c r="D215" s="823"/>
      <c r="E215" s="823"/>
      <c r="F215" s="823"/>
      <c r="G215" s="538">
        <v>2019</v>
      </c>
      <c r="H215" s="538">
        <v>2019</v>
      </c>
      <c r="I215" s="822"/>
      <c r="J215" s="54">
        <f t="shared" ref="J215:J217" si="177">L215</f>
        <v>7077.92</v>
      </c>
      <c r="K215" s="6"/>
      <c r="L215" s="22">
        <v>7077.92</v>
      </c>
      <c r="M215" s="47">
        <v>33.479999999999997</v>
      </c>
      <c r="N215" s="47">
        <v>7044.44</v>
      </c>
      <c r="O215" s="47">
        <v>0</v>
      </c>
      <c r="P215" s="47">
        <f>N215</f>
        <v>7044.44</v>
      </c>
      <c r="Q215" s="47">
        <f>SUM(Q216)</f>
        <v>0</v>
      </c>
      <c r="R215" s="47">
        <f t="shared" ref="R215" si="178">SUM(R216)</f>
        <v>0</v>
      </c>
      <c r="S215" s="47">
        <f>SUM(S216)</f>
        <v>0</v>
      </c>
      <c r="T215" s="47">
        <f t="shared" ref="T215:Y215" si="179">SUM(T216)</f>
        <v>0</v>
      </c>
      <c r="U215" s="47">
        <f t="shared" si="179"/>
        <v>0</v>
      </c>
      <c r="V215" s="47">
        <f t="shared" si="179"/>
        <v>0</v>
      </c>
      <c r="W215" s="47">
        <f t="shared" si="179"/>
        <v>0</v>
      </c>
      <c r="X215" s="47">
        <v>0</v>
      </c>
      <c r="Y215" s="47">
        <f t="shared" si="179"/>
        <v>0</v>
      </c>
      <c r="Z215" s="47">
        <v>0</v>
      </c>
      <c r="AA215" s="47">
        <v>0</v>
      </c>
      <c r="AB215" s="47">
        <v>0</v>
      </c>
      <c r="AC215" s="47">
        <v>0</v>
      </c>
      <c r="AD215" s="47">
        <v>0</v>
      </c>
      <c r="AE215" s="47">
        <f>AE216</f>
        <v>0</v>
      </c>
      <c r="AF215" s="47">
        <f t="shared" ref="AF215:AI215" si="180">AF216</f>
        <v>0</v>
      </c>
      <c r="AG215" s="47">
        <f t="shared" si="180"/>
        <v>0</v>
      </c>
      <c r="AH215" s="47">
        <f t="shared" si="180"/>
        <v>0</v>
      </c>
      <c r="AI215" s="47">
        <f t="shared" si="180"/>
        <v>0</v>
      </c>
      <c r="AJ215" s="47">
        <v>0</v>
      </c>
      <c r="AK215" s="47">
        <v>0</v>
      </c>
      <c r="AL215" s="47">
        <v>0</v>
      </c>
      <c r="AM215" s="47">
        <v>0</v>
      </c>
      <c r="AN215" s="47">
        <v>0</v>
      </c>
      <c r="AO215" s="642"/>
      <c r="AP215" s="1061"/>
    </row>
    <row r="216" spans="1:42" s="100" customFormat="1" ht="17.25" hidden="1" customHeight="1">
      <c r="A216" s="804"/>
      <c r="B216" s="105" t="s">
        <v>274</v>
      </c>
      <c r="C216" s="106"/>
      <c r="D216" s="106"/>
      <c r="E216" s="106"/>
      <c r="F216" s="106"/>
      <c r="G216" s="107"/>
      <c r="H216" s="107"/>
      <c r="I216" s="822"/>
      <c r="J216" s="108"/>
      <c r="K216" s="109"/>
      <c r="L216" s="178"/>
      <c r="M216" s="99"/>
      <c r="N216" s="99"/>
      <c r="O216" s="99"/>
      <c r="P216" s="99">
        <f>R216</f>
        <v>0</v>
      </c>
      <c r="Q216" s="99">
        <f>S216</f>
        <v>0</v>
      </c>
      <c r="R216" s="99">
        <v>0</v>
      </c>
      <c r="S216" s="99">
        <v>0</v>
      </c>
      <c r="T216" s="99"/>
      <c r="U216" s="99"/>
      <c r="V216" s="99"/>
      <c r="W216" s="99"/>
      <c r="X216" s="99"/>
      <c r="Y216" s="99"/>
      <c r="Z216" s="99">
        <v>0</v>
      </c>
      <c r="AA216" s="99">
        <v>0</v>
      </c>
      <c r="AB216" s="99"/>
      <c r="AC216" s="99"/>
      <c r="AD216" s="99"/>
      <c r="AE216" s="99">
        <f>SUM(AF216:AF216)</f>
        <v>0</v>
      </c>
      <c r="AF216" s="99"/>
      <c r="AG216" s="99"/>
      <c r="AH216" s="99"/>
      <c r="AI216" s="99"/>
      <c r="AJ216" s="99"/>
      <c r="AK216" s="99"/>
      <c r="AL216" s="99"/>
      <c r="AM216" s="99"/>
      <c r="AN216" s="99"/>
      <c r="AO216" s="644"/>
      <c r="AP216" s="1061"/>
    </row>
    <row r="217" spans="1:42" ht="17.25" customHeight="1">
      <c r="A217" s="805"/>
      <c r="B217" s="1" t="s">
        <v>16</v>
      </c>
      <c r="C217" s="525"/>
      <c r="D217" s="525"/>
      <c r="E217" s="525"/>
      <c r="F217" s="525"/>
      <c r="G217" s="538">
        <v>2020</v>
      </c>
      <c r="H217" s="538">
        <v>2021</v>
      </c>
      <c r="I217" s="821"/>
      <c r="J217" s="54">
        <f t="shared" si="177"/>
        <v>38187.89</v>
      </c>
      <c r="K217" s="6"/>
      <c r="L217" s="22">
        <v>38187.89</v>
      </c>
      <c r="M217" s="47">
        <v>0</v>
      </c>
      <c r="N217" s="47">
        <v>0</v>
      </c>
      <c r="O217" s="47">
        <v>11467.37</v>
      </c>
      <c r="P217" s="47">
        <v>0</v>
      </c>
      <c r="Q217" s="47">
        <v>0</v>
      </c>
      <c r="R217" s="47">
        <v>0</v>
      </c>
      <c r="S217" s="47">
        <v>0</v>
      </c>
      <c r="T217" s="47">
        <v>0</v>
      </c>
      <c r="U217" s="47">
        <v>0</v>
      </c>
      <c r="V217" s="47">
        <v>0</v>
      </c>
      <c r="W217" s="47">
        <v>0</v>
      </c>
      <c r="X217" s="47">
        <v>0</v>
      </c>
      <c r="Y217" s="47">
        <v>0</v>
      </c>
      <c r="Z217" s="47">
        <v>0</v>
      </c>
      <c r="AA217" s="47">
        <v>0</v>
      </c>
      <c r="AB217" s="47">
        <v>0</v>
      </c>
      <c r="AC217" s="47">
        <v>0</v>
      </c>
      <c r="AD217" s="47">
        <v>0</v>
      </c>
      <c r="AE217" s="47">
        <v>0</v>
      </c>
      <c r="AF217" s="47">
        <v>0</v>
      </c>
      <c r="AG217" s="47">
        <v>0</v>
      </c>
      <c r="AH217" s="47">
        <v>0</v>
      </c>
      <c r="AI217" s="47">
        <v>0</v>
      </c>
      <c r="AJ217" s="47">
        <v>0</v>
      </c>
      <c r="AK217" s="47">
        <v>0</v>
      </c>
      <c r="AL217" s="47">
        <v>0</v>
      </c>
      <c r="AM217" s="47">
        <v>0</v>
      </c>
      <c r="AN217" s="47">
        <v>0</v>
      </c>
      <c r="AO217" s="642"/>
      <c r="AP217" s="1062"/>
    </row>
    <row r="218" spans="1:42" ht="52.5" customHeight="1">
      <c r="A218" s="803" t="s">
        <v>197</v>
      </c>
      <c r="B218" s="83" t="s">
        <v>171</v>
      </c>
      <c r="C218" s="824"/>
      <c r="D218" s="824"/>
      <c r="E218" s="824"/>
      <c r="F218" s="824">
        <v>80</v>
      </c>
      <c r="G218" s="52"/>
      <c r="H218" s="52"/>
      <c r="I218" s="820" t="s">
        <v>20</v>
      </c>
      <c r="J218" s="54">
        <f>L218</f>
        <v>94875.549999999988</v>
      </c>
      <c r="K218" s="6"/>
      <c r="L218" s="82">
        <f>L219+L222</f>
        <v>94875.549999999988</v>
      </c>
      <c r="M218" s="82">
        <f>M219+M222</f>
        <v>2761.44</v>
      </c>
      <c r="N218" s="82">
        <f t="shared" ref="N218:O218" si="181">N219+N222</f>
        <v>9629.68</v>
      </c>
      <c r="O218" s="82">
        <f t="shared" si="181"/>
        <v>22469.279999999999</v>
      </c>
      <c r="P218" s="82">
        <f>N218</f>
        <v>9629.68</v>
      </c>
      <c r="Q218" s="82">
        <f>Q219+Q222</f>
        <v>367.43299999999999</v>
      </c>
      <c r="R218" s="82">
        <f t="shared" ref="R218:Y218" si="182">R219+R222</f>
        <v>0</v>
      </c>
      <c r="S218" s="82">
        <f t="shared" si="182"/>
        <v>0</v>
      </c>
      <c r="T218" s="82">
        <f t="shared" si="182"/>
        <v>367.43299999999999</v>
      </c>
      <c r="U218" s="82">
        <f t="shared" si="182"/>
        <v>367.43299999999999</v>
      </c>
      <c r="V218" s="82">
        <f t="shared" si="182"/>
        <v>0</v>
      </c>
      <c r="W218" s="82">
        <f t="shared" si="182"/>
        <v>0</v>
      </c>
      <c r="X218" s="82">
        <f t="shared" si="182"/>
        <v>0</v>
      </c>
      <c r="Y218" s="82">
        <f t="shared" si="182"/>
        <v>0</v>
      </c>
      <c r="Z218" s="82">
        <f>Z219+Z222</f>
        <v>2117.433</v>
      </c>
      <c r="AA218" s="82">
        <f>AA219+AA222</f>
        <v>0</v>
      </c>
      <c r="AB218" s="82">
        <f t="shared" ref="AB218:AI218" si="183">AB219+AB222</f>
        <v>357.43299999999999</v>
      </c>
      <c r="AC218" s="82">
        <f t="shared" si="183"/>
        <v>10</v>
      </c>
      <c r="AD218" s="82">
        <f t="shared" si="183"/>
        <v>1750</v>
      </c>
      <c r="AE218" s="82">
        <f t="shared" si="183"/>
        <v>0</v>
      </c>
      <c r="AF218" s="82">
        <f t="shared" si="183"/>
        <v>0</v>
      </c>
      <c r="AG218" s="82">
        <f t="shared" si="183"/>
        <v>0</v>
      </c>
      <c r="AH218" s="82">
        <f t="shared" si="183"/>
        <v>0</v>
      </c>
      <c r="AI218" s="82">
        <f t="shared" si="183"/>
        <v>0</v>
      </c>
      <c r="AJ218" s="82">
        <f>P218-Q218</f>
        <v>9262.2469999999994</v>
      </c>
      <c r="AK218" s="82">
        <f>AJ218</f>
        <v>9262.2469999999994</v>
      </c>
      <c r="AL218" s="82">
        <f>ROUND((Q218*100%/P218*100),2)</f>
        <v>3.82</v>
      </c>
      <c r="AM218" s="82">
        <f t="shared" ref="AM218:AN218" si="184">AM219+AM222</f>
        <v>0</v>
      </c>
      <c r="AN218" s="82">
        <f t="shared" si="184"/>
        <v>0</v>
      </c>
      <c r="AO218" s="643" t="s">
        <v>264</v>
      </c>
      <c r="AP218" s="1063" t="s">
        <v>323</v>
      </c>
    </row>
    <row r="219" spans="1:42" s="292" customFormat="1" ht="16.5" customHeight="1">
      <c r="A219" s="804"/>
      <c r="B219" s="42" t="s">
        <v>15</v>
      </c>
      <c r="C219" s="823"/>
      <c r="D219" s="823"/>
      <c r="E219" s="823"/>
      <c r="F219" s="823"/>
      <c r="G219" s="320"/>
      <c r="H219" s="321"/>
      <c r="I219" s="822"/>
      <c r="J219" s="75"/>
      <c r="K219" s="47"/>
      <c r="L219" s="47">
        <v>5734.87</v>
      </c>
      <c r="M219" s="47">
        <v>2761.44</v>
      </c>
      <c r="N219" s="47">
        <v>105.99</v>
      </c>
      <c r="O219" s="47">
        <v>0</v>
      </c>
      <c r="P219" s="47">
        <f>N219</f>
        <v>105.99</v>
      </c>
      <c r="Q219" s="47">
        <f>SUM(Q220:Q222)</f>
        <v>367.43299999999999</v>
      </c>
      <c r="R219" s="47">
        <f t="shared" ref="R219:W219" si="185">SUM(R220:R222)</f>
        <v>0</v>
      </c>
      <c r="S219" s="47">
        <f t="shared" si="185"/>
        <v>0</v>
      </c>
      <c r="T219" s="47">
        <f t="shared" si="185"/>
        <v>367.43299999999999</v>
      </c>
      <c r="U219" s="47">
        <f t="shared" si="185"/>
        <v>367.43299999999999</v>
      </c>
      <c r="V219" s="47">
        <f t="shared" si="185"/>
        <v>0</v>
      </c>
      <c r="W219" s="47">
        <f t="shared" si="185"/>
        <v>0</v>
      </c>
      <c r="X219" s="22">
        <v>0</v>
      </c>
      <c r="Y219" s="47">
        <f t="shared" ref="Y219:AD219" si="186">SUM(Y220:Y222)</f>
        <v>0</v>
      </c>
      <c r="Z219" s="47">
        <f t="shared" si="186"/>
        <v>2117.433</v>
      </c>
      <c r="AA219" s="47">
        <f t="shared" si="186"/>
        <v>0</v>
      </c>
      <c r="AB219" s="47">
        <f t="shared" si="186"/>
        <v>357.43299999999999</v>
      </c>
      <c r="AC219" s="47">
        <f t="shared" si="186"/>
        <v>10</v>
      </c>
      <c r="AD219" s="47">
        <f t="shared" si="186"/>
        <v>1750</v>
      </c>
      <c r="AE219" s="47">
        <f>SUM(AE220)</f>
        <v>0</v>
      </c>
      <c r="AF219" s="47">
        <f t="shared" ref="AF219:AI219" si="187">SUM(AF220)</f>
        <v>0</v>
      </c>
      <c r="AG219" s="47">
        <f t="shared" si="187"/>
        <v>0</v>
      </c>
      <c r="AH219" s="47">
        <f t="shared" si="187"/>
        <v>0</v>
      </c>
      <c r="AI219" s="47">
        <f t="shared" si="187"/>
        <v>0</v>
      </c>
      <c r="AJ219" s="47">
        <v>0</v>
      </c>
      <c r="AK219" s="47">
        <v>0</v>
      </c>
      <c r="AL219" s="47">
        <v>0</v>
      </c>
      <c r="AM219" s="47">
        <v>0</v>
      </c>
      <c r="AN219" s="47">
        <v>0</v>
      </c>
      <c r="AO219" s="608"/>
      <c r="AP219" s="1064"/>
    </row>
    <row r="220" spans="1:42" s="273" customFormat="1" ht="16.5" hidden="1" customHeight="1">
      <c r="A220" s="804"/>
      <c r="B220" s="257" t="s">
        <v>233</v>
      </c>
      <c r="C220" s="371"/>
      <c r="D220" s="371"/>
      <c r="E220" s="371"/>
      <c r="F220" s="371"/>
      <c r="G220" s="371"/>
      <c r="H220" s="372"/>
      <c r="I220" s="822"/>
      <c r="J220" s="263"/>
      <c r="K220" s="99"/>
      <c r="L220" s="99"/>
      <c r="M220" s="99"/>
      <c r="N220" s="99"/>
      <c r="O220" s="99"/>
      <c r="P220" s="47"/>
      <c r="Q220" s="99">
        <f>Y220</f>
        <v>0</v>
      </c>
      <c r="R220" s="99"/>
      <c r="S220" s="99"/>
      <c r="T220" s="99"/>
      <c r="U220" s="99"/>
      <c r="V220" s="99"/>
      <c r="W220" s="99"/>
      <c r="X220" s="99">
        <v>0</v>
      </c>
      <c r="Y220" s="99">
        <v>0</v>
      </c>
      <c r="Z220" s="99">
        <v>1750</v>
      </c>
      <c r="AA220" s="99">
        <v>0</v>
      </c>
      <c r="AB220" s="99"/>
      <c r="AC220" s="99"/>
      <c r="AD220" s="99">
        <v>1750</v>
      </c>
      <c r="AE220" s="99">
        <f>SUM(AF220:AF220)</f>
        <v>0</v>
      </c>
      <c r="AF220" s="99"/>
      <c r="AG220" s="99"/>
      <c r="AH220" s="99"/>
      <c r="AI220" s="99"/>
      <c r="AJ220" s="99">
        <v>0</v>
      </c>
      <c r="AK220" s="99">
        <v>0</v>
      </c>
      <c r="AL220" s="99">
        <v>0</v>
      </c>
      <c r="AM220" s="99">
        <v>0</v>
      </c>
      <c r="AN220" s="99">
        <v>0</v>
      </c>
      <c r="AO220" s="624"/>
      <c r="AP220" s="1064"/>
    </row>
    <row r="221" spans="1:42" s="273" customFormat="1" ht="16.5" hidden="1" customHeight="1">
      <c r="A221" s="804"/>
      <c r="B221" s="257" t="s">
        <v>275</v>
      </c>
      <c r="C221" s="371"/>
      <c r="D221" s="371"/>
      <c r="E221" s="371"/>
      <c r="F221" s="371"/>
      <c r="G221" s="371"/>
      <c r="H221" s="372"/>
      <c r="I221" s="822"/>
      <c r="J221" s="263"/>
      <c r="K221" s="99"/>
      <c r="L221" s="99"/>
      <c r="M221" s="99"/>
      <c r="N221" s="99"/>
      <c r="O221" s="99"/>
      <c r="P221" s="99">
        <f>R221+T221</f>
        <v>367.43299999999999</v>
      </c>
      <c r="Q221" s="99">
        <f>S221+U221</f>
        <v>367.43299999999999</v>
      </c>
      <c r="R221" s="99">
        <v>0</v>
      </c>
      <c r="S221" s="99">
        <v>0</v>
      </c>
      <c r="T221" s="99">
        <f>U221</f>
        <v>367.43299999999999</v>
      </c>
      <c r="U221" s="99">
        <f>(714.866+20)/2</f>
        <v>367.43299999999999</v>
      </c>
      <c r="V221" s="99"/>
      <c r="W221" s="99"/>
      <c r="X221" s="99"/>
      <c r="Y221" s="99"/>
      <c r="Z221" s="99">
        <f>SUM(AA221:AC221)</f>
        <v>367.43299999999999</v>
      </c>
      <c r="AA221" s="99"/>
      <c r="AB221" s="99">
        <f>714.866/2</f>
        <v>357.43299999999999</v>
      </c>
      <c r="AC221" s="99">
        <v>10</v>
      </c>
      <c r="AD221" s="99"/>
      <c r="AE221" s="99"/>
      <c r="AF221" s="99"/>
      <c r="AG221" s="99"/>
      <c r="AH221" s="99"/>
      <c r="AI221" s="99"/>
      <c r="AJ221" s="99"/>
      <c r="AK221" s="99"/>
      <c r="AL221" s="99"/>
      <c r="AM221" s="99"/>
      <c r="AN221" s="99"/>
      <c r="AO221" s="624"/>
      <c r="AP221" s="1064"/>
    </row>
    <row r="222" spans="1:42" ht="17.25" customHeight="1">
      <c r="A222" s="805"/>
      <c r="B222" s="1" t="s">
        <v>16</v>
      </c>
      <c r="C222" s="525"/>
      <c r="D222" s="525"/>
      <c r="E222" s="525"/>
      <c r="F222" s="525"/>
      <c r="G222" s="538">
        <v>2020</v>
      </c>
      <c r="H222" s="538">
        <v>2021</v>
      </c>
      <c r="I222" s="821"/>
      <c r="J222" s="54">
        <f t="shared" ref="J222" si="188">L222</f>
        <v>89140.68</v>
      </c>
      <c r="K222" s="6"/>
      <c r="L222" s="47">
        <v>89140.68</v>
      </c>
      <c r="M222" s="47">
        <v>0</v>
      </c>
      <c r="N222" s="47">
        <v>9523.69</v>
      </c>
      <c r="O222" s="47">
        <v>22469.279999999999</v>
      </c>
      <c r="P222" s="47">
        <f>N222</f>
        <v>9523.69</v>
      </c>
      <c r="Q222" s="47">
        <v>0</v>
      </c>
      <c r="R222" s="47">
        <v>0</v>
      </c>
      <c r="S222" s="47">
        <v>0</v>
      </c>
      <c r="T222" s="47">
        <v>0</v>
      </c>
      <c r="U222" s="47">
        <v>0</v>
      </c>
      <c r="V222" s="47">
        <v>0</v>
      </c>
      <c r="W222" s="47">
        <v>0</v>
      </c>
      <c r="X222" s="47">
        <v>0</v>
      </c>
      <c r="Y222" s="47">
        <v>0</v>
      </c>
      <c r="Z222" s="47">
        <v>0</v>
      </c>
      <c r="AA222" s="47">
        <v>0</v>
      </c>
      <c r="AB222" s="47">
        <v>0</v>
      </c>
      <c r="AC222" s="47">
        <v>0</v>
      </c>
      <c r="AD222" s="47">
        <v>0</v>
      </c>
      <c r="AE222" s="47">
        <v>0</v>
      </c>
      <c r="AF222" s="47">
        <v>0</v>
      </c>
      <c r="AG222" s="47">
        <v>0</v>
      </c>
      <c r="AH222" s="47">
        <v>0</v>
      </c>
      <c r="AI222" s="47">
        <v>0</v>
      </c>
      <c r="AJ222" s="47">
        <v>0</v>
      </c>
      <c r="AK222" s="47">
        <v>0</v>
      </c>
      <c r="AL222" s="47">
        <v>0</v>
      </c>
      <c r="AM222" s="47">
        <v>0</v>
      </c>
      <c r="AN222" s="47">
        <v>0</v>
      </c>
      <c r="AO222" s="642"/>
      <c r="AP222" s="1064"/>
    </row>
    <row r="223" spans="1:42" ht="56.25" customHeight="1">
      <c r="A223" s="803" t="s">
        <v>198</v>
      </c>
      <c r="B223" s="83" t="s">
        <v>168</v>
      </c>
      <c r="C223" s="824"/>
      <c r="D223" s="824"/>
      <c r="E223" s="824"/>
      <c r="F223" s="824">
        <v>81</v>
      </c>
      <c r="G223" s="52"/>
      <c r="H223" s="52"/>
      <c r="I223" s="820" t="s">
        <v>20</v>
      </c>
      <c r="J223" s="54">
        <f>L223</f>
        <v>5513.9</v>
      </c>
      <c r="K223" s="6"/>
      <c r="L223" s="82">
        <f>L224+L229</f>
        <v>5513.9</v>
      </c>
      <c r="M223" s="82">
        <f>M224+M229</f>
        <v>297.18</v>
      </c>
      <c r="N223" s="82">
        <f t="shared" ref="N223:O223" si="189">N224+N229</f>
        <v>1639.85</v>
      </c>
      <c r="O223" s="82">
        <f t="shared" si="189"/>
        <v>0</v>
      </c>
      <c r="P223" s="82">
        <f>N223</f>
        <v>1639.85</v>
      </c>
      <c r="Q223" s="82">
        <f>Q224+Q229</f>
        <v>122.38</v>
      </c>
      <c r="R223" s="82">
        <f t="shared" ref="R223:Z223" si="190">R224+R229</f>
        <v>122.38</v>
      </c>
      <c r="S223" s="82">
        <f t="shared" si="190"/>
        <v>122.38</v>
      </c>
      <c r="T223" s="82">
        <f t="shared" si="190"/>
        <v>0</v>
      </c>
      <c r="U223" s="82">
        <f t="shared" si="190"/>
        <v>0</v>
      </c>
      <c r="V223" s="82">
        <f t="shared" si="190"/>
        <v>0</v>
      </c>
      <c r="W223" s="82">
        <f t="shared" si="190"/>
        <v>0</v>
      </c>
      <c r="X223" s="82">
        <f t="shared" si="190"/>
        <v>0</v>
      </c>
      <c r="Y223" s="82">
        <f t="shared" si="190"/>
        <v>0</v>
      </c>
      <c r="Z223" s="82">
        <f t="shared" si="190"/>
        <v>122.37</v>
      </c>
      <c r="AA223" s="82">
        <f>AA224+AA229</f>
        <v>122.37</v>
      </c>
      <c r="AB223" s="82">
        <f t="shared" ref="AB223:AI223" si="191">AB224+AB229</f>
        <v>0</v>
      </c>
      <c r="AC223" s="82">
        <f t="shared" si="191"/>
        <v>0</v>
      </c>
      <c r="AD223" s="82">
        <f t="shared" si="191"/>
        <v>0</v>
      </c>
      <c r="AE223" s="82">
        <f t="shared" si="191"/>
        <v>0</v>
      </c>
      <c r="AF223" s="82">
        <f t="shared" si="191"/>
        <v>0</v>
      </c>
      <c r="AG223" s="82">
        <f t="shared" si="191"/>
        <v>0</v>
      </c>
      <c r="AH223" s="82">
        <f t="shared" si="191"/>
        <v>0</v>
      </c>
      <c r="AI223" s="82">
        <f t="shared" si="191"/>
        <v>0</v>
      </c>
      <c r="AJ223" s="82">
        <f>P223-Q223</f>
        <v>1517.4699999999998</v>
      </c>
      <c r="AK223" s="82">
        <f>AJ223</f>
        <v>1517.4699999999998</v>
      </c>
      <c r="AL223" s="82">
        <f>ROUND((Q223*100%/P223*100),2)</f>
        <v>7.46</v>
      </c>
      <c r="AM223" s="82">
        <f t="shared" ref="AM223:AN223" si="192">AM224+AM229</f>
        <v>0</v>
      </c>
      <c r="AN223" s="82">
        <f t="shared" si="192"/>
        <v>0</v>
      </c>
      <c r="AO223" s="643" t="s">
        <v>264</v>
      </c>
      <c r="AP223" s="1065" t="s">
        <v>322</v>
      </c>
    </row>
    <row r="224" spans="1:42" ht="17.25" customHeight="1">
      <c r="A224" s="804"/>
      <c r="B224" s="1" t="s">
        <v>15</v>
      </c>
      <c r="C224" s="823"/>
      <c r="D224" s="823"/>
      <c r="E224" s="823"/>
      <c r="F224" s="823"/>
      <c r="G224" s="538">
        <v>2021</v>
      </c>
      <c r="H224" s="538">
        <v>2023</v>
      </c>
      <c r="I224" s="822"/>
      <c r="J224" s="54">
        <f t="shared" ref="J224" si="193">L224</f>
        <v>594.36</v>
      </c>
      <c r="K224" s="6"/>
      <c r="L224" s="22">
        <v>594.36</v>
      </c>
      <c r="M224" s="22">
        <v>297.18</v>
      </c>
      <c r="N224" s="22">
        <v>0</v>
      </c>
      <c r="O224" s="22">
        <v>0</v>
      </c>
      <c r="P224" s="22">
        <v>0</v>
      </c>
      <c r="Q224" s="47">
        <f>SUM(Q226:Q228)</f>
        <v>122.38</v>
      </c>
      <c r="R224" s="47">
        <f t="shared" ref="R224:AD224" si="194">SUM(R226:R228)</f>
        <v>122.38</v>
      </c>
      <c r="S224" s="47">
        <f t="shared" si="194"/>
        <v>122.38</v>
      </c>
      <c r="T224" s="47">
        <f t="shared" si="194"/>
        <v>0</v>
      </c>
      <c r="U224" s="47">
        <f t="shared" si="194"/>
        <v>0</v>
      </c>
      <c r="V224" s="47">
        <f t="shared" si="194"/>
        <v>0</v>
      </c>
      <c r="W224" s="47">
        <f t="shared" si="194"/>
        <v>0</v>
      </c>
      <c r="X224" s="22">
        <v>0</v>
      </c>
      <c r="Y224" s="47">
        <f t="shared" si="194"/>
        <v>0</v>
      </c>
      <c r="Z224" s="47">
        <f t="shared" si="194"/>
        <v>122.37</v>
      </c>
      <c r="AA224" s="47">
        <f t="shared" si="194"/>
        <v>122.37</v>
      </c>
      <c r="AB224" s="47">
        <f t="shared" si="194"/>
        <v>0</v>
      </c>
      <c r="AC224" s="47">
        <f t="shared" si="194"/>
        <v>0</v>
      </c>
      <c r="AD224" s="47">
        <f t="shared" si="194"/>
        <v>0</v>
      </c>
      <c r="AE224" s="47">
        <f t="shared" ref="AE224:AI224" si="195">AE228</f>
        <v>0</v>
      </c>
      <c r="AF224" s="47">
        <f t="shared" si="195"/>
        <v>0</v>
      </c>
      <c r="AG224" s="47">
        <f t="shared" si="195"/>
        <v>0</v>
      </c>
      <c r="AH224" s="47">
        <f t="shared" si="195"/>
        <v>0</v>
      </c>
      <c r="AI224" s="47">
        <f t="shared" si="195"/>
        <v>0</v>
      </c>
      <c r="AJ224" s="47">
        <v>0</v>
      </c>
      <c r="AK224" s="47">
        <v>0</v>
      </c>
      <c r="AL224" s="47">
        <v>0</v>
      </c>
      <c r="AM224" s="47">
        <v>0</v>
      </c>
      <c r="AN224" s="47">
        <v>0</v>
      </c>
      <c r="AO224" s="642"/>
      <c r="AP224" s="1064"/>
    </row>
    <row r="225" spans="1:42" s="100" customFormat="1" ht="17.25" hidden="1" customHeight="1">
      <c r="A225" s="804"/>
      <c r="B225" s="105" t="s">
        <v>93</v>
      </c>
      <c r="C225" s="106"/>
      <c r="D225" s="106"/>
      <c r="E225" s="106"/>
      <c r="F225" s="106"/>
      <c r="G225" s="107"/>
      <c r="H225" s="107"/>
      <c r="I225" s="822"/>
      <c r="J225" s="108"/>
      <c r="K225" s="109"/>
      <c r="L225" s="178"/>
      <c r="M225" s="99"/>
      <c r="N225" s="99"/>
      <c r="O225" s="99"/>
      <c r="P225" s="99">
        <f>R225</f>
        <v>0</v>
      </c>
      <c r="Q225" s="99">
        <f>S225</f>
        <v>0</v>
      </c>
      <c r="R225" s="99">
        <f>S225</f>
        <v>0</v>
      </c>
      <c r="S225" s="99">
        <v>0</v>
      </c>
      <c r="T225" s="99"/>
      <c r="U225" s="99"/>
      <c r="V225" s="99"/>
      <c r="W225" s="99"/>
      <c r="X225" s="99">
        <v>0</v>
      </c>
      <c r="Y225" s="99">
        <v>0</v>
      </c>
      <c r="Z225" s="99">
        <v>0</v>
      </c>
      <c r="AA225" s="99">
        <v>0</v>
      </c>
      <c r="AB225" s="99"/>
      <c r="AC225" s="99"/>
      <c r="AD225" s="99"/>
      <c r="AE225" s="99"/>
      <c r="AF225" s="99"/>
      <c r="AG225" s="99"/>
      <c r="AH225" s="99"/>
      <c r="AI225" s="99"/>
      <c r="AJ225" s="99"/>
      <c r="AK225" s="99"/>
      <c r="AL225" s="99"/>
      <c r="AM225" s="99"/>
      <c r="AN225" s="99"/>
      <c r="AO225" s="644"/>
      <c r="AP225" s="1064"/>
    </row>
    <row r="226" spans="1:42" s="273" customFormat="1" ht="17.25" hidden="1" customHeight="1">
      <c r="A226" s="804"/>
      <c r="B226" s="257" t="s">
        <v>230</v>
      </c>
      <c r="C226" s="371"/>
      <c r="D226" s="371"/>
      <c r="E226" s="371"/>
      <c r="F226" s="371"/>
      <c r="G226" s="371"/>
      <c r="H226" s="372"/>
      <c r="I226" s="822"/>
      <c r="J226" s="263"/>
      <c r="K226" s="99"/>
      <c r="L226" s="99"/>
      <c r="M226" s="99"/>
      <c r="N226" s="99"/>
      <c r="O226" s="99"/>
      <c r="P226" s="47"/>
      <c r="Q226" s="99">
        <f>Y226</f>
        <v>0</v>
      </c>
      <c r="R226" s="99"/>
      <c r="S226" s="99"/>
      <c r="T226" s="99"/>
      <c r="U226" s="99"/>
      <c r="V226" s="99"/>
      <c r="W226" s="99"/>
      <c r="X226" s="99">
        <v>0</v>
      </c>
      <c r="Y226" s="99">
        <v>0</v>
      </c>
      <c r="Z226" s="99">
        <v>0</v>
      </c>
      <c r="AA226" s="99">
        <v>0</v>
      </c>
      <c r="AB226" s="99"/>
      <c r="AC226" s="99"/>
      <c r="AD226" s="99"/>
      <c r="AE226" s="99"/>
      <c r="AF226" s="99"/>
      <c r="AG226" s="99"/>
      <c r="AH226" s="99"/>
      <c r="AI226" s="99"/>
      <c r="AJ226" s="99"/>
      <c r="AK226" s="99"/>
      <c r="AL226" s="99"/>
      <c r="AM226" s="99"/>
      <c r="AN226" s="99"/>
      <c r="AO226" s="624"/>
      <c r="AP226" s="1064"/>
    </row>
    <row r="227" spans="1:42" s="273" customFormat="1" ht="17.25" hidden="1" customHeight="1">
      <c r="A227" s="804"/>
      <c r="B227" s="257" t="s">
        <v>231</v>
      </c>
      <c r="C227" s="371"/>
      <c r="D227" s="371"/>
      <c r="E227" s="371"/>
      <c r="F227" s="371"/>
      <c r="G227" s="371"/>
      <c r="H227" s="372"/>
      <c r="I227" s="822"/>
      <c r="J227" s="263"/>
      <c r="K227" s="99"/>
      <c r="L227" s="99"/>
      <c r="M227" s="99"/>
      <c r="N227" s="99"/>
      <c r="O227" s="99"/>
      <c r="P227" s="47"/>
      <c r="Q227" s="99">
        <f>S227</f>
        <v>122.38</v>
      </c>
      <c r="R227" s="99">
        <f>S227</f>
        <v>122.38</v>
      </c>
      <c r="S227" s="99">
        <v>122.38</v>
      </c>
      <c r="T227" s="99"/>
      <c r="U227" s="99"/>
      <c r="V227" s="99"/>
      <c r="W227" s="99"/>
      <c r="X227" s="99">
        <v>0</v>
      </c>
      <c r="Y227" s="99">
        <v>0</v>
      </c>
      <c r="Z227" s="99">
        <f>AA227</f>
        <v>122.37</v>
      </c>
      <c r="AA227" s="99">
        <v>122.37</v>
      </c>
      <c r="AB227" s="99"/>
      <c r="AC227" s="99"/>
      <c r="AD227" s="99"/>
      <c r="AE227" s="99"/>
      <c r="AF227" s="99"/>
      <c r="AG227" s="99"/>
      <c r="AH227" s="99"/>
      <c r="AI227" s="99"/>
      <c r="AJ227" s="99"/>
      <c r="AK227" s="99"/>
      <c r="AL227" s="99"/>
      <c r="AM227" s="99"/>
      <c r="AN227" s="99"/>
      <c r="AO227" s="624"/>
      <c r="AP227" s="1064"/>
    </row>
    <row r="228" spans="1:42" s="273" customFormat="1" ht="17.25" hidden="1" customHeight="1">
      <c r="A228" s="804"/>
      <c r="B228" s="257" t="s">
        <v>232</v>
      </c>
      <c r="C228" s="371"/>
      <c r="D228" s="371"/>
      <c r="E228" s="371"/>
      <c r="F228" s="371"/>
      <c r="G228" s="371"/>
      <c r="H228" s="372"/>
      <c r="I228" s="822"/>
      <c r="J228" s="263"/>
      <c r="K228" s="99"/>
      <c r="L228" s="99"/>
      <c r="M228" s="99"/>
      <c r="N228" s="99"/>
      <c r="O228" s="99"/>
      <c r="P228" s="47"/>
      <c r="Q228" s="99">
        <f t="shared" ref="Q228" si="196">Y228</f>
        <v>0</v>
      </c>
      <c r="R228" s="99"/>
      <c r="S228" s="99"/>
      <c r="T228" s="99"/>
      <c r="U228" s="99"/>
      <c r="V228" s="99"/>
      <c r="W228" s="99"/>
      <c r="X228" s="99">
        <v>0</v>
      </c>
      <c r="Y228" s="99">
        <v>0</v>
      </c>
      <c r="Z228" s="99">
        <v>0</v>
      </c>
      <c r="AA228" s="99">
        <v>0</v>
      </c>
      <c r="AB228" s="99"/>
      <c r="AC228" s="99"/>
      <c r="AD228" s="99"/>
      <c r="AE228" s="99"/>
      <c r="AF228" s="99"/>
      <c r="AG228" s="99"/>
      <c r="AH228" s="99"/>
      <c r="AI228" s="99"/>
      <c r="AJ228" s="99"/>
      <c r="AK228" s="99"/>
      <c r="AL228" s="99"/>
      <c r="AM228" s="99"/>
      <c r="AN228" s="99"/>
      <c r="AO228" s="624"/>
      <c r="AP228" s="1064"/>
    </row>
    <row r="229" spans="1:42" ht="15.75" customHeight="1">
      <c r="A229" s="805"/>
      <c r="B229" s="1" t="s">
        <v>32</v>
      </c>
      <c r="C229" s="525"/>
      <c r="D229" s="525"/>
      <c r="E229" s="525"/>
      <c r="F229" s="525"/>
      <c r="G229" s="538">
        <v>2022</v>
      </c>
      <c r="H229" s="538">
        <v>2025</v>
      </c>
      <c r="I229" s="821"/>
      <c r="J229" s="54">
        <f t="shared" ref="J229:J230" si="197">L229</f>
        <v>4919.54</v>
      </c>
      <c r="K229" s="6"/>
      <c r="L229" s="22">
        <v>4919.54</v>
      </c>
      <c r="M229" s="47">
        <v>0</v>
      </c>
      <c r="N229" s="47">
        <v>1639.85</v>
      </c>
      <c r="O229" s="47">
        <v>0</v>
      </c>
      <c r="P229" s="47">
        <f>N229</f>
        <v>1639.85</v>
      </c>
      <c r="Q229" s="47">
        <v>0</v>
      </c>
      <c r="R229" s="47">
        <v>0</v>
      </c>
      <c r="S229" s="47">
        <v>0</v>
      </c>
      <c r="T229" s="47">
        <v>0</v>
      </c>
      <c r="U229" s="47">
        <v>0</v>
      </c>
      <c r="V229" s="47">
        <v>0</v>
      </c>
      <c r="W229" s="47">
        <v>0</v>
      </c>
      <c r="X229" s="47">
        <v>0</v>
      </c>
      <c r="Y229" s="47">
        <v>0</v>
      </c>
      <c r="Z229" s="47">
        <v>0</v>
      </c>
      <c r="AA229" s="47">
        <v>0</v>
      </c>
      <c r="AB229" s="47">
        <v>0</v>
      </c>
      <c r="AC229" s="47">
        <v>0</v>
      </c>
      <c r="AD229" s="47">
        <v>0</v>
      </c>
      <c r="AE229" s="47">
        <v>0</v>
      </c>
      <c r="AF229" s="47">
        <v>0</v>
      </c>
      <c r="AG229" s="47">
        <v>0</v>
      </c>
      <c r="AH229" s="47">
        <v>0</v>
      </c>
      <c r="AI229" s="47">
        <v>0</v>
      </c>
      <c r="AJ229" s="47">
        <v>0</v>
      </c>
      <c r="AK229" s="47">
        <v>0</v>
      </c>
      <c r="AL229" s="47">
        <v>0</v>
      </c>
      <c r="AM229" s="47">
        <v>0</v>
      </c>
      <c r="AN229" s="47">
        <v>0</v>
      </c>
      <c r="AO229" s="642"/>
      <c r="AP229" s="992"/>
    </row>
    <row r="230" spans="1:42" ht="15.75" customHeight="1">
      <c r="A230" s="803" t="s">
        <v>199</v>
      </c>
      <c r="B230" s="80" t="s">
        <v>201</v>
      </c>
      <c r="C230" s="525"/>
      <c r="D230" s="525"/>
      <c r="E230" s="525"/>
      <c r="F230" s="525">
        <v>82</v>
      </c>
      <c r="G230" s="52"/>
      <c r="H230" s="52"/>
      <c r="I230" s="820" t="s">
        <v>20</v>
      </c>
      <c r="J230" s="54">
        <f t="shared" si="197"/>
        <v>12299.37</v>
      </c>
      <c r="K230" s="6"/>
      <c r="L230" s="82">
        <f>L232</f>
        <v>12299.37</v>
      </c>
      <c r="M230" s="82">
        <f t="shared" ref="M230:AN230" si="198">M232</f>
        <v>0</v>
      </c>
      <c r="N230" s="82">
        <f t="shared" si="198"/>
        <v>0</v>
      </c>
      <c r="O230" s="82">
        <f t="shared" si="198"/>
        <v>5371.98</v>
      </c>
      <c r="P230" s="82">
        <f t="shared" si="198"/>
        <v>0</v>
      </c>
      <c r="Q230" s="82">
        <f t="shared" si="198"/>
        <v>0</v>
      </c>
      <c r="R230" s="82">
        <f t="shared" si="198"/>
        <v>0</v>
      </c>
      <c r="S230" s="82">
        <f t="shared" si="198"/>
        <v>0</v>
      </c>
      <c r="T230" s="82">
        <f t="shared" si="198"/>
        <v>0</v>
      </c>
      <c r="U230" s="82">
        <f t="shared" si="198"/>
        <v>0</v>
      </c>
      <c r="V230" s="82">
        <f t="shared" si="198"/>
        <v>0</v>
      </c>
      <c r="W230" s="82">
        <f t="shared" si="198"/>
        <v>0</v>
      </c>
      <c r="X230" s="82">
        <f t="shared" si="198"/>
        <v>0</v>
      </c>
      <c r="Y230" s="82">
        <f t="shared" si="198"/>
        <v>0</v>
      </c>
      <c r="Z230" s="82">
        <f t="shared" si="198"/>
        <v>0</v>
      </c>
      <c r="AA230" s="82">
        <f t="shared" si="198"/>
        <v>0</v>
      </c>
      <c r="AB230" s="82">
        <f t="shared" si="198"/>
        <v>0</v>
      </c>
      <c r="AC230" s="82">
        <f t="shared" si="198"/>
        <v>0</v>
      </c>
      <c r="AD230" s="82">
        <f t="shared" si="198"/>
        <v>0</v>
      </c>
      <c r="AE230" s="82">
        <f t="shared" si="198"/>
        <v>0</v>
      </c>
      <c r="AF230" s="82">
        <f t="shared" si="198"/>
        <v>0</v>
      </c>
      <c r="AG230" s="82">
        <f t="shared" si="198"/>
        <v>0</v>
      </c>
      <c r="AH230" s="82">
        <f t="shared" si="198"/>
        <v>0</v>
      </c>
      <c r="AI230" s="82">
        <f t="shared" si="198"/>
        <v>0</v>
      </c>
      <c r="AJ230" s="82">
        <f t="shared" si="198"/>
        <v>0</v>
      </c>
      <c r="AK230" s="82">
        <f t="shared" si="198"/>
        <v>0</v>
      </c>
      <c r="AL230" s="82">
        <f t="shared" si="198"/>
        <v>0</v>
      </c>
      <c r="AM230" s="82">
        <f t="shared" si="198"/>
        <v>0</v>
      </c>
      <c r="AN230" s="82">
        <f t="shared" si="198"/>
        <v>0</v>
      </c>
      <c r="AO230" s="643"/>
      <c r="AP230" s="648"/>
    </row>
    <row r="231" spans="1:42" ht="15.75" hidden="1" customHeight="1">
      <c r="A231" s="804"/>
      <c r="B231" s="105" t="s">
        <v>93</v>
      </c>
      <c r="C231" s="106"/>
      <c r="D231" s="106"/>
      <c r="E231" s="106"/>
      <c r="F231" s="106"/>
      <c r="G231" s="107"/>
      <c r="H231" s="107"/>
      <c r="I231" s="822"/>
      <c r="J231" s="108"/>
      <c r="K231" s="109"/>
      <c r="L231" s="178"/>
      <c r="M231" s="99"/>
      <c r="N231" s="99"/>
      <c r="O231" s="99"/>
      <c r="P231" s="47">
        <f t="shared" ref="P231:Q231" si="199">R231</f>
        <v>0</v>
      </c>
      <c r="Q231" s="99">
        <f t="shared" si="199"/>
        <v>0</v>
      </c>
      <c r="R231" s="47">
        <f t="shared" ref="R231" si="200">S231</f>
        <v>0</v>
      </c>
      <c r="S231" s="47">
        <v>0</v>
      </c>
      <c r="T231" s="99"/>
      <c r="U231" s="99"/>
      <c r="V231" s="99"/>
      <c r="W231" s="99"/>
      <c r="X231" s="47"/>
      <c r="Y231" s="47"/>
      <c r="Z231" s="99">
        <v>0</v>
      </c>
      <c r="AA231" s="99">
        <v>0</v>
      </c>
      <c r="AB231" s="99"/>
      <c r="AC231" s="99"/>
      <c r="AD231" s="99"/>
      <c r="AE231" s="99"/>
      <c r="AF231" s="99"/>
      <c r="AG231" s="99"/>
      <c r="AH231" s="99"/>
      <c r="AI231" s="99"/>
      <c r="AJ231" s="99"/>
      <c r="AK231" s="99"/>
      <c r="AL231" s="99"/>
      <c r="AM231" s="99"/>
      <c r="AN231" s="99"/>
      <c r="AO231" s="644"/>
      <c r="AP231" s="648"/>
    </row>
    <row r="232" spans="1:42" ht="19.5" customHeight="1">
      <c r="A232" s="805"/>
      <c r="B232" s="1" t="s">
        <v>218</v>
      </c>
      <c r="C232" s="525"/>
      <c r="D232" s="525"/>
      <c r="E232" s="525"/>
      <c r="F232" s="525"/>
      <c r="G232" s="538">
        <v>2024</v>
      </c>
      <c r="H232" s="538">
        <v>2029</v>
      </c>
      <c r="I232" s="821"/>
      <c r="J232" s="54">
        <f t="shared" ref="J232:J234" si="201">L232</f>
        <v>12299.37</v>
      </c>
      <c r="K232" s="6"/>
      <c r="L232" s="22">
        <v>12299.37</v>
      </c>
      <c r="M232" s="47">
        <v>0</v>
      </c>
      <c r="N232" s="47">
        <v>0</v>
      </c>
      <c r="O232" s="47">
        <v>5371.98</v>
      </c>
      <c r="P232" s="47">
        <v>0</v>
      </c>
      <c r="Q232" s="47">
        <v>0</v>
      </c>
      <c r="R232" s="47">
        <v>0</v>
      </c>
      <c r="S232" s="47">
        <v>0</v>
      </c>
      <c r="T232" s="47">
        <v>0</v>
      </c>
      <c r="U232" s="47">
        <v>0</v>
      </c>
      <c r="V232" s="47">
        <v>0</v>
      </c>
      <c r="W232" s="47">
        <v>0</v>
      </c>
      <c r="X232" s="47">
        <v>0</v>
      </c>
      <c r="Y232" s="47">
        <v>0</v>
      </c>
      <c r="Z232" s="47">
        <v>0</v>
      </c>
      <c r="AA232" s="47">
        <v>0</v>
      </c>
      <c r="AB232" s="47">
        <v>0</v>
      </c>
      <c r="AC232" s="47">
        <v>0</v>
      </c>
      <c r="AD232" s="47">
        <v>0</v>
      </c>
      <c r="AE232" s="47">
        <v>0</v>
      </c>
      <c r="AF232" s="47">
        <v>0</v>
      </c>
      <c r="AG232" s="47">
        <v>0</v>
      </c>
      <c r="AH232" s="47">
        <v>0</v>
      </c>
      <c r="AI232" s="47">
        <v>0</v>
      </c>
      <c r="AJ232" s="47">
        <v>0</v>
      </c>
      <c r="AK232" s="47">
        <v>0</v>
      </c>
      <c r="AL232" s="47">
        <v>0</v>
      </c>
      <c r="AM232" s="47">
        <v>0</v>
      </c>
      <c r="AN232" s="47">
        <v>0</v>
      </c>
      <c r="AO232" s="642"/>
      <c r="AP232" s="648"/>
    </row>
    <row r="233" spans="1:42" ht="15.75" customHeight="1">
      <c r="A233" s="803" t="s">
        <v>200</v>
      </c>
      <c r="B233" s="80" t="s">
        <v>202</v>
      </c>
      <c r="C233" s="525"/>
      <c r="D233" s="525"/>
      <c r="E233" s="525"/>
      <c r="F233" s="525">
        <v>83</v>
      </c>
      <c r="G233" s="52"/>
      <c r="H233" s="52"/>
      <c r="I233" s="523"/>
      <c r="J233" s="54">
        <f t="shared" si="201"/>
        <v>264150.86</v>
      </c>
      <c r="K233" s="6"/>
      <c r="L233" s="82">
        <f>L234+L238</f>
        <v>264150.86</v>
      </c>
      <c r="M233" s="82">
        <f t="shared" ref="M233:O233" si="202">M234+M238</f>
        <v>263850.07</v>
      </c>
      <c r="N233" s="82">
        <f t="shared" si="202"/>
        <v>263850.07</v>
      </c>
      <c r="O233" s="82">
        <f t="shared" si="202"/>
        <v>263850.07</v>
      </c>
      <c r="P233" s="82">
        <f>N233</f>
        <v>263850.07</v>
      </c>
      <c r="Q233" s="82">
        <f t="shared" ref="Q233:AN233" si="203">Q234</f>
        <v>258.79000000000002</v>
      </c>
      <c r="R233" s="82">
        <f t="shared" si="203"/>
        <v>28.79</v>
      </c>
      <c r="S233" s="82">
        <f t="shared" si="203"/>
        <v>28.79</v>
      </c>
      <c r="T233" s="82">
        <f t="shared" si="203"/>
        <v>60</v>
      </c>
      <c r="U233" s="82">
        <f t="shared" si="203"/>
        <v>60</v>
      </c>
      <c r="V233" s="82">
        <f t="shared" si="203"/>
        <v>150</v>
      </c>
      <c r="W233" s="82">
        <f t="shared" si="203"/>
        <v>150</v>
      </c>
      <c r="X233" s="82">
        <f t="shared" si="203"/>
        <v>0</v>
      </c>
      <c r="Y233" s="82">
        <f t="shared" si="203"/>
        <v>20</v>
      </c>
      <c r="Z233" s="82">
        <f t="shared" si="203"/>
        <v>300.78999999999996</v>
      </c>
      <c r="AA233" s="82">
        <f t="shared" si="203"/>
        <v>70.789999999999992</v>
      </c>
      <c r="AB233" s="82">
        <f t="shared" si="203"/>
        <v>160</v>
      </c>
      <c r="AC233" s="82">
        <f t="shared" si="203"/>
        <v>70</v>
      </c>
      <c r="AD233" s="82">
        <f t="shared" si="203"/>
        <v>0</v>
      </c>
      <c r="AE233" s="82">
        <f t="shared" si="203"/>
        <v>0</v>
      </c>
      <c r="AF233" s="82">
        <f t="shared" si="203"/>
        <v>0</v>
      </c>
      <c r="AG233" s="82">
        <f t="shared" si="203"/>
        <v>0</v>
      </c>
      <c r="AH233" s="82">
        <f t="shared" si="203"/>
        <v>0</v>
      </c>
      <c r="AI233" s="82">
        <f t="shared" si="203"/>
        <v>0</v>
      </c>
      <c r="AJ233" s="82">
        <f t="shared" si="203"/>
        <v>0</v>
      </c>
      <c r="AK233" s="82">
        <f t="shared" si="203"/>
        <v>0</v>
      </c>
      <c r="AL233" s="82">
        <f>ROUND((Q233*100%/P233*100),2)</f>
        <v>0.1</v>
      </c>
      <c r="AM233" s="82">
        <f t="shared" si="203"/>
        <v>0</v>
      </c>
      <c r="AN233" s="82">
        <f t="shared" si="203"/>
        <v>0</v>
      </c>
      <c r="AO233" s="643"/>
      <c r="AP233" s="1065" t="s">
        <v>329</v>
      </c>
    </row>
    <row r="234" spans="1:42" ht="37.5" customHeight="1">
      <c r="A234" s="804"/>
      <c r="B234" s="1" t="s">
        <v>218</v>
      </c>
      <c r="C234" s="525"/>
      <c r="D234" s="525"/>
      <c r="E234" s="525"/>
      <c r="F234" s="525"/>
      <c r="G234" s="538">
        <v>2026</v>
      </c>
      <c r="H234" s="538">
        <v>2033</v>
      </c>
      <c r="I234" s="538" t="s">
        <v>20</v>
      </c>
      <c r="J234" s="54">
        <f t="shared" si="201"/>
        <v>300.79000000000002</v>
      </c>
      <c r="K234" s="6"/>
      <c r="L234" s="22">
        <v>300.79000000000002</v>
      </c>
      <c r="M234" s="47">
        <v>0</v>
      </c>
      <c r="N234" s="47">
        <v>0</v>
      </c>
      <c r="O234" s="47">
        <v>0</v>
      </c>
      <c r="P234" s="47">
        <v>0</v>
      </c>
      <c r="Q234" s="47">
        <f>SUM(Q235:Q237)</f>
        <v>258.79000000000002</v>
      </c>
      <c r="R234" s="47">
        <f t="shared" ref="R234:S234" si="204">SUM(R235:R236)</f>
        <v>28.79</v>
      </c>
      <c r="S234" s="47">
        <f t="shared" si="204"/>
        <v>28.79</v>
      </c>
      <c r="T234" s="47">
        <f>SUM(T235:T237)</f>
        <v>60</v>
      </c>
      <c r="U234" s="47">
        <f>SUM(U235:U237)</f>
        <v>60</v>
      </c>
      <c r="V234" s="47">
        <f>SUM(V235:V237)</f>
        <v>150</v>
      </c>
      <c r="W234" s="47">
        <f>SUM(W235:W237)</f>
        <v>150</v>
      </c>
      <c r="X234" s="47">
        <f t="shared" ref="X234:Y234" si="205">SUM(X235:X237)</f>
        <v>0</v>
      </c>
      <c r="Y234" s="47">
        <f t="shared" si="205"/>
        <v>20</v>
      </c>
      <c r="Z234" s="47">
        <f>SUM(Z235:Z238)</f>
        <v>300.78999999999996</v>
      </c>
      <c r="AA234" s="47">
        <f t="shared" ref="AA234:AD234" si="206">SUM(AA235:AA238)</f>
        <v>70.789999999999992</v>
      </c>
      <c r="AB234" s="47">
        <f t="shared" si="206"/>
        <v>160</v>
      </c>
      <c r="AC234" s="47">
        <f t="shared" si="206"/>
        <v>70</v>
      </c>
      <c r="AD234" s="47">
        <f t="shared" si="206"/>
        <v>0</v>
      </c>
      <c r="AE234" s="47">
        <v>0</v>
      </c>
      <c r="AF234" s="47">
        <v>0</v>
      </c>
      <c r="AG234" s="47">
        <v>0</v>
      </c>
      <c r="AH234" s="47">
        <v>0</v>
      </c>
      <c r="AI234" s="47">
        <v>0</v>
      </c>
      <c r="AJ234" s="47">
        <v>0</v>
      </c>
      <c r="AK234" s="47">
        <v>0</v>
      </c>
      <c r="AL234" s="47">
        <v>0</v>
      </c>
      <c r="AM234" s="47">
        <v>0</v>
      </c>
      <c r="AN234" s="47">
        <v>0</v>
      </c>
      <c r="AO234" s="642"/>
      <c r="AP234" s="1064"/>
    </row>
    <row r="235" spans="1:42" s="100" customFormat="1" ht="15" hidden="1" customHeight="1">
      <c r="A235" s="1075"/>
      <c r="B235" s="95" t="s">
        <v>272</v>
      </c>
      <c r="C235" s="453"/>
      <c r="D235" s="453"/>
      <c r="E235" s="453"/>
      <c r="F235" s="453"/>
      <c r="G235" s="267"/>
      <c r="H235" s="267"/>
      <c r="I235" s="376"/>
      <c r="J235" s="454"/>
      <c r="K235" s="455"/>
      <c r="L235" s="271"/>
      <c r="M235" s="275"/>
      <c r="N235" s="275"/>
      <c r="O235" s="275"/>
      <c r="P235" s="275">
        <f>R235</f>
        <v>28.79</v>
      </c>
      <c r="Q235" s="275">
        <f>S235</f>
        <v>28.79</v>
      </c>
      <c r="R235" s="275">
        <f>S235</f>
        <v>28.79</v>
      </c>
      <c r="S235" s="275">
        <v>28.79</v>
      </c>
      <c r="T235" s="275"/>
      <c r="U235" s="275"/>
      <c r="V235" s="275"/>
      <c r="W235" s="275"/>
      <c r="X235" s="275"/>
      <c r="Y235" s="275"/>
      <c r="Z235" s="178">
        <f>AA235</f>
        <v>28.79</v>
      </c>
      <c r="AA235" s="275">
        <v>28.79</v>
      </c>
      <c r="AB235" s="275"/>
      <c r="AC235" s="275"/>
      <c r="AD235" s="275"/>
      <c r="AE235" s="275"/>
      <c r="AF235" s="275"/>
      <c r="AG235" s="275"/>
      <c r="AH235" s="275"/>
      <c r="AI235" s="275"/>
      <c r="AJ235" s="275"/>
      <c r="AK235" s="275"/>
      <c r="AL235" s="275"/>
      <c r="AM235" s="275"/>
      <c r="AN235" s="275"/>
      <c r="AO235" s="641"/>
      <c r="AP235" s="1064"/>
    </row>
    <row r="236" spans="1:42" s="52" customFormat="1" ht="25.5" hidden="1" customHeight="1">
      <c r="A236" s="1075"/>
      <c r="B236" s="105" t="s">
        <v>245</v>
      </c>
      <c r="C236" s="106"/>
      <c r="D236" s="106"/>
      <c r="E236" s="106"/>
      <c r="F236" s="106"/>
      <c r="G236" s="107"/>
      <c r="H236" s="107"/>
      <c r="I236" s="123"/>
      <c r="J236" s="108"/>
      <c r="K236" s="109"/>
      <c r="L236" s="178">
        <v>0</v>
      </c>
      <c r="M236" s="178">
        <v>0</v>
      </c>
      <c r="N236" s="178">
        <v>0</v>
      </c>
      <c r="O236" s="178">
        <v>0</v>
      </c>
      <c r="P236" s="22">
        <v>0</v>
      </c>
      <c r="Q236" s="178">
        <v>0</v>
      </c>
      <c r="R236" s="178">
        <v>0</v>
      </c>
      <c r="S236" s="178">
        <v>0</v>
      </c>
      <c r="T236" s="178">
        <v>0</v>
      </c>
      <c r="U236" s="178">
        <v>0</v>
      </c>
      <c r="V236" s="178">
        <v>0</v>
      </c>
      <c r="W236" s="178">
        <v>0</v>
      </c>
      <c r="X236" s="178">
        <v>0</v>
      </c>
      <c r="Y236" s="178">
        <v>0</v>
      </c>
      <c r="Z236" s="178">
        <f>AA236</f>
        <v>42</v>
      </c>
      <c r="AA236" s="178">
        <v>42</v>
      </c>
      <c r="AB236" s="178"/>
      <c r="AC236" s="178"/>
      <c r="AD236" s="178"/>
      <c r="AE236" s="178">
        <v>0</v>
      </c>
      <c r="AF236" s="178">
        <v>0</v>
      </c>
      <c r="AG236" s="178"/>
      <c r="AH236" s="178"/>
      <c r="AI236" s="178"/>
      <c r="AJ236" s="178">
        <v>0</v>
      </c>
      <c r="AK236" s="178">
        <v>0</v>
      </c>
      <c r="AL236" s="178">
        <v>0</v>
      </c>
      <c r="AM236" s="178">
        <v>0</v>
      </c>
      <c r="AN236" s="178">
        <v>0</v>
      </c>
      <c r="AO236" s="644"/>
      <c r="AP236" s="1064"/>
    </row>
    <row r="237" spans="1:42" s="557" customFormat="1" ht="25.5" hidden="1" customHeight="1">
      <c r="A237" s="1075"/>
      <c r="B237" s="95" t="s">
        <v>273</v>
      </c>
      <c r="C237" s="558"/>
      <c r="D237" s="558"/>
      <c r="E237" s="558"/>
      <c r="F237" s="558"/>
      <c r="G237" s="267"/>
      <c r="H237" s="267"/>
      <c r="I237" s="559"/>
      <c r="J237" s="454"/>
      <c r="K237" s="455"/>
      <c r="L237" s="271"/>
      <c r="M237" s="271"/>
      <c r="N237" s="271"/>
      <c r="O237" s="271"/>
      <c r="P237" s="271">
        <f>R237+T237</f>
        <v>60</v>
      </c>
      <c r="Q237" s="271">
        <f>S237+U237+W237+Y237</f>
        <v>230</v>
      </c>
      <c r="R237" s="271"/>
      <c r="S237" s="271"/>
      <c r="T237" s="271">
        <v>60</v>
      </c>
      <c r="U237" s="271">
        <v>60</v>
      </c>
      <c r="V237" s="271">
        <f>W237</f>
        <v>150</v>
      </c>
      <c r="W237" s="271">
        <f>100+50</f>
        <v>150</v>
      </c>
      <c r="X237" s="271"/>
      <c r="Y237" s="271">
        <v>20</v>
      </c>
      <c r="Z237" s="271">
        <f>SUM(AA237:AD237)</f>
        <v>230</v>
      </c>
      <c r="AA237" s="271"/>
      <c r="AB237" s="271">
        <f>60+100</f>
        <v>160</v>
      </c>
      <c r="AC237" s="271">
        <f>50+20</f>
        <v>70</v>
      </c>
      <c r="AD237" s="271"/>
      <c r="AE237" s="271"/>
      <c r="AF237" s="271"/>
      <c r="AG237" s="271"/>
      <c r="AH237" s="271"/>
      <c r="AI237" s="271"/>
      <c r="AJ237" s="271"/>
      <c r="AK237" s="271"/>
      <c r="AL237" s="271"/>
      <c r="AM237" s="271"/>
      <c r="AN237" s="271"/>
      <c r="AO237" s="641"/>
      <c r="AP237" s="1064"/>
    </row>
    <row r="238" spans="1:42" s="26" customFormat="1" ht="25.5">
      <c r="A238" s="1076"/>
      <c r="B238" s="1"/>
      <c r="C238" s="555"/>
      <c r="D238" s="555"/>
      <c r="E238" s="555"/>
      <c r="F238" s="555"/>
      <c r="G238" s="556"/>
      <c r="H238" s="556"/>
      <c r="I238" s="23" t="s">
        <v>10</v>
      </c>
      <c r="J238" s="54"/>
      <c r="K238" s="6"/>
      <c r="L238" s="22">
        <v>263850.07</v>
      </c>
      <c r="M238" s="22">
        <v>263850.07</v>
      </c>
      <c r="N238" s="22">
        <v>263850.07</v>
      </c>
      <c r="O238" s="22">
        <v>263850.07</v>
      </c>
      <c r="P238" s="22">
        <v>263850.07</v>
      </c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560"/>
      <c r="AK238" s="560"/>
      <c r="AL238" s="560"/>
      <c r="AM238" s="560"/>
      <c r="AN238" s="560"/>
      <c r="AO238" s="561"/>
      <c r="AP238" s="992"/>
    </row>
    <row r="239" spans="1:42">
      <c r="B239" s="111"/>
      <c r="C239" s="111"/>
      <c r="D239" s="111"/>
      <c r="E239" s="111"/>
      <c r="F239" s="111"/>
      <c r="G239" s="111"/>
      <c r="H239" s="111"/>
      <c r="I239" s="111"/>
      <c r="J239" s="111"/>
      <c r="K239" s="111"/>
      <c r="L239" s="111"/>
      <c r="M239" s="111"/>
      <c r="N239" s="111"/>
      <c r="O239" s="111"/>
      <c r="P239" s="136"/>
      <c r="Q239" s="111"/>
      <c r="R239" s="136"/>
      <c r="S239" s="136"/>
      <c r="T239" s="111"/>
      <c r="U239" s="111"/>
      <c r="V239" s="111"/>
      <c r="W239" s="111"/>
    </row>
    <row r="240" spans="1:42">
      <c r="B240" s="111"/>
      <c r="C240" s="111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  <c r="O240" s="111"/>
      <c r="P240" s="136"/>
      <c r="Q240" s="111"/>
      <c r="R240" s="136"/>
      <c r="S240" s="136"/>
      <c r="T240" s="111"/>
      <c r="U240" s="111"/>
      <c r="V240" s="111"/>
      <c r="W240" s="111"/>
    </row>
    <row r="241" spans="2:42">
      <c r="B241" s="111" t="s">
        <v>96</v>
      </c>
      <c r="C241" s="111"/>
      <c r="D241" s="111"/>
      <c r="E241" s="111"/>
      <c r="F241" s="111"/>
      <c r="G241" s="111"/>
      <c r="H241" s="111"/>
      <c r="I241" s="111"/>
      <c r="J241" s="111"/>
      <c r="K241" s="111"/>
      <c r="L241" s="111"/>
      <c r="M241" s="111"/>
      <c r="N241" s="111"/>
      <c r="O241" s="111"/>
      <c r="P241" s="136"/>
      <c r="Q241" s="111" t="s">
        <v>310</v>
      </c>
      <c r="S241" s="111"/>
      <c r="T241" s="111" t="s">
        <v>97</v>
      </c>
      <c r="U241" s="111"/>
      <c r="V241" s="111"/>
      <c r="W241" s="111"/>
    </row>
    <row r="242" spans="2:42">
      <c r="B242" s="111"/>
      <c r="C242" s="111"/>
      <c r="D242" s="111"/>
      <c r="E242" s="111"/>
      <c r="F242" s="111"/>
      <c r="G242" s="111"/>
      <c r="H242" s="111"/>
      <c r="I242" s="111"/>
      <c r="J242" s="111"/>
      <c r="K242" s="111"/>
      <c r="L242" s="111"/>
      <c r="M242" s="111"/>
      <c r="N242" s="111"/>
      <c r="O242" s="111"/>
      <c r="P242" s="136"/>
      <c r="Q242" s="111"/>
      <c r="S242" s="111"/>
      <c r="T242" s="111"/>
      <c r="U242" s="111"/>
    </row>
    <row r="243" spans="2:42">
      <c r="B243" s="111"/>
      <c r="C243" s="111"/>
      <c r="D243" s="111"/>
      <c r="E243" s="111"/>
      <c r="F243" s="111"/>
      <c r="G243" s="111"/>
      <c r="H243" s="111"/>
      <c r="I243" s="111"/>
      <c r="J243" s="111"/>
      <c r="K243" s="111"/>
      <c r="L243" s="111"/>
      <c r="M243" s="111"/>
      <c r="N243" s="111"/>
      <c r="O243" s="111"/>
      <c r="P243" s="136"/>
      <c r="Q243" s="111"/>
      <c r="S243" s="111"/>
      <c r="T243" s="111"/>
      <c r="W243" s="111" t="s">
        <v>98</v>
      </c>
      <c r="Y243" s="111" t="s">
        <v>98</v>
      </c>
      <c r="AI243" s="111" t="s">
        <v>99</v>
      </c>
    </row>
    <row r="244" spans="2:42">
      <c r="B244" s="111" t="s">
        <v>94</v>
      </c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36"/>
      <c r="Q244" s="111" t="s">
        <v>311</v>
      </c>
      <c r="S244" s="111"/>
      <c r="T244" s="111" t="s">
        <v>95</v>
      </c>
      <c r="W244" s="111"/>
      <c r="Y244" s="12"/>
      <c r="AI244" s="111"/>
    </row>
    <row r="245" spans="2:42">
      <c r="W245" s="111"/>
      <c r="Y245" s="136"/>
      <c r="AI245" s="111"/>
    </row>
    <row r="246" spans="2:42">
      <c r="B246" s="136" t="s">
        <v>312</v>
      </c>
      <c r="W246" s="111" t="s">
        <v>100</v>
      </c>
      <c r="Y246" s="136" t="s">
        <v>315</v>
      </c>
      <c r="AI246" s="111" t="s">
        <v>101</v>
      </c>
    </row>
    <row r="247" spans="2:42" s="136" customFormat="1">
      <c r="B247" s="136" t="s">
        <v>313</v>
      </c>
      <c r="Q247" s="136" t="s">
        <v>314</v>
      </c>
      <c r="T247" s="136" t="s">
        <v>153</v>
      </c>
      <c r="X247" s="502"/>
      <c r="Y247" s="111" t="s">
        <v>316</v>
      </c>
      <c r="AO247" s="216"/>
      <c r="AP247" s="651"/>
    </row>
    <row r="248" spans="2:42" s="209" customFormat="1"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X248" s="398"/>
      <c r="Y248" s="398"/>
      <c r="AO248" s="430"/>
      <c r="AP248" s="651"/>
    </row>
    <row r="250" spans="2:42"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36"/>
      <c r="Q250" s="111"/>
      <c r="S250" s="111"/>
    </row>
    <row r="251" spans="2:42">
      <c r="C251" s="111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1"/>
      <c r="O251" s="111"/>
      <c r="P251" s="136"/>
      <c r="Q251" s="111"/>
      <c r="S251" s="111"/>
      <c r="T251" s="111"/>
      <c r="U251" s="111"/>
    </row>
    <row r="252" spans="2:42">
      <c r="C252" s="111"/>
      <c r="D252" s="111"/>
      <c r="E252" s="111"/>
      <c r="F252" s="111"/>
      <c r="G252" s="111"/>
      <c r="H252" s="111"/>
      <c r="I252" s="111"/>
      <c r="J252" s="111"/>
      <c r="K252" s="111"/>
      <c r="L252" s="111"/>
      <c r="M252" s="111"/>
      <c r="N252" s="111"/>
      <c r="O252" s="111"/>
      <c r="P252" s="136"/>
      <c r="Q252" s="111"/>
      <c r="S252" s="111"/>
      <c r="T252" s="111"/>
      <c r="U252" s="111"/>
    </row>
    <row r="253" spans="2:42">
      <c r="C253" s="111"/>
      <c r="D253" s="111"/>
      <c r="E253" s="111"/>
      <c r="F253" s="111"/>
      <c r="G253" s="111"/>
      <c r="H253" s="111"/>
      <c r="I253" s="111"/>
      <c r="J253" s="111"/>
      <c r="K253" s="111"/>
      <c r="L253" s="111"/>
      <c r="M253" s="111"/>
      <c r="N253" s="111"/>
      <c r="O253" s="111"/>
      <c r="P253" s="136"/>
      <c r="Q253" s="111"/>
      <c r="S253" s="111"/>
      <c r="T253" s="111"/>
      <c r="U253" s="111"/>
    </row>
    <row r="254" spans="2:42">
      <c r="T254" s="111"/>
      <c r="U254" s="111"/>
    </row>
  </sheetData>
  <mergeCells count="236">
    <mergeCell ref="A1:AO1"/>
    <mergeCell ref="A7:A9"/>
    <mergeCell ref="B7:B9"/>
    <mergeCell ref="C7:C9"/>
    <mergeCell ref="D7:D9"/>
    <mergeCell ref="E7:F8"/>
    <mergeCell ref="G7:G9"/>
    <mergeCell ref="H7:H9"/>
    <mergeCell ref="I7:I9"/>
    <mergeCell ref="J7:J9"/>
    <mergeCell ref="B11:F11"/>
    <mergeCell ref="A12:H15"/>
    <mergeCell ref="A16:H16"/>
    <mergeCell ref="A17:H21"/>
    <mergeCell ref="A22:A25"/>
    <mergeCell ref="B22:H25"/>
    <mergeCell ref="AO7:AO9"/>
    <mergeCell ref="N8:N9"/>
    <mergeCell ref="O8:O9"/>
    <mergeCell ref="AK8:AK9"/>
    <mergeCell ref="AL8:AL9"/>
    <mergeCell ref="AM8:AN8"/>
    <mergeCell ref="V7:W8"/>
    <mergeCell ref="X7:Y8"/>
    <mergeCell ref="Z7:AD8"/>
    <mergeCell ref="AE7:AI8"/>
    <mergeCell ref="AJ7:AJ9"/>
    <mergeCell ref="AK7:AN7"/>
    <mergeCell ref="K7:K9"/>
    <mergeCell ref="L7:L9"/>
    <mergeCell ref="M7:O7"/>
    <mergeCell ref="P7:Q8"/>
    <mergeCell ref="R7:S8"/>
    <mergeCell ref="T7:U8"/>
    <mergeCell ref="K43:K46"/>
    <mergeCell ref="A47:A50"/>
    <mergeCell ref="B47:H50"/>
    <mergeCell ref="A51:A53"/>
    <mergeCell ref="I51:I53"/>
    <mergeCell ref="J51:J53"/>
    <mergeCell ref="K51:K53"/>
    <mergeCell ref="H26:H27"/>
    <mergeCell ref="AO27:AO37"/>
    <mergeCell ref="A40:A42"/>
    <mergeCell ref="I40:I42"/>
    <mergeCell ref="J40:J42"/>
    <mergeCell ref="K40:K42"/>
    <mergeCell ref="AO41:AO42"/>
    <mergeCell ref="A26:A35"/>
    <mergeCell ref="C26:C27"/>
    <mergeCell ref="D26:D27"/>
    <mergeCell ref="E26:E27"/>
    <mergeCell ref="F26:F27"/>
    <mergeCell ref="G26:G27"/>
    <mergeCell ref="A54:A56"/>
    <mergeCell ref="B54:H56"/>
    <mergeCell ref="A57:A59"/>
    <mergeCell ref="C57:C59"/>
    <mergeCell ref="D57:D59"/>
    <mergeCell ref="E57:E59"/>
    <mergeCell ref="F57:F59"/>
    <mergeCell ref="A43:A46"/>
    <mergeCell ref="I43:I46"/>
    <mergeCell ref="A63:A65"/>
    <mergeCell ref="B63:H65"/>
    <mergeCell ref="A66:A69"/>
    <mergeCell ref="C66:C69"/>
    <mergeCell ref="D66:D69"/>
    <mergeCell ref="E66:E69"/>
    <mergeCell ref="F66:F69"/>
    <mergeCell ref="I57:I59"/>
    <mergeCell ref="A60:A62"/>
    <mergeCell ref="C60:C62"/>
    <mergeCell ref="D60:D62"/>
    <mergeCell ref="E60:E62"/>
    <mergeCell ref="F60:F62"/>
    <mergeCell ref="I60:I62"/>
    <mergeCell ref="C78:C81"/>
    <mergeCell ref="D78:D81"/>
    <mergeCell ref="E78:E81"/>
    <mergeCell ref="F78:F81"/>
    <mergeCell ref="I78:I81"/>
    <mergeCell ref="I83:I84"/>
    <mergeCell ref="I66:I69"/>
    <mergeCell ref="J66:J69"/>
    <mergeCell ref="A70:A73"/>
    <mergeCell ref="B70:H73"/>
    <mergeCell ref="A74:A75"/>
    <mergeCell ref="I74:I75"/>
    <mergeCell ref="A96:A100"/>
    <mergeCell ref="I96:I100"/>
    <mergeCell ref="A101:A102"/>
    <mergeCell ref="I101:I102"/>
    <mergeCell ref="A103:A105"/>
    <mergeCell ref="I103:I105"/>
    <mergeCell ref="A85:A86"/>
    <mergeCell ref="I85:I86"/>
    <mergeCell ref="A87:A88"/>
    <mergeCell ref="I87:I88"/>
    <mergeCell ref="A90:A95"/>
    <mergeCell ref="I90:I95"/>
    <mergeCell ref="A116:A120"/>
    <mergeCell ref="I116:I120"/>
    <mergeCell ref="J116:J120"/>
    <mergeCell ref="A122:H126"/>
    <mergeCell ref="A127:A130"/>
    <mergeCell ref="B127:H130"/>
    <mergeCell ref="A106:A108"/>
    <mergeCell ref="I106:I108"/>
    <mergeCell ref="A109:A110"/>
    <mergeCell ref="I109:I110"/>
    <mergeCell ref="A112:A115"/>
    <mergeCell ref="B112:H115"/>
    <mergeCell ref="H131:H132"/>
    <mergeCell ref="I131:I132"/>
    <mergeCell ref="J131:J132"/>
    <mergeCell ref="K131:K132"/>
    <mergeCell ref="A133:A135"/>
    <mergeCell ref="F133:F135"/>
    <mergeCell ref="I133:I135"/>
    <mergeCell ref="A131:A132"/>
    <mergeCell ref="C131:C132"/>
    <mergeCell ref="D131:D132"/>
    <mergeCell ref="E131:E132"/>
    <mergeCell ref="F131:F132"/>
    <mergeCell ref="G131:G132"/>
    <mergeCell ref="K136:K137"/>
    <mergeCell ref="A145:A146"/>
    <mergeCell ref="I145:I146"/>
    <mergeCell ref="A136:A137"/>
    <mergeCell ref="C136:C137"/>
    <mergeCell ref="D136:D137"/>
    <mergeCell ref="E136:E137"/>
    <mergeCell ref="F136:F137"/>
    <mergeCell ref="G136:G137"/>
    <mergeCell ref="A149:A150"/>
    <mergeCell ref="I149:I150"/>
    <mergeCell ref="A151:A152"/>
    <mergeCell ref="I151:I152"/>
    <mergeCell ref="A160:A163"/>
    <mergeCell ref="B160:H163"/>
    <mergeCell ref="H136:H137"/>
    <mergeCell ref="I136:I137"/>
    <mergeCell ref="J136:J137"/>
    <mergeCell ref="J164:J167"/>
    <mergeCell ref="A168:A169"/>
    <mergeCell ref="I168:I169"/>
    <mergeCell ref="I174:I175"/>
    <mergeCell ref="I180:I181"/>
    <mergeCell ref="I182:I183"/>
    <mergeCell ref="A164:A167"/>
    <mergeCell ref="C164:C167"/>
    <mergeCell ref="D164:D167"/>
    <mergeCell ref="E164:E167"/>
    <mergeCell ref="F164:F167"/>
    <mergeCell ref="I164:I167"/>
    <mergeCell ref="I188:I191"/>
    <mergeCell ref="J188:J191"/>
    <mergeCell ref="A192:A195"/>
    <mergeCell ref="B192:H195"/>
    <mergeCell ref="A196:A197"/>
    <mergeCell ref="I196:I197"/>
    <mergeCell ref="A184:A187"/>
    <mergeCell ref="B184:H187"/>
    <mergeCell ref="A188:A191"/>
    <mergeCell ref="C188:C191"/>
    <mergeCell ref="D188:D191"/>
    <mergeCell ref="E188:E191"/>
    <mergeCell ref="F188:F191"/>
    <mergeCell ref="G188:G191"/>
    <mergeCell ref="H188:H191"/>
    <mergeCell ref="A198:A202"/>
    <mergeCell ref="I198:I202"/>
    <mergeCell ref="A203:A204"/>
    <mergeCell ref="I203:I204"/>
    <mergeCell ref="I210:I211"/>
    <mergeCell ref="A212:A213"/>
    <mergeCell ref="C212:C213"/>
    <mergeCell ref="D212:D213"/>
    <mergeCell ref="E212:E213"/>
    <mergeCell ref="F212:F213"/>
    <mergeCell ref="A218:A222"/>
    <mergeCell ref="C218:C219"/>
    <mergeCell ref="D218:D219"/>
    <mergeCell ref="E218:E219"/>
    <mergeCell ref="F218:F219"/>
    <mergeCell ref="I218:I222"/>
    <mergeCell ref="I212:I213"/>
    <mergeCell ref="J212:J213"/>
    <mergeCell ref="A214:A217"/>
    <mergeCell ref="C214:C215"/>
    <mergeCell ref="D214:D215"/>
    <mergeCell ref="E214:E215"/>
    <mergeCell ref="F214:F215"/>
    <mergeCell ref="I214:I217"/>
    <mergeCell ref="A230:A232"/>
    <mergeCell ref="I230:I232"/>
    <mergeCell ref="A223:A229"/>
    <mergeCell ref="C223:C224"/>
    <mergeCell ref="D223:D224"/>
    <mergeCell ref="E223:E224"/>
    <mergeCell ref="F223:F224"/>
    <mergeCell ref="I223:I229"/>
    <mergeCell ref="A233:A238"/>
    <mergeCell ref="AP7:AP9"/>
    <mergeCell ref="AP26:AP39"/>
    <mergeCell ref="AP40:AP42"/>
    <mergeCell ref="AP43:AP46"/>
    <mergeCell ref="AP51:AP56"/>
    <mergeCell ref="AP60:AP65"/>
    <mergeCell ref="AP66:AP69"/>
    <mergeCell ref="AP74:AP77"/>
    <mergeCell ref="AP78:AP81"/>
    <mergeCell ref="AP83:AP84"/>
    <mergeCell ref="AP85:AP86"/>
    <mergeCell ref="AP87:AP88"/>
    <mergeCell ref="AP90:AP95"/>
    <mergeCell ref="AP96:AP100"/>
    <mergeCell ref="AP109:AP110"/>
    <mergeCell ref="AP116:AP120"/>
    <mergeCell ref="AP131:AP132"/>
    <mergeCell ref="AP133:AP135"/>
    <mergeCell ref="AP206:AP211"/>
    <mergeCell ref="AP214:AP217"/>
    <mergeCell ref="AP218:AP222"/>
    <mergeCell ref="AP223:AP229"/>
    <mergeCell ref="AP233:AP238"/>
    <mergeCell ref="AP136:AP137"/>
    <mergeCell ref="AP145:AP146"/>
    <mergeCell ref="AP149:AP150"/>
    <mergeCell ref="AP151:AP158"/>
    <mergeCell ref="AP164:AP167"/>
    <mergeCell ref="AP188:AP191"/>
    <mergeCell ref="AP196:AP197"/>
    <mergeCell ref="AP198:AP202"/>
    <mergeCell ref="AP203:AP204"/>
  </mergeCells>
  <pageMargins left="0" right="0" top="0.19685039370078741" bottom="0" header="0.31496062992125984" footer="0.31496062992125984"/>
  <pageSetup paperSize="9" scale="87" fitToHeight="10" orientation="landscape" r:id="rId1"/>
  <rowBreaks count="3" manualBreakCount="3">
    <brk id="50" max="16383" man="1"/>
    <brk id="148" max="16383" man="1"/>
    <brk id="19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54"/>
  <sheetViews>
    <sheetView topLeftCell="A7" zoomScale="130" zoomScaleNormal="130" zoomScaleSheetLayoutView="110" workbookViewId="0">
      <pane xSplit="23" ySplit="5" topLeftCell="X47" activePane="bottomRight" state="frozen"/>
      <selection activeCell="A7" sqref="A7"/>
      <selection pane="topRight" activeCell="X7" sqref="X7"/>
      <selection pane="bottomLeft" activeCell="A12" sqref="A12"/>
      <selection pane="bottomRight" activeCell="AN19" sqref="AN19"/>
    </sheetView>
  </sheetViews>
  <sheetFormatPr defaultRowHeight="15"/>
  <cols>
    <col min="1" max="1" width="7.140625" style="12" customWidth="1"/>
    <col min="2" max="2" width="42.7109375" style="12" customWidth="1"/>
    <col min="3" max="3" width="10" style="12" hidden="1" customWidth="1"/>
    <col min="4" max="4" width="12" style="12" hidden="1" customWidth="1"/>
    <col min="5" max="5" width="9.42578125" style="12" hidden="1" customWidth="1"/>
    <col min="6" max="6" width="11" style="12" hidden="1" customWidth="1"/>
    <col min="7" max="7" width="10.28515625" style="12" hidden="1" customWidth="1"/>
    <col min="8" max="8" width="10.5703125" style="12" hidden="1" customWidth="1"/>
    <col min="9" max="9" width="13.140625" style="12" customWidth="1"/>
    <col min="10" max="10" width="16.140625" style="12" hidden="1" customWidth="1"/>
    <col min="11" max="11" width="13.140625" style="12" hidden="1" customWidth="1"/>
    <col min="12" max="12" width="13.28515625" style="12" customWidth="1"/>
    <col min="13" max="13" width="12.140625" style="12" hidden="1" customWidth="1"/>
    <col min="14" max="14" width="11.7109375" style="12" hidden="1" customWidth="1"/>
    <col min="15" max="15" width="14.42578125" style="12" hidden="1" customWidth="1"/>
    <col min="16" max="16" width="11.28515625" style="12" customWidth="1"/>
    <col min="17" max="17" width="11.5703125" style="12" bestFit="1" customWidth="1"/>
    <col min="18" max="18" width="11.7109375" style="12" hidden="1" customWidth="1"/>
    <col min="19" max="19" width="11.28515625" style="12" hidden="1" customWidth="1"/>
    <col min="20" max="20" width="10.5703125" style="12" hidden="1" customWidth="1"/>
    <col min="21" max="21" width="12.42578125" style="12" hidden="1" customWidth="1"/>
    <col min="22" max="22" width="11.42578125" style="12" hidden="1" customWidth="1"/>
    <col min="23" max="23" width="10.42578125" style="12" hidden="1" customWidth="1"/>
    <col min="24" max="24" width="12.140625" style="100" customWidth="1"/>
    <col min="25" max="25" width="11.140625" style="100" customWidth="1"/>
    <col min="26" max="26" width="11.5703125" style="12" customWidth="1"/>
    <col min="27" max="28" width="11" style="12" hidden="1" customWidth="1"/>
    <col min="29" max="29" width="9.42578125" style="12" hidden="1" customWidth="1"/>
    <col min="30" max="31" width="11" style="12" customWidth="1"/>
    <col min="32" max="32" width="8" style="12" hidden="1" customWidth="1"/>
    <col min="33" max="33" width="10" style="12" hidden="1" customWidth="1"/>
    <col min="34" max="34" width="11.28515625" style="12" hidden="1" customWidth="1"/>
    <col min="35" max="35" width="10" style="12" customWidth="1"/>
    <col min="36" max="36" width="11.5703125" style="12" customWidth="1"/>
    <col min="37" max="37" width="12" style="12" customWidth="1"/>
    <col min="38" max="38" width="7" style="12" customWidth="1"/>
    <col min="39" max="40" width="9.28515625" style="12" customWidth="1"/>
    <col min="41" max="41" width="20.28515625" style="422" customWidth="1"/>
    <col min="42" max="42" width="9.140625" style="12" customWidth="1"/>
    <col min="43" max="16384" width="9.140625" style="12"/>
  </cols>
  <sheetData>
    <row r="1" spans="1:41" s="26" customFormat="1" ht="45" customHeight="1">
      <c r="A1" s="993" t="s">
        <v>317</v>
      </c>
      <c r="B1" s="993"/>
      <c r="C1" s="993"/>
      <c r="D1" s="993"/>
      <c r="E1" s="993"/>
      <c r="F1" s="993"/>
      <c r="G1" s="993"/>
      <c r="H1" s="993"/>
      <c r="I1" s="993"/>
      <c r="J1" s="993"/>
      <c r="K1" s="993"/>
      <c r="L1" s="993"/>
      <c r="M1" s="993"/>
      <c r="N1" s="993"/>
      <c r="O1" s="993"/>
      <c r="P1" s="993"/>
      <c r="Q1" s="994"/>
      <c r="R1" s="994"/>
      <c r="S1" s="994"/>
      <c r="T1" s="994"/>
      <c r="U1" s="994"/>
      <c r="V1" s="994"/>
      <c r="W1" s="994"/>
      <c r="X1" s="994"/>
      <c r="Y1" s="994"/>
      <c r="Z1" s="994"/>
      <c r="AA1" s="994"/>
      <c r="AB1" s="994"/>
      <c r="AC1" s="994"/>
      <c r="AD1" s="994"/>
      <c r="AE1" s="994"/>
      <c r="AF1" s="994"/>
      <c r="AG1" s="994"/>
      <c r="AH1" s="994"/>
      <c r="AI1" s="994"/>
      <c r="AJ1" s="994"/>
      <c r="AK1" s="994"/>
      <c r="AL1" s="994"/>
      <c r="AM1" s="994"/>
      <c r="AN1" s="994"/>
      <c r="AO1" s="994"/>
    </row>
    <row r="2" spans="1:41" s="26" customFormat="1" ht="20.25">
      <c r="A2" s="327"/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X2" s="167"/>
      <c r="Y2" s="167"/>
      <c r="AJ2" s="603" t="s">
        <v>308</v>
      </c>
      <c r="AO2" s="392" t="s">
        <v>246</v>
      </c>
    </row>
    <row r="3" spans="1:41" s="26" customFormat="1" ht="16.5" hidden="1" customHeight="1">
      <c r="A3" s="327"/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X3" s="167"/>
      <c r="Y3" s="167"/>
      <c r="AJ3" s="603" t="s">
        <v>309</v>
      </c>
      <c r="AO3" s="392" t="s">
        <v>91</v>
      </c>
    </row>
    <row r="4" spans="1:41" s="26" customFormat="1" ht="20.25" hidden="1">
      <c r="A4" s="327"/>
      <c r="B4" s="600"/>
      <c r="C4" s="600"/>
      <c r="D4" s="600"/>
      <c r="E4" s="600"/>
      <c r="F4" s="600"/>
      <c r="G4" s="600"/>
      <c r="H4" s="600"/>
      <c r="I4" s="600"/>
      <c r="J4" s="600"/>
      <c r="K4" s="600"/>
      <c r="L4" s="600"/>
      <c r="M4" s="600"/>
      <c r="N4" s="600"/>
      <c r="O4" s="600"/>
      <c r="P4" s="600"/>
      <c r="X4" s="167"/>
      <c r="Y4" s="167"/>
      <c r="AJ4" s="602" t="s">
        <v>305</v>
      </c>
      <c r="AO4" s="392" t="s">
        <v>299</v>
      </c>
    </row>
    <row r="5" spans="1:41" s="26" customFormat="1" ht="20.25" hidden="1">
      <c r="A5" s="327"/>
      <c r="B5" s="600"/>
      <c r="C5" s="600"/>
      <c r="D5" s="600"/>
      <c r="E5" s="600"/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X5" s="167"/>
      <c r="Y5" s="167"/>
      <c r="AJ5" s="395" t="s">
        <v>92</v>
      </c>
      <c r="AO5" s="475" t="s">
        <v>92</v>
      </c>
    </row>
    <row r="6" spans="1:41" s="26" customFormat="1" ht="20.25" hidden="1">
      <c r="A6" s="327"/>
      <c r="B6" s="600"/>
      <c r="C6" s="600"/>
      <c r="D6" s="600"/>
      <c r="E6" s="600"/>
      <c r="F6" s="600"/>
      <c r="G6" s="600"/>
      <c r="H6" s="600"/>
      <c r="I6" s="600"/>
      <c r="J6" s="600"/>
      <c r="K6" s="600"/>
      <c r="L6" s="600"/>
      <c r="M6" s="600"/>
      <c r="N6" s="600"/>
      <c r="O6" s="600"/>
      <c r="P6" s="600"/>
      <c r="X6" s="167"/>
      <c r="Y6" s="167"/>
      <c r="AK6" s="92"/>
      <c r="AL6" s="92"/>
      <c r="AM6" s="92"/>
      <c r="AN6" s="92"/>
      <c r="AO6" s="399"/>
    </row>
    <row r="7" spans="1:41" ht="63.75" customHeight="1">
      <c r="A7" s="940" t="s">
        <v>3</v>
      </c>
      <c r="B7" s="940" t="s">
        <v>4</v>
      </c>
      <c r="C7" s="874" t="s">
        <v>6</v>
      </c>
      <c r="D7" s="874" t="s">
        <v>14</v>
      </c>
      <c r="E7" s="941" t="s">
        <v>5</v>
      </c>
      <c r="F7" s="942"/>
      <c r="G7" s="874" t="s">
        <v>1</v>
      </c>
      <c r="H7" s="874" t="s">
        <v>2</v>
      </c>
      <c r="I7" s="874" t="s">
        <v>0</v>
      </c>
      <c r="J7" s="874" t="s">
        <v>51</v>
      </c>
      <c r="K7" s="874" t="s">
        <v>52</v>
      </c>
      <c r="L7" s="867" t="s">
        <v>284</v>
      </c>
      <c r="M7" s="871" t="s">
        <v>8</v>
      </c>
      <c r="N7" s="872"/>
      <c r="O7" s="873"/>
      <c r="P7" s="797" t="s">
        <v>307</v>
      </c>
      <c r="Q7" s="846"/>
      <c r="R7" s="849" t="s">
        <v>67</v>
      </c>
      <c r="S7" s="850"/>
      <c r="T7" s="853" t="s">
        <v>68</v>
      </c>
      <c r="U7" s="854"/>
      <c r="V7" s="853" t="s">
        <v>69</v>
      </c>
      <c r="W7" s="854"/>
      <c r="X7" s="849" t="s">
        <v>70</v>
      </c>
      <c r="Y7" s="850"/>
      <c r="Z7" s="853" t="s">
        <v>71</v>
      </c>
      <c r="AA7" s="860"/>
      <c r="AB7" s="860"/>
      <c r="AC7" s="861"/>
      <c r="AD7" s="862"/>
      <c r="AE7" s="797" t="s">
        <v>72</v>
      </c>
      <c r="AF7" s="798"/>
      <c r="AG7" s="798"/>
      <c r="AH7" s="798"/>
      <c r="AI7" s="799"/>
      <c r="AJ7" s="857" t="s">
        <v>73</v>
      </c>
      <c r="AK7" s="1031" t="s">
        <v>74</v>
      </c>
      <c r="AL7" s="1032"/>
      <c r="AM7" s="1032"/>
      <c r="AN7" s="1033"/>
      <c r="AO7" s="841" t="s">
        <v>75</v>
      </c>
    </row>
    <row r="8" spans="1:41" ht="15.75" customHeight="1">
      <c r="A8" s="940"/>
      <c r="B8" s="940"/>
      <c r="C8" s="875"/>
      <c r="D8" s="875"/>
      <c r="E8" s="943"/>
      <c r="F8" s="944"/>
      <c r="G8" s="875"/>
      <c r="H8" s="875"/>
      <c r="I8" s="875"/>
      <c r="J8" s="875"/>
      <c r="K8" s="875"/>
      <c r="L8" s="819"/>
      <c r="M8" s="581" t="s">
        <v>86</v>
      </c>
      <c r="N8" s="858" t="s">
        <v>262</v>
      </c>
      <c r="O8" s="869">
        <v>2021</v>
      </c>
      <c r="P8" s="847"/>
      <c r="Q8" s="848"/>
      <c r="R8" s="851"/>
      <c r="S8" s="852"/>
      <c r="T8" s="855"/>
      <c r="U8" s="856"/>
      <c r="V8" s="855"/>
      <c r="W8" s="856"/>
      <c r="X8" s="851"/>
      <c r="Y8" s="852"/>
      <c r="Z8" s="863"/>
      <c r="AA8" s="864"/>
      <c r="AB8" s="864"/>
      <c r="AC8" s="865"/>
      <c r="AD8" s="866"/>
      <c r="AE8" s="800"/>
      <c r="AF8" s="801"/>
      <c r="AG8" s="801"/>
      <c r="AH8" s="801"/>
      <c r="AI8" s="802"/>
      <c r="AJ8" s="858"/>
      <c r="AK8" s="844" t="s">
        <v>76</v>
      </c>
      <c r="AL8" s="844" t="s">
        <v>77</v>
      </c>
      <c r="AM8" s="845" t="s">
        <v>78</v>
      </c>
      <c r="AN8" s="845"/>
      <c r="AO8" s="842"/>
    </row>
    <row r="9" spans="1:41" ht="33" customHeight="1">
      <c r="A9" s="940"/>
      <c r="B9" s="940"/>
      <c r="C9" s="876"/>
      <c r="D9" s="876"/>
      <c r="E9" s="594" t="s">
        <v>64</v>
      </c>
      <c r="F9" s="594" t="s">
        <v>65</v>
      </c>
      <c r="G9" s="876"/>
      <c r="H9" s="876"/>
      <c r="I9" s="876"/>
      <c r="J9" s="876"/>
      <c r="K9" s="876"/>
      <c r="L9" s="868"/>
      <c r="M9" s="580" t="s">
        <v>90</v>
      </c>
      <c r="N9" s="859"/>
      <c r="O9" s="870"/>
      <c r="P9" s="458" t="s">
        <v>79</v>
      </c>
      <c r="Q9" s="65" t="s">
        <v>80</v>
      </c>
      <c r="R9" s="367" t="s">
        <v>81</v>
      </c>
      <c r="S9" s="367" t="s">
        <v>82</v>
      </c>
      <c r="T9" s="65" t="s">
        <v>81</v>
      </c>
      <c r="U9" s="65" t="s">
        <v>82</v>
      </c>
      <c r="V9" s="65" t="s">
        <v>83</v>
      </c>
      <c r="W9" s="65" t="s">
        <v>82</v>
      </c>
      <c r="X9" s="367" t="s">
        <v>83</v>
      </c>
      <c r="Y9" s="367" t="s">
        <v>82</v>
      </c>
      <c r="Z9" s="65" t="s">
        <v>265</v>
      </c>
      <c r="AA9" s="65" t="s">
        <v>256</v>
      </c>
      <c r="AB9" s="65" t="s">
        <v>268</v>
      </c>
      <c r="AC9" s="65" t="s">
        <v>278</v>
      </c>
      <c r="AD9" s="65" t="s">
        <v>279</v>
      </c>
      <c r="AE9" s="578" t="s">
        <v>257</v>
      </c>
      <c r="AF9" s="578" t="s">
        <v>254</v>
      </c>
      <c r="AG9" s="578" t="s">
        <v>255</v>
      </c>
      <c r="AH9" s="578" t="s">
        <v>278</v>
      </c>
      <c r="AI9" s="578" t="s">
        <v>279</v>
      </c>
      <c r="AJ9" s="859"/>
      <c r="AK9" s="844"/>
      <c r="AL9" s="844"/>
      <c r="AM9" s="579" t="s">
        <v>84</v>
      </c>
      <c r="AN9" s="579" t="s">
        <v>85</v>
      </c>
      <c r="AO9" s="843"/>
    </row>
    <row r="10" spans="1:41" ht="15.75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  <c r="I10" s="14">
        <v>9</v>
      </c>
      <c r="J10" s="14"/>
      <c r="K10" s="14"/>
      <c r="L10" s="14">
        <v>16</v>
      </c>
      <c r="M10" s="14">
        <v>17</v>
      </c>
      <c r="N10" s="14">
        <v>18</v>
      </c>
      <c r="O10" s="14">
        <v>19</v>
      </c>
      <c r="P10" s="582">
        <v>5</v>
      </c>
      <c r="Q10" s="69">
        <v>6</v>
      </c>
      <c r="R10" s="384">
        <v>7</v>
      </c>
      <c r="S10" s="384">
        <v>8</v>
      </c>
      <c r="T10" s="69">
        <v>9</v>
      </c>
      <c r="U10" s="69">
        <v>10</v>
      </c>
      <c r="V10" s="69">
        <v>11</v>
      </c>
      <c r="W10" s="69">
        <v>12</v>
      </c>
      <c r="X10" s="582">
        <v>13</v>
      </c>
      <c r="Y10" s="384">
        <v>14</v>
      </c>
      <c r="Z10" s="69">
        <v>15</v>
      </c>
      <c r="AA10" s="69">
        <v>16</v>
      </c>
      <c r="AB10" s="69">
        <v>17</v>
      </c>
      <c r="AC10" s="69">
        <v>18</v>
      </c>
      <c r="AD10" s="69">
        <v>19</v>
      </c>
      <c r="AE10" s="69">
        <v>17</v>
      </c>
      <c r="AF10" s="69">
        <v>18</v>
      </c>
      <c r="AG10" s="69">
        <v>19</v>
      </c>
      <c r="AH10" s="69">
        <v>20</v>
      </c>
      <c r="AI10" s="69"/>
      <c r="AJ10" s="69">
        <v>22</v>
      </c>
      <c r="AK10" s="69">
        <v>23</v>
      </c>
      <c r="AL10" s="69">
        <v>24</v>
      </c>
      <c r="AM10" s="69">
        <v>25</v>
      </c>
      <c r="AN10" s="69">
        <v>26</v>
      </c>
      <c r="AO10" s="69">
        <v>27</v>
      </c>
    </row>
    <row r="11" spans="1:41" ht="15.75">
      <c r="A11" s="328"/>
      <c r="B11" s="959" t="s">
        <v>11</v>
      </c>
      <c r="C11" s="960"/>
      <c r="D11" s="960"/>
      <c r="E11" s="960"/>
      <c r="F11" s="961"/>
      <c r="G11" s="88"/>
      <c r="H11" s="88"/>
      <c r="I11" s="89"/>
      <c r="J11" s="90">
        <f>J12+J13+J14+J15</f>
        <v>2106395.81</v>
      </c>
      <c r="K11" s="90">
        <f>K12+K13+K14+K15</f>
        <v>979387.0199999999</v>
      </c>
      <c r="L11" s="90">
        <f>L12+L13+L14+L15</f>
        <v>2984552.38</v>
      </c>
      <c r="M11" s="90">
        <f t="shared" ref="M11:P11" si="0">M12+M13+M14+M15</f>
        <v>1176698.6399999999</v>
      </c>
      <c r="N11" s="90">
        <f>N12+N13+N14+N15</f>
        <v>980121.65</v>
      </c>
      <c r="O11" s="90">
        <f t="shared" si="0"/>
        <v>508215.43000000005</v>
      </c>
      <c r="P11" s="90">
        <f t="shared" si="0"/>
        <v>980121.65</v>
      </c>
      <c r="Q11" s="90">
        <f>Q12+Q13+Q14+Q15</f>
        <v>261346.05300000001</v>
      </c>
      <c r="R11" s="90">
        <f t="shared" ref="R11:AN11" si="1">R12+R13+R14+R15</f>
        <v>43444.079000000005</v>
      </c>
      <c r="S11" s="90">
        <f t="shared" si="1"/>
        <v>43444.079000000005</v>
      </c>
      <c r="T11" s="90">
        <f t="shared" si="1"/>
        <v>52158.295999999995</v>
      </c>
      <c r="U11" s="90">
        <f t="shared" si="1"/>
        <v>43875.276999999995</v>
      </c>
      <c r="V11" s="90">
        <f t="shared" si="1"/>
        <v>10375.932000000001</v>
      </c>
      <c r="W11" s="90">
        <f t="shared" si="1"/>
        <v>69765.566999999995</v>
      </c>
      <c r="X11" s="90">
        <f t="shared" si="1"/>
        <v>7095.9049999999997</v>
      </c>
      <c r="Y11" s="90">
        <f t="shared" si="1"/>
        <v>104261.13</v>
      </c>
      <c r="Z11" s="90">
        <f>Z12+Z13+Z14+Z15</f>
        <v>257824.734</v>
      </c>
      <c r="AA11" s="90">
        <f>AA12+AA13+AA14+AA15</f>
        <v>37133.123999999996</v>
      </c>
      <c r="AB11" s="90">
        <f>AB12+AB13+AB14+AB15</f>
        <v>40197.283000000003</v>
      </c>
      <c r="AC11" s="90">
        <f t="shared" ref="AC11:AD11" si="2">AC12+AC13+AC14+AC15</f>
        <v>79242.455000000002</v>
      </c>
      <c r="AD11" s="90">
        <f t="shared" si="2"/>
        <v>101251.872</v>
      </c>
      <c r="AE11" s="90">
        <f>AE12+AE13+AE14+AE15</f>
        <v>140761.10399999999</v>
      </c>
      <c r="AF11" s="90">
        <f>AF12+AF13+AF14+AF15</f>
        <v>0</v>
      </c>
      <c r="AG11" s="90">
        <f t="shared" ref="AG11:AI11" si="3">AG12+AG13+AG14+AG15</f>
        <v>26166.241999999998</v>
      </c>
      <c r="AH11" s="90">
        <f t="shared" si="3"/>
        <v>114594.86200000001</v>
      </c>
      <c r="AI11" s="90">
        <f t="shared" si="3"/>
        <v>24158.33</v>
      </c>
      <c r="AJ11" s="90">
        <f>AJ12+AJ13+AJ14+AJ15</f>
        <v>140845.06099999999</v>
      </c>
      <c r="AK11" s="90">
        <f t="shared" si="1"/>
        <v>140845.06099999999</v>
      </c>
      <c r="AL11" s="90">
        <f>ROUND((Q11*100%/P11*100),2)</f>
        <v>26.66</v>
      </c>
      <c r="AM11" s="90">
        <f t="shared" si="1"/>
        <v>0</v>
      </c>
      <c r="AN11" s="90">
        <f t="shared" si="1"/>
        <v>0</v>
      </c>
      <c r="AO11" s="400"/>
    </row>
    <row r="12" spans="1:41" ht="59.25" customHeight="1">
      <c r="A12" s="968"/>
      <c r="B12" s="969"/>
      <c r="C12" s="969"/>
      <c r="D12" s="969"/>
      <c r="E12" s="969"/>
      <c r="F12" s="969"/>
      <c r="G12" s="969"/>
      <c r="H12" s="970"/>
      <c r="I12" s="15" t="s">
        <v>19</v>
      </c>
      <c r="J12" s="16">
        <f t="shared" ref="J12:AK15" si="4">J18+J123</f>
        <v>1130844</v>
      </c>
      <c r="K12" s="16">
        <f t="shared" si="4"/>
        <v>277183.29999999993</v>
      </c>
      <c r="L12" s="16">
        <f t="shared" si="4"/>
        <v>943503.33999999985</v>
      </c>
      <c r="M12" s="16">
        <f t="shared" si="4"/>
        <v>139101.35</v>
      </c>
      <c r="N12" s="16">
        <f t="shared" si="4"/>
        <v>119048.09999999999</v>
      </c>
      <c r="O12" s="16">
        <f t="shared" si="4"/>
        <v>118779.83000000002</v>
      </c>
      <c r="P12" s="16">
        <f t="shared" si="4"/>
        <v>119048.09999999999</v>
      </c>
      <c r="Q12" s="16">
        <f t="shared" si="4"/>
        <v>53386.568999999996</v>
      </c>
      <c r="R12" s="16">
        <f t="shared" si="4"/>
        <v>12489.515000000001</v>
      </c>
      <c r="S12" s="16">
        <f t="shared" si="4"/>
        <v>12489.515000000001</v>
      </c>
      <c r="T12" s="16">
        <f t="shared" si="4"/>
        <v>20042.650999999998</v>
      </c>
      <c r="U12" s="16">
        <f t="shared" si="4"/>
        <v>14939.753999999999</v>
      </c>
      <c r="V12" s="16">
        <f t="shared" si="4"/>
        <v>0</v>
      </c>
      <c r="W12" s="16">
        <f t="shared" si="4"/>
        <v>20329.266999999996</v>
      </c>
      <c r="X12" s="16">
        <f t="shared" si="4"/>
        <v>36</v>
      </c>
      <c r="Y12" s="16">
        <f t="shared" si="4"/>
        <v>5628.0329999999994</v>
      </c>
      <c r="Z12" s="16">
        <f t="shared" si="4"/>
        <v>31087.356</v>
      </c>
      <c r="AA12" s="16">
        <f t="shared" si="4"/>
        <v>2357.7179999999998</v>
      </c>
      <c r="AB12" s="16">
        <f t="shared" si="4"/>
        <v>27574.092000000001</v>
      </c>
      <c r="AC12" s="16">
        <f t="shared" si="4"/>
        <v>408.21500000000003</v>
      </c>
      <c r="AD12" s="16">
        <f t="shared" si="4"/>
        <v>747.33100000000002</v>
      </c>
      <c r="AE12" s="16">
        <f t="shared" si="4"/>
        <v>74499.888000000006</v>
      </c>
      <c r="AF12" s="16">
        <f t="shared" si="4"/>
        <v>0</v>
      </c>
      <c r="AG12" s="16">
        <f t="shared" si="4"/>
        <v>0</v>
      </c>
      <c r="AH12" s="16">
        <f t="shared" si="4"/>
        <v>74499.888000000006</v>
      </c>
      <c r="AI12" s="16">
        <f t="shared" si="4"/>
        <v>0</v>
      </c>
      <c r="AJ12" s="16">
        <f t="shared" si="4"/>
        <v>85680.859999999986</v>
      </c>
      <c r="AK12" s="16">
        <f t="shared" si="4"/>
        <v>85680.859999999986</v>
      </c>
      <c r="AL12" s="388">
        <f>ROUND((Q12*100%/P12*100),2)</f>
        <v>44.84</v>
      </c>
      <c r="AM12" s="16">
        <f t="shared" ref="AM12:AN15" si="5">AM18+AM123</f>
        <v>0</v>
      </c>
      <c r="AN12" s="16">
        <f t="shared" si="5"/>
        <v>0</v>
      </c>
      <c r="AO12" s="401"/>
    </row>
    <row r="13" spans="1:41" ht="44.25" customHeight="1">
      <c r="A13" s="971"/>
      <c r="B13" s="972"/>
      <c r="C13" s="972"/>
      <c r="D13" s="972"/>
      <c r="E13" s="972"/>
      <c r="F13" s="972"/>
      <c r="G13" s="972"/>
      <c r="H13" s="973"/>
      <c r="I13" s="15" t="s">
        <v>20</v>
      </c>
      <c r="J13" s="16">
        <f t="shared" si="4"/>
        <v>249930.72999999998</v>
      </c>
      <c r="K13" s="16">
        <f t="shared" si="4"/>
        <v>0</v>
      </c>
      <c r="L13" s="16">
        <f t="shared" si="4"/>
        <v>583894.28999999992</v>
      </c>
      <c r="M13" s="16">
        <f t="shared" si="4"/>
        <v>60774.350000000006</v>
      </c>
      <c r="N13" s="16">
        <f t="shared" si="4"/>
        <v>134872.99000000002</v>
      </c>
      <c r="O13" s="16">
        <f t="shared" si="4"/>
        <v>91691.959999999992</v>
      </c>
      <c r="P13" s="16">
        <f t="shared" si="4"/>
        <v>134872.99000000002</v>
      </c>
      <c r="Q13" s="16">
        <f t="shared" si="4"/>
        <v>46727.150999999998</v>
      </c>
      <c r="R13" s="16">
        <f t="shared" si="4"/>
        <v>6627.8000000000011</v>
      </c>
      <c r="S13" s="16">
        <f t="shared" si="4"/>
        <v>6627.8000000000011</v>
      </c>
      <c r="T13" s="16">
        <f t="shared" si="4"/>
        <v>25812.017</v>
      </c>
      <c r="U13" s="16">
        <f t="shared" si="4"/>
        <v>22631.895</v>
      </c>
      <c r="V13" s="16">
        <f t="shared" si="4"/>
        <v>10375.932000000001</v>
      </c>
      <c r="W13" s="16">
        <f t="shared" si="4"/>
        <v>10375.932000000001</v>
      </c>
      <c r="X13" s="16">
        <f t="shared" si="4"/>
        <v>7059.9049999999997</v>
      </c>
      <c r="Y13" s="16">
        <f t="shared" si="4"/>
        <v>7091.5239999999994</v>
      </c>
      <c r="Z13" s="16">
        <f t="shared" si="4"/>
        <v>69913.650999999998</v>
      </c>
      <c r="AA13" s="16">
        <f t="shared" si="4"/>
        <v>22996.44</v>
      </c>
      <c r="AB13" s="16">
        <f t="shared" si="4"/>
        <v>5716.3099999999995</v>
      </c>
      <c r="AC13" s="16">
        <f t="shared" si="4"/>
        <v>13530.952000000001</v>
      </c>
      <c r="AD13" s="16">
        <f t="shared" si="4"/>
        <v>27669.949000000001</v>
      </c>
      <c r="AE13" s="16">
        <f t="shared" si="4"/>
        <v>66261.216</v>
      </c>
      <c r="AF13" s="16">
        <f t="shared" si="4"/>
        <v>0</v>
      </c>
      <c r="AG13" s="16">
        <f t="shared" si="4"/>
        <v>26166.241999999998</v>
      </c>
      <c r="AH13" s="16">
        <f t="shared" si="4"/>
        <v>40094.974000000002</v>
      </c>
      <c r="AI13" s="16">
        <f t="shared" si="4"/>
        <v>24158.33</v>
      </c>
      <c r="AJ13" s="16">
        <f t="shared" si="4"/>
        <v>55164.201000000008</v>
      </c>
      <c r="AK13" s="16">
        <f t="shared" si="4"/>
        <v>55164.201000000008</v>
      </c>
      <c r="AL13" s="388">
        <f>ROUND((Q13*100%/P13*100),2)</f>
        <v>34.65</v>
      </c>
      <c r="AM13" s="16">
        <f t="shared" si="5"/>
        <v>0</v>
      </c>
      <c r="AN13" s="16">
        <f t="shared" si="5"/>
        <v>0</v>
      </c>
      <c r="AO13" s="401"/>
    </row>
    <row r="14" spans="1:41" ht="25.5" customHeight="1">
      <c r="A14" s="971"/>
      <c r="B14" s="972"/>
      <c r="C14" s="972"/>
      <c r="D14" s="972"/>
      <c r="E14" s="972"/>
      <c r="F14" s="972"/>
      <c r="G14" s="972"/>
      <c r="H14" s="973"/>
      <c r="I14" s="15" t="s">
        <v>10</v>
      </c>
      <c r="J14" s="16">
        <f t="shared" si="4"/>
        <v>23417.360000000001</v>
      </c>
      <c r="K14" s="16">
        <f t="shared" si="4"/>
        <v>0</v>
      </c>
      <c r="L14" s="16">
        <f t="shared" si="4"/>
        <v>667536.91</v>
      </c>
      <c r="M14" s="16">
        <f t="shared" si="4"/>
        <v>627881.75</v>
      </c>
      <c r="N14" s="16">
        <f t="shared" si="4"/>
        <v>529727.44999999995</v>
      </c>
      <c r="O14" s="16">
        <f t="shared" si="4"/>
        <v>297742.64</v>
      </c>
      <c r="P14" s="16">
        <f>P20+P125</f>
        <v>529727.44999999995</v>
      </c>
      <c r="Q14" s="16">
        <f t="shared" si="4"/>
        <v>0</v>
      </c>
      <c r="R14" s="16">
        <f t="shared" si="4"/>
        <v>0</v>
      </c>
      <c r="S14" s="16">
        <f t="shared" si="4"/>
        <v>0</v>
      </c>
      <c r="T14" s="16">
        <f t="shared" si="4"/>
        <v>0</v>
      </c>
      <c r="U14" s="16">
        <f t="shared" si="4"/>
        <v>0</v>
      </c>
      <c r="V14" s="16">
        <f t="shared" si="4"/>
        <v>0</v>
      </c>
      <c r="W14" s="16">
        <f t="shared" si="4"/>
        <v>0</v>
      </c>
      <c r="X14" s="16">
        <f t="shared" si="4"/>
        <v>0</v>
      </c>
      <c r="Y14" s="16">
        <f t="shared" si="4"/>
        <v>0</v>
      </c>
      <c r="Z14" s="16">
        <f t="shared" si="4"/>
        <v>0</v>
      </c>
      <c r="AA14" s="16">
        <f t="shared" si="4"/>
        <v>0</v>
      </c>
      <c r="AB14" s="16">
        <f t="shared" si="4"/>
        <v>0</v>
      </c>
      <c r="AC14" s="16">
        <f t="shared" si="4"/>
        <v>0</v>
      </c>
      <c r="AD14" s="16">
        <f t="shared" si="4"/>
        <v>0</v>
      </c>
      <c r="AE14" s="16">
        <f t="shared" si="4"/>
        <v>0</v>
      </c>
      <c r="AF14" s="16">
        <f t="shared" si="4"/>
        <v>0</v>
      </c>
      <c r="AG14" s="16">
        <f t="shared" si="4"/>
        <v>0</v>
      </c>
      <c r="AH14" s="16">
        <f t="shared" si="4"/>
        <v>0</v>
      </c>
      <c r="AI14" s="16">
        <f t="shared" si="4"/>
        <v>0</v>
      </c>
      <c r="AJ14" s="16">
        <f t="shared" si="4"/>
        <v>0</v>
      </c>
      <c r="AK14" s="16">
        <f t="shared" si="4"/>
        <v>0</v>
      </c>
      <c r="AL14" s="388">
        <f>ROUND((Q14*100%/P14*100),2)</f>
        <v>0</v>
      </c>
      <c r="AM14" s="16">
        <f t="shared" si="5"/>
        <v>0</v>
      </c>
      <c r="AN14" s="16">
        <f t="shared" si="5"/>
        <v>0</v>
      </c>
      <c r="AO14" s="401"/>
    </row>
    <row r="15" spans="1:41" ht="25.5">
      <c r="A15" s="974"/>
      <c r="B15" s="975"/>
      <c r="C15" s="975"/>
      <c r="D15" s="975"/>
      <c r="E15" s="975"/>
      <c r="F15" s="975"/>
      <c r="G15" s="975"/>
      <c r="H15" s="976"/>
      <c r="I15" s="15" t="s">
        <v>9</v>
      </c>
      <c r="J15" s="16">
        <f t="shared" si="4"/>
        <v>702203.72</v>
      </c>
      <c r="K15" s="16">
        <f t="shared" si="4"/>
        <v>702203.72</v>
      </c>
      <c r="L15" s="16">
        <f t="shared" si="4"/>
        <v>789617.84</v>
      </c>
      <c r="M15" s="16">
        <f t="shared" si="4"/>
        <v>348941.19</v>
      </c>
      <c r="N15" s="16">
        <f t="shared" si="4"/>
        <v>196473.11</v>
      </c>
      <c r="O15" s="16">
        <f t="shared" si="4"/>
        <v>1</v>
      </c>
      <c r="P15" s="16">
        <f t="shared" si="4"/>
        <v>196473.11</v>
      </c>
      <c r="Q15" s="16">
        <f t="shared" si="4"/>
        <v>161232.33300000001</v>
      </c>
      <c r="R15" s="16">
        <f t="shared" si="4"/>
        <v>24326.764000000003</v>
      </c>
      <c r="S15" s="16">
        <f t="shared" si="4"/>
        <v>24326.764000000003</v>
      </c>
      <c r="T15" s="16">
        <f t="shared" si="4"/>
        <v>6303.6279999999997</v>
      </c>
      <c r="U15" s="16">
        <f t="shared" si="4"/>
        <v>6303.6279999999997</v>
      </c>
      <c r="V15" s="16">
        <f t="shared" si="4"/>
        <v>0</v>
      </c>
      <c r="W15" s="16">
        <f t="shared" si="4"/>
        <v>39060.368000000002</v>
      </c>
      <c r="X15" s="16">
        <f t="shared" si="4"/>
        <v>0</v>
      </c>
      <c r="Y15" s="16">
        <f t="shared" si="4"/>
        <v>91541.573000000004</v>
      </c>
      <c r="Z15" s="16">
        <f t="shared" si="4"/>
        <v>156823.72700000001</v>
      </c>
      <c r="AA15" s="16">
        <f t="shared" si="4"/>
        <v>11778.966</v>
      </c>
      <c r="AB15" s="16">
        <f t="shared" si="4"/>
        <v>6906.8810000000003</v>
      </c>
      <c r="AC15" s="16">
        <f t="shared" si="4"/>
        <v>65303.288</v>
      </c>
      <c r="AD15" s="16">
        <f t="shared" si="4"/>
        <v>72834.592000000004</v>
      </c>
      <c r="AE15" s="16">
        <f t="shared" si="4"/>
        <v>0</v>
      </c>
      <c r="AF15" s="16">
        <f t="shared" si="4"/>
        <v>0</v>
      </c>
      <c r="AG15" s="16">
        <f t="shared" si="4"/>
        <v>0</v>
      </c>
      <c r="AH15" s="16">
        <f t="shared" si="4"/>
        <v>0</v>
      </c>
      <c r="AI15" s="16">
        <f t="shared" si="4"/>
        <v>0</v>
      </c>
      <c r="AJ15" s="16">
        <f t="shared" si="4"/>
        <v>0</v>
      </c>
      <c r="AK15" s="16">
        <f t="shared" si="4"/>
        <v>0</v>
      </c>
      <c r="AL15" s="388">
        <f>ROUND((Q15*100%/P15*100),2)</f>
        <v>82.06</v>
      </c>
      <c r="AM15" s="16">
        <f t="shared" si="5"/>
        <v>0</v>
      </c>
      <c r="AN15" s="16">
        <f t="shared" si="5"/>
        <v>0</v>
      </c>
      <c r="AO15" s="401"/>
    </row>
    <row r="16" spans="1:41" ht="15.75">
      <c r="A16" s="962" t="s">
        <v>12</v>
      </c>
      <c r="B16" s="963"/>
      <c r="C16" s="963"/>
      <c r="D16" s="963"/>
      <c r="E16" s="963"/>
      <c r="F16" s="963"/>
      <c r="G16" s="963"/>
      <c r="H16" s="964"/>
      <c r="I16" s="17"/>
      <c r="J16" s="17"/>
      <c r="K16" s="17"/>
      <c r="L16" s="18"/>
      <c r="M16" s="18"/>
      <c r="N16" s="18"/>
      <c r="O16" s="18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402"/>
    </row>
    <row r="17" spans="1:41" ht="15.75">
      <c r="A17" s="977"/>
      <c r="B17" s="978"/>
      <c r="C17" s="978"/>
      <c r="D17" s="978"/>
      <c r="E17" s="978"/>
      <c r="F17" s="978"/>
      <c r="G17" s="978"/>
      <c r="H17" s="979"/>
      <c r="I17" s="19" t="s">
        <v>21</v>
      </c>
      <c r="J17" s="20">
        <f t="shared" ref="J17:O17" si="6">J18+J19+J20+J21</f>
        <v>1940430.69</v>
      </c>
      <c r="K17" s="20">
        <f t="shared" si="6"/>
        <v>954032.91999999993</v>
      </c>
      <c r="L17" s="20">
        <f>L18+L19+L20+L21</f>
        <v>1942433.19</v>
      </c>
      <c r="M17" s="20">
        <f>M18+M19+M20+M21</f>
        <v>605672.16</v>
      </c>
      <c r="N17" s="20">
        <f t="shared" si="6"/>
        <v>363282.47</v>
      </c>
      <c r="O17" s="20">
        <f t="shared" si="6"/>
        <v>116582.55</v>
      </c>
      <c r="P17" s="47">
        <f>P18+P19+P20+P21</f>
        <v>363282.47</v>
      </c>
      <c r="Q17" s="47">
        <f t="shared" ref="Q17:AN17" si="7">Q18+Q19+Q20+Q21</f>
        <v>195152.986</v>
      </c>
      <c r="R17" s="47">
        <f t="shared" si="7"/>
        <v>28146.019000000004</v>
      </c>
      <c r="S17" s="47">
        <f t="shared" si="7"/>
        <v>28146.019000000004</v>
      </c>
      <c r="T17" s="47">
        <f t="shared" si="7"/>
        <v>29228.659</v>
      </c>
      <c r="U17" s="47">
        <f t="shared" si="7"/>
        <v>23582.821</v>
      </c>
      <c r="V17" s="47">
        <f t="shared" si="7"/>
        <v>5956.13</v>
      </c>
      <c r="W17" s="47">
        <f t="shared" si="7"/>
        <v>45225.635000000002</v>
      </c>
      <c r="X17" s="47">
        <f t="shared" si="7"/>
        <v>6064.9049999999997</v>
      </c>
      <c r="Y17" s="47">
        <f t="shared" si="7"/>
        <v>98198.510999999999</v>
      </c>
      <c r="Z17" s="47">
        <f t="shared" si="7"/>
        <v>217951.06400000001</v>
      </c>
      <c r="AA17" s="47">
        <f t="shared" si="7"/>
        <v>33186.103999999999</v>
      </c>
      <c r="AB17" s="47">
        <f t="shared" si="7"/>
        <v>7568.174</v>
      </c>
      <c r="AC17" s="47">
        <f t="shared" si="7"/>
        <v>77737.532999999996</v>
      </c>
      <c r="AD17" s="47">
        <f t="shared" si="7"/>
        <v>99459.252999999997</v>
      </c>
      <c r="AE17" s="47">
        <f t="shared" si="7"/>
        <v>40094.974000000002</v>
      </c>
      <c r="AF17" s="47">
        <f t="shared" si="7"/>
        <v>0</v>
      </c>
      <c r="AG17" s="47">
        <f t="shared" si="7"/>
        <v>0</v>
      </c>
      <c r="AH17" s="47">
        <f t="shared" si="7"/>
        <v>40094.974000000002</v>
      </c>
      <c r="AI17" s="47">
        <f t="shared" si="7"/>
        <v>24158.33</v>
      </c>
      <c r="AJ17" s="47">
        <f t="shared" si="7"/>
        <v>91307.979999999981</v>
      </c>
      <c r="AK17" s="47">
        <f t="shared" si="7"/>
        <v>91307.979999999981</v>
      </c>
      <c r="AL17" s="47">
        <f t="shared" si="7"/>
        <v>412.8900000000001</v>
      </c>
      <c r="AM17" s="47">
        <f t="shared" si="7"/>
        <v>0</v>
      </c>
      <c r="AN17" s="47">
        <f t="shared" si="7"/>
        <v>0</v>
      </c>
      <c r="AO17" s="403"/>
    </row>
    <row r="18" spans="1:41" ht="53.25" customHeight="1">
      <c r="A18" s="980"/>
      <c r="B18" s="981"/>
      <c r="C18" s="981"/>
      <c r="D18" s="981"/>
      <c r="E18" s="981"/>
      <c r="F18" s="981"/>
      <c r="G18" s="981"/>
      <c r="H18" s="982"/>
      <c r="I18" s="15" t="s">
        <v>19</v>
      </c>
      <c r="J18" s="16">
        <f t="shared" ref="J18:AN18" si="8">J22+J112</f>
        <v>977955.46</v>
      </c>
      <c r="K18" s="16">
        <f t="shared" si="8"/>
        <v>251829.19999999995</v>
      </c>
      <c r="L18" s="16">
        <f t="shared" si="8"/>
        <v>750480.15999999992</v>
      </c>
      <c r="M18" s="16">
        <f t="shared" si="8"/>
        <v>96658.23</v>
      </c>
      <c r="N18" s="16">
        <f t="shared" si="8"/>
        <v>83716.939999999988</v>
      </c>
      <c r="O18" s="16">
        <f t="shared" si="8"/>
        <v>78886.680000000008</v>
      </c>
      <c r="P18" s="47">
        <f t="shared" si="8"/>
        <v>83716.939999999988</v>
      </c>
      <c r="Q18" s="22">
        <f t="shared" si="8"/>
        <v>1496.4949999999999</v>
      </c>
      <c r="R18" s="22">
        <f t="shared" si="8"/>
        <v>251.905</v>
      </c>
      <c r="S18" s="22">
        <f t="shared" si="8"/>
        <v>251.905</v>
      </c>
      <c r="T18" s="22">
        <f t="shared" si="8"/>
        <v>2904.136</v>
      </c>
      <c r="U18" s="22">
        <f t="shared" si="8"/>
        <v>438.42</v>
      </c>
      <c r="V18" s="22">
        <f t="shared" si="8"/>
        <v>0</v>
      </c>
      <c r="W18" s="22">
        <f t="shared" si="8"/>
        <v>209.137</v>
      </c>
      <c r="X18" s="22">
        <f t="shared" si="8"/>
        <v>5</v>
      </c>
      <c r="Y18" s="22">
        <f t="shared" si="8"/>
        <v>597.0329999999999</v>
      </c>
      <c r="Z18" s="22">
        <f t="shared" si="8"/>
        <v>1814.8739999999998</v>
      </c>
      <c r="AA18" s="22">
        <f t="shared" si="8"/>
        <v>386.46800000000002</v>
      </c>
      <c r="AB18" s="22">
        <f t="shared" si="8"/>
        <v>303.86</v>
      </c>
      <c r="AC18" s="22">
        <f t="shared" si="8"/>
        <v>408.21500000000003</v>
      </c>
      <c r="AD18" s="22">
        <f t="shared" si="8"/>
        <v>716.33100000000002</v>
      </c>
      <c r="AE18" s="22">
        <f t="shared" si="8"/>
        <v>0</v>
      </c>
      <c r="AF18" s="22">
        <f t="shared" si="8"/>
        <v>0</v>
      </c>
      <c r="AG18" s="22">
        <f t="shared" si="8"/>
        <v>0</v>
      </c>
      <c r="AH18" s="22">
        <f t="shared" si="8"/>
        <v>0</v>
      </c>
      <c r="AI18" s="22">
        <f t="shared" si="8"/>
        <v>0</v>
      </c>
      <c r="AJ18" s="22">
        <f t="shared" si="8"/>
        <v>83711.939999999988</v>
      </c>
      <c r="AK18" s="22">
        <f t="shared" si="8"/>
        <v>83711.939999999988</v>
      </c>
      <c r="AL18" s="22">
        <f t="shared" si="8"/>
        <v>0.04</v>
      </c>
      <c r="AM18" s="22">
        <f t="shared" si="8"/>
        <v>0</v>
      </c>
      <c r="AN18" s="22">
        <f t="shared" si="8"/>
        <v>0</v>
      </c>
      <c r="AO18" s="404"/>
    </row>
    <row r="19" spans="1:41" ht="38.25">
      <c r="A19" s="980"/>
      <c r="B19" s="981"/>
      <c r="C19" s="981"/>
      <c r="D19" s="981"/>
      <c r="E19" s="981"/>
      <c r="F19" s="981"/>
      <c r="G19" s="981"/>
      <c r="H19" s="982"/>
      <c r="I19" s="15" t="s">
        <v>20</v>
      </c>
      <c r="J19" s="16">
        <f>J23+J48+J54+J63+J71+J113</f>
        <v>236854.15</v>
      </c>
      <c r="K19" s="16">
        <f>K23+K63+K113</f>
        <v>0</v>
      </c>
      <c r="L19" s="16">
        <f>L23+L48+L54+L63+L71+L113</f>
        <v>230331.37</v>
      </c>
      <c r="M19" s="16">
        <f t="shared" ref="M19:AN19" si="9">M23+M48+M54+M63+M71+M113</f>
        <v>24568.73</v>
      </c>
      <c r="N19" s="16">
        <f>N23+N48+N54+N63+N71+N113</f>
        <v>46592.61</v>
      </c>
      <c r="O19" s="16">
        <f t="shared" si="9"/>
        <v>37695.869999999995</v>
      </c>
      <c r="P19" s="47">
        <f>P23+P48+P54+P63+P71+P113</f>
        <v>46592.61</v>
      </c>
      <c r="Q19" s="22">
        <f t="shared" si="9"/>
        <v>32424.157999999999</v>
      </c>
      <c r="R19" s="22">
        <f t="shared" si="9"/>
        <v>3567.3500000000004</v>
      </c>
      <c r="S19" s="22">
        <f t="shared" si="9"/>
        <v>3567.3500000000004</v>
      </c>
      <c r="T19" s="22">
        <f t="shared" si="9"/>
        <v>20020.895</v>
      </c>
      <c r="U19" s="22">
        <f t="shared" si="9"/>
        <v>16840.773000000001</v>
      </c>
      <c r="V19" s="22">
        <f t="shared" si="9"/>
        <v>5956.13</v>
      </c>
      <c r="W19" s="22">
        <f t="shared" si="9"/>
        <v>5956.13</v>
      </c>
      <c r="X19" s="22">
        <f t="shared" si="9"/>
        <v>6059.9049999999997</v>
      </c>
      <c r="Y19" s="22">
        <f t="shared" si="9"/>
        <v>6059.9049999999997</v>
      </c>
      <c r="Z19" s="22">
        <f t="shared" si="9"/>
        <v>59312.463000000003</v>
      </c>
      <c r="AA19" s="22">
        <f t="shared" si="9"/>
        <v>21020.67</v>
      </c>
      <c r="AB19" s="22">
        <f t="shared" si="9"/>
        <v>357.43299999999999</v>
      </c>
      <c r="AC19" s="22">
        <f t="shared" si="9"/>
        <v>12026.03</v>
      </c>
      <c r="AD19" s="22">
        <f t="shared" si="9"/>
        <v>25908.33</v>
      </c>
      <c r="AE19" s="22">
        <f t="shared" si="9"/>
        <v>40094.974000000002</v>
      </c>
      <c r="AF19" s="22">
        <f t="shared" si="9"/>
        <v>0</v>
      </c>
      <c r="AG19" s="22">
        <f t="shared" si="9"/>
        <v>0</v>
      </c>
      <c r="AH19" s="22">
        <f t="shared" si="9"/>
        <v>40094.974000000002</v>
      </c>
      <c r="AI19" s="22">
        <f t="shared" si="9"/>
        <v>24158.33</v>
      </c>
      <c r="AJ19" s="22">
        <f t="shared" si="9"/>
        <v>7596.04</v>
      </c>
      <c r="AK19" s="22">
        <f t="shared" si="9"/>
        <v>7596.04</v>
      </c>
      <c r="AL19" s="22">
        <f t="shared" si="9"/>
        <v>412.85000000000008</v>
      </c>
      <c r="AM19" s="22">
        <f t="shared" si="9"/>
        <v>0</v>
      </c>
      <c r="AN19" s="22">
        <f t="shared" si="9"/>
        <v>0</v>
      </c>
      <c r="AO19" s="404"/>
    </row>
    <row r="20" spans="1:41" ht="25.5">
      <c r="A20" s="980"/>
      <c r="B20" s="981"/>
      <c r="C20" s="981"/>
      <c r="D20" s="981"/>
      <c r="E20" s="981"/>
      <c r="F20" s="981"/>
      <c r="G20" s="981"/>
      <c r="H20" s="982"/>
      <c r="I20" s="15" t="s">
        <v>10</v>
      </c>
      <c r="J20" s="16">
        <f t="shared" ref="J20:AN20" si="10">J24+J64+J114+J49</f>
        <v>23417.360000000001</v>
      </c>
      <c r="K20" s="16">
        <f t="shared" si="10"/>
        <v>0</v>
      </c>
      <c r="L20" s="16">
        <f t="shared" si="10"/>
        <v>172003.82</v>
      </c>
      <c r="M20" s="16">
        <f t="shared" si="10"/>
        <v>135504.01</v>
      </c>
      <c r="N20" s="16">
        <f t="shared" si="10"/>
        <v>36499.81</v>
      </c>
      <c r="O20" s="16">
        <f t="shared" si="10"/>
        <v>0</v>
      </c>
      <c r="P20" s="22">
        <f t="shared" si="10"/>
        <v>36499.81</v>
      </c>
      <c r="Q20" s="22">
        <f t="shared" si="10"/>
        <v>0</v>
      </c>
      <c r="R20" s="22">
        <f t="shared" si="10"/>
        <v>0</v>
      </c>
      <c r="S20" s="22">
        <f t="shared" si="10"/>
        <v>0</v>
      </c>
      <c r="T20" s="22">
        <f t="shared" si="10"/>
        <v>0</v>
      </c>
      <c r="U20" s="22">
        <f t="shared" si="10"/>
        <v>0</v>
      </c>
      <c r="V20" s="22">
        <f t="shared" si="10"/>
        <v>0</v>
      </c>
      <c r="W20" s="22">
        <f t="shared" si="10"/>
        <v>0</v>
      </c>
      <c r="X20" s="22">
        <f t="shared" si="10"/>
        <v>0</v>
      </c>
      <c r="Y20" s="22">
        <f t="shared" si="10"/>
        <v>0</v>
      </c>
      <c r="Z20" s="22">
        <f t="shared" si="10"/>
        <v>0</v>
      </c>
      <c r="AA20" s="22">
        <f t="shared" si="10"/>
        <v>0</v>
      </c>
      <c r="AB20" s="22">
        <f t="shared" si="10"/>
        <v>0</v>
      </c>
      <c r="AC20" s="22">
        <f t="shared" si="10"/>
        <v>0</v>
      </c>
      <c r="AD20" s="22">
        <f t="shared" si="10"/>
        <v>0</v>
      </c>
      <c r="AE20" s="22">
        <f t="shared" si="10"/>
        <v>0</v>
      </c>
      <c r="AF20" s="22">
        <f t="shared" si="10"/>
        <v>0</v>
      </c>
      <c r="AG20" s="22">
        <f t="shared" si="10"/>
        <v>0</v>
      </c>
      <c r="AH20" s="22">
        <f t="shared" si="10"/>
        <v>0</v>
      </c>
      <c r="AI20" s="22">
        <f t="shared" si="10"/>
        <v>0</v>
      </c>
      <c r="AJ20" s="22">
        <f t="shared" si="10"/>
        <v>0</v>
      </c>
      <c r="AK20" s="22">
        <f t="shared" si="10"/>
        <v>0</v>
      </c>
      <c r="AL20" s="22">
        <f t="shared" si="10"/>
        <v>0</v>
      </c>
      <c r="AM20" s="22">
        <f t="shared" si="10"/>
        <v>0</v>
      </c>
      <c r="AN20" s="22">
        <f t="shared" si="10"/>
        <v>0</v>
      </c>
      <c r="AO20" s="404"/>
    </row>
    <row r="21" spans="1:41" ht="25.5">
      <c r="A21" s="983"/>
      <c r="B21" s="984"/>
      <c r="C21" s="984"/>
      <c r="D21" s="984"/>
      <c r="E21" s="984"/>
      <c r="F21" s="984"/>
      <c r="G21" s="984"/>
      <c r="H21" s="985"/>
      <c r="I21" s="15" t="s">
        <v>9</v>
      </c>
      <c r="J21" s="21">
        <f t="shared" ref="J21:AN21" si="11">J25+J65+J115</f>
        <v>702203.72</v>
      </c>
      <c r="K21" s="21">
        <f t="shared" si="11"/>
        <v>702203.72</v>
      </c>
      <c r="L21" s="21">
        <f t="shared" si="11"/>
        <v>789617.84</v>
      </c>
      <c r="M21" s="21">
        <f t="shared" si="11"/>
        <v>348941.19</v>
      </c>
      <c r="N21" s="21">
        <f t="shared" si="11"/>
        <v>196473.11</v>
      </c>
      <c r="O21" s="21">
        <f t="shared" si="11"/>
        <v>0</v>
      </c>
      <c r="P21" s="72">
        <f t="shared" si="11"/>
        <v>196473.11</v>
      </c>
      <c r="Q21" s="72">
        <f t="shared" si="11"/>
        <v>161232.33300000001</v>
      </c>
      <c r="R21" s="72">
        <f t="shared" si="11"/>
        <v>24326.764000000003</v>
      </c>
      <c r="S21" s="72">
        <f t="shared" si="11"/>
        <v>24326.764000000003</v>
      </c>
      <c r="T21" s="72">
        <f t="shared" si="11"/>
        <v>6303.6279999999997</v>
      </c>
      <c r="U21" s="72">
        <f t="shared" si="11"/>
        <v>6303.6279999999997</v>
      </c>
      <c r="V21" s="72">
        <f t="shared" si="11"/>
        <v>0</v>
      </c>
      <c r="W21" s="72">
        <f t="shared" si="11"/>
        <v>39060.368000000002</v>
      </c>
      <c r="X21" s="72">
        <f t="shared" si="11"/>
        <v>0</v>
      </c>
      <c r="Y21" s="72">
        <f t="shared" si="11"/>
        <v>91541.573000000004</v>
      </c>
      <c r="Z21" s="72">
        <f t="shared" si="11"/>
        <v>156823.72700000001</v>
      </c>
      <c r="AA21" s="72">
        <f t="shared" si="11"/>
        <v>11778.966</v>
      </c>
      <c r="AB21" s="72">
        <f t="shared" si="11"/>
        <v>6906.8810000000003</v>
      </c>
      <c r="AC21" s="72">
        <f t="shared" si="11"/>
        <v>65303.288</v>
      </c>
      <c r="AD21" s="72">
        <f t="shared" si="11"/>
        <v>72834.592000000004</v>
      </c>
      <c r="AE21" s="72">
        <f t="shared" si="11"/>
        <v>0</v>
      </c>
      <c r="AF21" s="72">
        <f t="shared" si="11"/>
        <v>0</v>
      </c>
      <c r="AG21" s="72">
        <f t="shared" si="11"/>
        <v>0</v>
      </c>
      <c r="AH21" s="72">
        <f t="shared" si="11"/>
        <v>0</v>
      </c>
      <c r="AI21" s="72">
        <f t="shared" si="11"/>
        <v>0</v>
      </c>
      <c r="AJ21" s="72">
        <f t="shared" si="11"/>
        <v>0</v>
      </c>
      <c r="AK21" s="72">
        <f t="shared" si="11"/>
        <v>0</v>
      </c>
      <c r="AL21" s="72">
        <f t="shared" si="11"/>
        <v>0</v>
      </c>
      <c r="AM21" s="72">
        <f t="shared" si="11"/>
        <v>0</v>
      </c>
      <c r="AN21" s="72">
        <f t="shared" si="11"/>
        <v>0</v>
      </c>
      <c r="AO21" s="405"/>
    </row>
    <row r="22" spans="1:41" ht="51.75" customHeight="1">
      <c r="A22" s="986" t="s">
        <v>25</v>
      </c>
      <c r="B22" s="921" t="s">
        <v>40</v>
      </c>
      <c r="C22" s="922"/>
      <c r="D22" s="922"/>
      <c r="E22" s="922"/>
      <c r="F22" s="922"/>
      <c r="G22" s="922"/>
      <c r="H22" s="923"/>
      <c r="I22" s="15" t="s">
        <v>19</v>
      </c>
      <c r="J22" s="22">
        <f t="shared" ref="J22:AN22" si="12">J27+J40+J43</f>
        <v>977955.46</v>
      </c>
      <c r="K22" s="22">
        <f t="shared" si="12"/>
        <v>251829.19999999995</v>
      </c>
      <c r="L22" s="16">
        <f t="shared" si="12"/>
        <v>750480.15999999992</v>
      </c>
      <c r="M22" s="16">
        <f t="shared" si="12"/>
        <v>96658.23</v>
      </c>
      <c r="N22" s="16">
        <f t="shared" si="12"/>
        <v>83716.939999999988</v>
      </c>
      <c r="O22" s="16">
        <f t="shared" si="12"/>
        <v>78886.680000000008</v>
      </c>
      <c r="P22" s="22">
        <f t="shared" si="12"/>
        <v>83716.939999999988</v>
      </c>
      <c r="Q22" s="22">
        <f>Q27+Q40+Q43</f>
        <v>1496.4949999999999</v>
      </c>
      <c r="R22" s="22">
        <f t="shared" si="12"/>
        <v>251.905</v>
      </c>
      <c r="S22" s="22">
        <f t="shared" si="12"/>
        <v>251.905</v>
      </c>
      <c r="T22" s="22">
        <f t="shared" si="12"/>
        <v>2904.136</v>
      </c>
      <c r="U22" s="22">
        <f t="shared" si="12"/>
        <v>438.42</v>
      </c>
      <c r="V22" s="22">
        <f t="shared" si="12"/>
        <v>0</v>
      </c>
      <c r="W22" s="22">
        <f t="shared" si="12"/>
        <v>209.137</v>
      </c>
      <c r="X22" s="22">
        <f t="shared" si="12"/>
        <v>5</v>
      </c>
      <c r="Y22" s="22">
        <f t="shared" si="12"/>
        <v>597.0329999999999</v>
      </c>
      <c r="Z22" s="22">
        <f t="shared" si="12"/>
        <v>1814.8739999999998</v>
      </c>
      <c r="AA22" s="22">
        <f t="shared" si="12"/>
        <v>386.46800000000002</v>
      </c>
      <c r="AB22" s="22">
        <f t="shared" si="12"/>
        <v>303.86</v>
      </c>
      <c r="AC22" s="22">
        <f t="shared" si="12"/>
        <v>408.21500000000003</v>
      </c>
      <c r="AD22" s="22">
        <f t="shared" si="12"/>
        <v>716.33100000000002</v>
      </c>
      <c r="AE22" s="22">
        <f t="shared" si="12"/>
        <v>0</v>
      </c>
      <c r="AF22" s="22">
        <f t="shared" si="12"/>
        <v>0</v>
      </c>
      <c r="AG22" s="22">
        <f t="shared" si="12"/>
        <v>0</v>
      </c>
      <c r="AH22" s="22">
        <f t="shared" si="12"/>
        <v>0</v>
      </c>
      <c r="AI22" s="22">
        <f t="shared" si="12"/>
        <v>0</v>
      </c>
      <c r="AJ22" s="22">
        <f t="shared" si="12"/>
        <v>83711.939999999988</v>
      </c>
      <c r="AK22" s="22">
        <f t="shared" si="12"/>
        <v>83711.939999999988</v>
      </c>
      <c r="AL22" s="22">
        <f t="shared" si="12"/>
        <v>0.04</v>
      </c>
      <c r="AM22" s="22">
        <f t="shared" si="12"/>
        <v>0</v>
      </c>
      <c r="AN22" s="22">
        <f t="shared" si="12"/>
        <v>0</v>
      </c>
      <c r="AO22" s="404"/>
    </row>
    <row r="23" spans="1:41" ht="38.25">
      <c r="A23" s="987"/>
      <c r="B23" s="924"/>
      <c r="C23" s="925"/>
      <c r="D23" s="925"/>
      <c r="E23" s="925"/>
      <c r="F23" s="925"/>
      <c r="G23" s="925"/>
      <c r="H23" s="926"/>
      <c r="I23" s="15" t="s">
        <v>20</v>
      </c>
      <c r="J23" s="16">
        <v>0</v>
      </c>
      <c r="K23" s="16">
        <v>0</v>
      </c>
      <c r="L23" s="16">
        <v>0</v>
      </c>
      <c r="M23" s="16">
        <v>0</v>
      </c>
      <c r="N23" s="22">
        <v>0</v>
      </c>
      <c r="O23" s="22">
        <v>2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404"/>
    </row>
    <row r="24" spans="1:41" ht="25.5">
      <c r="A24" s="987"/>
      <c r="B24" s="924"/>
      <c r="C24" s="925"/>
      <c r="D24" s="925"/>
      <c r="E24" s="925"/>
      <c r="F24" s="925"/>
      <c r="G24" s="925"/>
      <c r="H24" s="926"/>
      <c r="I24" s="15" t="s">
        <v>10</v>
      </c>
      <c r="J24" s="16">
        <v>0</v>
      </c>
      <c r="K24" s="16">
        <v>0</v>
      </c>
      <c r="L24" s="16">
        <f t="shared" ref="L24:L70" si="13">M24+N24+O24</f>
        <v>172003.82</v>
      </c>
      <c r="M24" s="16">
        <f>M37</f>
        <v>135504.01</v>
      </c>
      <c r="N24" s="22">
        <f>N37</f>
        <v>36499.81</v>
      </c>
      <c r="O24" s="22">
        <f>O37</f>
        <v>0</v>
      </c>
      <c r="P24" s="22">
        <f>P37</f>
        <v>36499.81</v>
      </c>
      <c r="Q24" s="22">
        <f>Q37</f>
        <v>0</v>
      </c>
      <c r="R24" s="22">
        <f t="shared" ref="R24:AI24" si="14">R37</f>
        <v>0</v>
      </c>
      <c r="S24" s="22">
        <f t="shared" si="14"/>
        <v>0</v>
      </c>
      <c r="T24" s="22">
        <f t="shared" si="14"/>
        <v>0</v>
      </c>
      <c r="U24" s="22">
        <f t="shared" si="14"/>
        <v>0</v>
      </c>
      <c r="V24" s="22">
        <f t="shared" si="14"/>
        <v>0</v>
      </c>
      <c r="W24" s="22">
        <f t="shared" si="14"/>
        <v>0</v>
      </c>
      <c r="X24" s="22">
        <f t="shared" si="14"/>
        <v>0</v>
      </c>
      <c r="Y24" s="22">
        <f t="shared" si="14"/>
        <v>0</v>
      </c>
      <c r="Z24" s="22">
        <f t="shared" si="14"/>
        <v>0</v>
      </c>
      <c r="AA24" s="22">
        <f t="shared" si="14"/>
        <v>0</v>
      </c>
      <c r="AB24" s="22">
        <f t="shared" si="14"/>
        <v>0</v>
      </c>
      <c r="AC24" s="22">
        <f t="shared" si="14"/>
        <v>0</v>
      </c>
      <c r="AD24" s="22">
        <f t="shared" si="14"/>
        <v>0</v>
      </c>
      <c r="AE24" s="22">
        <f t="shared" si="14"/>
        <v>0</v>
      </c>
      <c r="AF24" s="22">
        <f t="shared" si="14"/>
        <v>0</v>
      </c>
      <c r="AG24" s="22">
        <f t="shared" si="14"/>
        <v>0</v>
      </c>
      <c r="AH24" s="22">
        <f t="shared" si="14"/>
        <v>0</v>
      </c>
      <c r="AI24" s="22">
        <f t="shared" si="14"/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404"/>
    </row>
    <row r="25" spans="1:41" ht="25.5">
      <c r="A25" s="988"/>
      <c r="B25" s="927"/>
      <c r="C25" s="928"/>
      <c r="D25" s="928"/>
      <c r="E25" s="928"/>
      <c r="F25" s="928"/>
      <c r="G25" s="928"/>
      <c r="H25" s="929"/>
      <c r="I25" s="15" t="s">
        <v>9</v>
      </c>
      <c r="J25" s="16">
        <f>J35</f>
        <v>702203.72</v>
      </c>
      <c r="K25" s="16">
        <f t="shared" ref="K25" si="15">K35</f>
        <v>702203.72</v>
      </c>
      <c r="L25" s="16">
        <f>L35</f>
        <v>789617.84</v>
      </c>
      <c r="M25" s="16">
        <f>M35</f>
        <v>348941.19</v>
      </c>
      <c r="N25" s="22">
        <f t="shared" ref="N25:O25" si="16">N35</f>
        <v>196473.11</v>
      </c>
      <c r="O25" s="22">
        <f t="shared" si="16"/>
        <v>0</v>
      </c>
      <c r="P25" s="22">
        <f>P35</f>
        <v>196473.11</v>
      </c>
      <c r="Q25" s="22">
        <f t="shared" ref="Q25:AN25" si="17">Q35</f>
        <v>161232.33300000001</v>
      </c>
      <c r="R25" s="22">
        <f t="shared" si="17"/>
        <v>24326.764000000003</v>
      </c>
      <c r="S25" s="22">
        <f t="shared" si="17"/>
        <v>24326.764000000003</v>
      </c>
      <c r="T25" s="22">
        <f t="shared" si="17"/>
        <v>6303.6279999999997</v>
      </c>
      <c r="U25" s="22">
        <f t="shared" si="17"/>
        <v>6303.6279999999997</v>
      </c>
      <c r="V25" s="22">
        <f t="shared" si="17"/>
        <v>0</v>
      </c>
      <c r="W25" s="22">
        <f t="shared" si="17"/>
        <v>39060.368000000002</v>
      </c>
      <c r="X25" s="22">
        <f t="shared" si="17"/>
        <v>0</v>
      </c>
      <c r="Y25" s="22">
        <f t="shared" si="17"/>
        <v>91541.573000000004</v>
      </c>
      <c r="Z25" s="22">
        <f t="shared" si="17"/>
        <v>156823.72700000001</v>
      </c>
      <c r="AA25" s="22">
        <f t="shared" si="17"/>
        <v>11778.966</v>
      </c>
      <c r="AB25" s="22">
        <f t="shared" si="17"/>
        <v>6906.8810000000003</v>
      </c>
      <c r="AC25" s="22">
        <f t="shared" si="17"/>
        <v>65303.288</v>
      </c>
      <c r="AD25" s="22">
        <f t="shared" si="17"/>
        <v>72834.592000000004</v>
      </c>
      <c r="AE25" s="22">
        <f t="shared" si="17"/>
        <v>0</v>
      </c>
      <c r="AF25" s="22">
        <f t="shared" si="17"/>
        <v>0</v>
      </c>
      <c r="AG25" s="22">
        <f t="shared" si="17"/>
        <v>0</v>
      </c>
      <c r="AH25" s="22">
        <f t="shared" si="17"/>
        <v>0</v>
      </c>
      <c r="AI25" s="22">
        <f t="shared" si="17"/>
        <v>0</v>
      </c>
      <c r="AJ25" s="22">
        <f t="shared" si="17"/>
        <v>0</v>
      </c>
      <c r="AK25" s="22">
        <f t="shared" si="17"/>
        <v>0</v>
      </c>
      <c r="AL25" s="22">
        <f t="shared" si="17"/>
        <v>0</v>
      </c>
      <c r="AM25" s="22">
        <f t="shared" si="17"/>
        <v>0</v>
      </c>
      <c r="AN25" s="22">
        <f t="shared" si="17"/>
        <v>0</v>
      </c>
      <c r="AO25" s="404"/>
    </row>
    <row r="26" spans="1:41" ht="25.5" customHeight="1">
      <c r="A26" s="937" t="s">
        <v>26</v>
      </c>
      <c r="B26" s="78" t="s">
        <v>18</v>
      </c>
      <c r="C26" s="815"/>
      <c r="D26" s="815"/>
      <c r="E26" s="815"/>
      <c r="F26" s="989" t="s">
        <v>44</v>
      </c>
      <c r="G26" s="815">
        <v>2018</v>
      </c>
      <c r="H26" s="815">
        <v>2020</v>
      </c>
      <c r="I26" s="562"/>
      <c r="J26" s="24">
        <v>1075576.6499999999</v>
      </c>
      <c r="K26" s="25">
        <f>K27+K35</f>
        <v>954032.91999999993</v>
      </c>
      <c r="L26" s="79">
        <f>L27+L35+L37</f>
        <v>1083165.3899999999</v>
      </c>
      <c r="M26" s="79">
        <f>M27+M35+M37</f>
        <v>560860.31000000006</v>
      </c>
      <c r="N26" s="79">
        <f t="shared" ref="N26:O26" si="18">N27+N35+N37</f>
        <v>232972.91999999998</v>
      </c>
      <c r="O26" s="79">
        <f t="shared" si="18"/>
        <v>0</v>
      </c>
      <c r="P26" s="79">
        <f>P27+P35+P37</f>
        <v>232972.91999999998</v>
      </c>
      <c r="Q26" s="79">
        <f>Q27+Q35+Q37</f>
        <v>162723.82800000001</v>
      </c>
      <c r="R26" s="79">
        <f t="shared" ref="R26:X26" si="19">R27+R35</f>
        <v>24578.669000000002</v>
      </c>
      <c r="S26" s="79">
        <f t="shared" si="19"/>
        <v>24578.669000000002</v>
      </c>
      <c r="T26" s="79">
        <f t="shared" si="19"/>
        <v>9207.7639999999992</v>
      </c>
      <c r="U26" s="79">
        <f t="shared" si="19"/>
        <v>6742.0479999999998</v>
      </c>
      <c r="V26" s="79">
        <f t="shared" si="19"/>
        <v>0</v>
      </c>
      <c r="W26" s="79">
        <f t="shared" si="19"/>
        <v>39269.505000000005</v>
      </c>
      <c r="X26" s="79">
        <f t="shared" si="19"/>
        <v>0</v>
      </c>
      <c r="Y26" s="79">
        <f>Y27+Y35+Y37</f>
        <v>92133.606</v>
      </c>
      <c r="Z26" s="79">
        <f>Z27+Z35+Z37</f>
        <v>158633.60100000002</v>
      </c>
      <c r="AA26" s="79">
        <f>AA27+AA35</f>
        <v>12165.434000000001</v>
      </c>
      <c r="AB26" s="79">
        <f>AB27+AB35</f>
        <v>7210.741</v>
      </c>
      <c r="AC26" s="79">
        <f t="shared" ref="AC26:AD26" si="20">AC27+AC35</f>
        <v>65711.502999999997</v>
      </c>
      <c r="AD26" s="79">
        <f t="shared" si="20"/>
        <v>73545.92300000001</v>
      </c>
      <c r="AE26" s="79">
        <f>AE27+AE35</f>
        <v>0</v>
      </c>
      <c r="AF26" s="79">
        <f t="shared" ref="AF26:AI26" si="21">AF27+AF35</f>
        <v>0</v>
      </c>
      <c r="AG26" s="79">
        <f t="shared" si="21"/>
        <v>0</v>
      </c>
      <c r="AH26" s="79">
        <f t="shared" si="21"/>
        <v>0</v>
      </c>
      <c r="AI26" s="79">
        <f t="shared" si="21"/>
        <v>0</v>
      </c>
      <c r="AJ26" s="79">
        <f>P26-Q26</f>
        <v>70249.091999999975</v>
      </c>
      <c r="AK26" s="79">
        <f>AJ26</f>
        <v>70249.091999999975</v>
      </c>
      <c r="AL26" s="79">
        <f>ROUND((Q26*100%/P26*100),2)</f>
        <v>69.849999999999994</v>
      </c>
      <c r="AM26" s="79">
        <f>AM27+AM35</f>
        <v>0</v>
      </c>
      <c r="AN26" s="79">
        <f>AN27+AN35</f>
        <v>0</v>
      </c>
      <c r="AO26" s="512" t="s">
        <v>282</v>
      </c>
    </row>
    <row r="27" spans="1:41" ht="51.75" customHeight="1">
      <c r="A27" s="938"/>
      <c r="B27" s="366" t="s">
        <v>16</v>
      </c>
      <c r="C27" s="816"/>
      <c r="D27" s="816"/>
      <c r="E27" s="816"/>
      <c r="F27" s="990"/>
      <c r="G27" s="816"/>
      <c r="H27" s="816"/>
      <c r="I27" s="562" t="s">
        <v>19</v>
      </c>
      <c r="J27" s="27">
        <v>373372.92999999993</v>
      </c>
      <c r="K27" s="28">
        <f>J27-L27</f>
        <v>251829.19999999995</v>
      </c>
      <c r="L27" s="3">
        <v>121543.73</v>
      </c>
      <c r="M27" s="47">
        <v>76415.11</v>
      </c>
      <c r="N27" s="47">
        <v>0</v>
      </c>
      <c r="O27" s="47">
        <v>0</v>
      </c>
      <c r="P27" s="47">
        <v>0</v>
      </c>
      <c r="Q27" s="47">
        <f>SUM(Q28:Q34)</f>
        <v>1491.4949999999999</v>
      </c>
      <c r="R27" s="47">
        <f t="shared" ref="R27:Y27" si="22">SUM(R28:R34)</f>
        <v>251.905</v>
      </c>
      <c r="S27" s="47">
        <f t="shared" si="22"/>
        <v>251.905</v>
      </c>
      <c r="T27" s="47">
        <f t="shared" si="22"/>
        <v>2904.136</v>
      </c>
      <c r="U27" s="47">
        <f t="shared" si="22"/>
        <v>438.42</v>
      </c>
      <c r="V27" s="47">
        <f t="shared" si="22"/>
        <v>0</v>
      </c>
      <c r="W27" s="47">
        <f>SUM(W28:W34)</f>
        <v>209.137</v>
      </c>
      <c r="X27" s="47">
        <f t="shared" si="22"/>
        <v>0</v>
      </c>
      <c r="Y27" s="47">
        <f t="shared" si="22"/>
        <v>592.0329999999999</v>
      </c>
      <c r="Z27" s="47">
        <f>SUM(Z28:Z34)</f>
        <v>1809.8739999999998</v>
      </c>
      <c r="AA27" s="47">
        <f>SUM(AA28:AA34)</f>
        <v>386.46800000000002</v>
      </c>
      <c r="AB27" s="47">
        <f>SUM(AB28:AB34)</f>
        <v>303.86</v>
      </c>
      <c r="AC27" s="47">
        <f t="shared" ref="AC27:AD27" si="23">SUM(AC28:AC34)</f>
        <v>408.21500000000003</v>
      </c>
      <c r="AD27" s="47">
        <f t="shared" si="23"/>
        <v>711.33100000000002</v>
      </c>
      <c r="AE27" s="47">
        <f>SUM(AE28:AE34)</f>
        <v>0</v>
      </c>
      <c r="AF27" s="47">
        <f>SUM(AF28:AF34)</f>
        <v>0</v>
      </c>
      <c r="AG27" s="47">
        <f t="shared" ref="AG27:AI27" si="24">SUM(AG28:AG34)</f>
        <v>0</v>
      </c>
      <c r="AH27" s="47">
        <f t="shared" si="24"/>
        <v>0</v>
      </c>
      <c r="AI27" s="47">
        <f t="shared" si="24"/>
        <v>0</v>
      </c>
      <c r="AJ27" s="47">
        <v>0</v>
      </c>
      <c r="AK27" s="47">
        <v>0</v>
      </c>
      <c r="AL27" s="47">
        <v>0</v>
      </c>
      <c r="AM27" s="47">
        <v>0</v>
      </c>
      <c r="AN27" s="47">
        <v>0</v>
      </c>
      <c r="AO27" s="1003"/>
    </row>
    <row r="28" spans="1:41" s="100" customFormat="1" ht="25.5" hidden="1" customHeight="1">
      <c r="A28" s="938"/>
      <c r="B28" s="369" t="s">
        <v>220</v>
      </c>
      <c r="C28" s="93"/>
      <c r="D28" s="93"/>
      <c r="E28" s="93"/>
      <c r="F28" s="94"/>
      <c r="G28" s="93"/>
      <c r="H28" s="93"/>
      <c r="I28" s="276">
        <f>R27+T27+V27</f>
        <v>3156.0410000000002</v>
      </c>
      <c r="J28" s="96"/>
      <c r="K28" s="97"/>
      <c r="L28" s="98"/>
      <c r="M28" s="99"/>
      <c r="N28" s="99"/>
      <c r="O28" s="99"/>
      <c r="P28" s="99">
        <f>R28+T28+V28+X28</f>
        <v>591</v>
      </c>
      <c r="Q28" s="99">
        <f>S28+U28+W28+Y28</f>
        <v>988.99800000000005</v>
      </c>
      <c r="R28" s="99">
        <f t="shared" ref="R28:R29" si="25">S28</f>
        <v>197</v>
      </c>
      <c r="S28" s="99">
        <f>98.5+98.5</f>
        <v>197</v>
      </c>
      <c r="T28" s="99">
        <v>394</v>
      </c>
      <c r="U28" s="99">
        <v>394</v>
      </c>
      <c r="V28" s="99">
        <v>0</v>
      </c>
      <c r="W28" s="99">
        <f>66.333+66.333+66.333</f>
        <v>198.999</v>
      </c>
      <c r="X28" s="99">
        <v>0</v>
      </c>
      <c r="Y28" s="99">
        <v>198.999</v>
      </c>
      <c r="Z28" s="99">
        <f>AA28+AB28+AC28+AD28</f>
        <v>988.99800000000005</v>
      </c>
      <c r="AA28" s="99">
        <f>98.5+98.5+98.5</f>
        <v>295.5</v>
      </c>
      <c r="AB28" s="99">
        <v>295.5</v>
      </c>
      <c r="AC28" s="99">
        <f>66.333+66.333+66.333</f>
        <v>198.999</v>
      </c>
      <c r="AD28" s="99">
        <v>198.999</v>
      </c>
      <c r="AE28" s="99">
        <f t="shared" ref="AE28:AE34" si="26">SUM(AF28:AF28)</f>
        <v>0</v>
      </c>
      <c r="AF28" s="99"/>
      <c r="AG28" s="99"/>
      <c r="AH28" s="99"/>
      <c r="AI28" s="99"/>
      <c r="AJ28" s="99"/>
      <c r="AK28" s="99"/>
      <c r="AL28" s="99"/>
      <c r="AM28" s="99"/>
      <c r="AN28" s="99"/>
      <c r="AO28" s="1004"/>
    </row>
    <row r="29" spans="1:41" s="100" customFormat="1" ht="15" hidden="1" customHeight="1">
      <c r="A29" s="938"/>
      <c r="B29" s="369" t="s">
        <v>221</v>
      </c>
      <c r="C29" s="93"/>
      <c r="D29" s="93"/>
      <c r="E29" s="93"/>
      <c r="F29" s="94"/>
      <c r="G29" s="93"/>
      <c r="H29" s="93"/>
      <c r="I29" s="276">
        <f>S27+U27+W27</f>
        <v>899.46199999999999</v>
      </c>
      <c r="J29" s="96"/>
      <c r="K29" s="97"/>
      <c r="L29" s="98"/>
      <c r="M29" s="99"/>
      <c r="N29" s="99"/>
      <c r="O29" s="99"/>
      <c r="P29" s="99">
        <f>Q29</f>
        <v>99.471000000000004</v>
      </c>
      <c r="Q29" s="99">
        <f>S29+U29+W29+Y29</f>
        <v>99.471000000000004</v>
      </c>
      <c r="R29" s="99">
        <f t="shared" si="25"/>
        <v>0</v>
      </c>
      <c r="S29" s="99">
        <v>0</v>
      </c>
      <c r="T29" s="99">
        <v>17.989999999999998</v>
      </c>
      <c r="U29" s="99">
        <v>17.989999999999998</v>
      </c>
      <c r="V29" s="99">
        <v>0</v>
      </c>
      <c r="W29" s="99">
        <v>10.138</v>
      </c>
      <c r="X29" s="99">
        <v>0</v>
      </c>
      <c r="Y29" s="99">
        <v>71.343000000000004</v>
      </c>
      <c r="Z29" s="99">
        <f>AA29+AB29+AC29+AD29</f>
        <v>304.40099999999995</v>
      </c>
      <c r="AA29" s="99">
        <f>5.937+12.05</f>
        <v>17.987000000000002</v>
      </c>
      <c r="AB29" s="99"/>
      <c r="AC29" s="99">
        <f>3.36+6.778+23.315+48.028</f>
        <v>81.480999999999995</v>
      </c>
      <c r="AD29" s="99">
        <v>204.93299999999999</v>
      </c>
      <c r="AE29" s="99">
        <f t="shared" si="26"/>
        <v>0</v>
      </c>
      <c r="AF29" s="99"/>
      <c r="AG29" s="99"/>
      <c r="AH29" s="99"/>
      <c r="AI29" s="99"/>
      <c r="AJ29" s="99"/>
      <c r="AK29" s="99"/>
      <c r="AL29" s="99"/>
      <c r="AM29" s="99"/>
      <c r="AN29" s="99"/>
      <c r="AO29" s="1004"/>
    </row>
    <row r="30" spans="1:41" s="100" customFormat="1" ht="15" hidden="1" customHeight="1">
      <c r="A30" s="938"/>
      <c r="B30" s="369" t="s">
        <v>222</v>
      </c>
      <c r="C30" s="93"/>
      <c r="D30" s="93"/>
      <c r="E30" s="93"/>
      <c r="F30" s="94"/>
      <c r="G30" s="93"/>
      <c r="H30" s="93"/>
      <c r="I30" s="95"/>
      <c r="J30" s="96"/>
      <c r="K30" s="97"/>
      <c r="L30" s="98"/>
      <c r="M30" s="99"/>
      <c r="N30" s="99"/>
      <c r="O30" s="99"/>
      <c r="P30" s="99">
        <f t="shared" ref="P30:P31" si="27">R30</f>
        <v>54.905000000000001</v>
      </c>
      <c r="Q30" s="99">
        <f t="shared" ref="Q30:Q32" si="28">S30+U30+W30+Y30</f>
        <v>403.02599999999995</v>
      </c>
      <c r="R30" s="99">
        <f>S30</f>
        <v>54.905000000000001</v>
      </c>
      <c r="S30" s="99">
        <f>8.905+46</f>
        <v>54.905000000000001</v>
      </c>
      <c r="T30" s="99">
        <f>U30</f>
        <v>26.43</v>
      </c>
      <c r="U30" s="99">
        <v>26.43</v>
      </c>
      <c r="V30" s="99">
        <v>0</v>
      </c>
      <c r="W30" s="99">
        <v>0</v>
      </c>
      <c r="X30" s="99">
        <v>0</v>
      </c>
      <c r="Y30" s="99">
        <v>321.69099999999997</v>
      </c>
      <c r="Z30" s="99">
        <f>AA30+AB30+AC30+AD30</f>
        <v>516.47500000000002</v>
      </c>
      <c r="AA30" s="99">
        <f>46+8.905+18.076</f>
        <v>72.980999999999995</v>
      </c>
      <c r="AB30" s="99">
        <v>8.36</v>
      </c>
      <c r="AC30" s="99">
        <v>127.735</v>
      </c>
      <c r="AD30" s="99">
        <v>307.399</v>
      </c>
      <c r="AE30" s="99">
        <f t="shared" si="26"/>
        <v>0</v>
      </c>
      <c r="AF30" s="99"/>
      <c r="AG30" s="99"/>
      <c r="AH30" s="99"/>
      <c r="AI30" s="99"/>
      <c r="AJ30" s="99"/>
      <c r="AK30" s="99"/>
      <c r="AL30" s="99"/>
      <c r="AM30" s="99"/>
      <c r="AN30" s="99"/>
      <c r="AO30" s="1004"/>
    </row>
    <row r="31" spans="1:41" s="100" customFormat="1" ht="15" hidden="1" customHeight="1">
      <c r="A31" s="938"/>
      <c r="B31" s="369" t="s">
        <v>223</v>
      </c>
      <c r="C31" s="93"/>
      <c r="D31" s="93"/>
      <c r="E31" s="93"/>
      <c r="F31" s="94"/>
      <c r="G31" s="93"/>
      <c r="H31" s="93"/>
      <c r="I31" s="95"/>
      <c r="J31" s="96"/>
      <c r="K31" s="97"/>
      <c r="L31" s="98"/>
      <c r="M31" s="99"/>
      <c r="N31" s="99"/>
      <c r="O31" s="99"/>
      <c r="P31" s="99">
        <f t="shared" si="27"/>
        <v>0</v>
      </c>
      <c r="Q31" s="99">
        <f t="shared" si="28"/>
        <v>0</v>
      </c>
      <c r="R31" s="99">
        <v>0</v>
      </c>
      <c r="S31" s="99">
        <v>0</v>
      </c>
      <c r="T31" s="99">
        <v>0</v>
      </c>
      <c r="U31" s="99">
        <v>0</v>
      </c>
      <c r="V31" s="99">
        <v>0</v>
      </c>
      <c r="W31" s="99">
        <v>0</v>
      </c>
      <c r="X31" s="99">
        <v>0</v>
      </c>
      <c r="Y31" s="99">
        <v>0</v>
      </c>
      <c r="Z31" s="99">
        <f t="shared" ref="Z31:Z33" si="29">AA31+AB31+AC31</f>
        <v>0</v>
      </c>
      <c r="AA31" s="99">
        <v>0</v>
      </c>
      <c r="AB31" s="99"/>
      <c r="AC31" s="99"/>
      <c r="AD31" s="99"/>
      <c r="AE31" s="99">
        <f t="shared" si="26"/>
        <v>0</v>
      </c>
      <c r="AF31" s="99"/>
      <c r="AG31" s="99"/>
      <c r="AH31" s="99"/>
      <c r="AI31" s="99"/>
      <c r="AJ31" s="99"/>
      <c r="AK31" s="99"/>
      <c r="AL31" s="99"/>
      <c r="AM31" s="99"/>
      <c r="AN31" s="99"/>
      <c r="AO31" s="1004"/>
    </row>
    <row r="32" spans="1:41" s="100" customFormat="1" ht="15" hidden="1" customHeight="1">
      <c r="A32" s="938"/>
      <c r="B32" s="369" t="s">
        <v>269</v>
      </c>
      <c r="C32" s="93"/>
      <c r="D32" s="93"/>
      <c r="E32" s="93"/>
      <c r="F32" s="94"/>
      <c r="G32" s="93"/>
      <c r="H32" s="93"/>
      <c r="I32" s="95"/>
      <c r="J32" s="96"/>
      <c r="K32" s="97"/>
      <c r="L32" s="98"/>
      <c r="M32" s="99"/>
      <c r="N32" s="99"/>
      <c r="O32" s="99"/>
      <c r="P32" s="99">
        <v>0</v>
      </c>
      <c r="Q32" s="99">
        <f t="shared" si="28"/>
        <v>0</v>
      </c>
      <c r="R32" s="99">
        <v>0</v>
      </c>
      <c r="S32" s="99">
        <v>0</v>
      </c>
      <c r="T32" s="99">
        <v>0</v>
      </c>
      <c r="U32" s="99">
        <v>0</v>
      </c>
      <c r="V32" s="99">
        <v>0</v>
      </c>
      <c r="W32" s="99">
        <v>0</v>
      </c>
      <c r="X32" s="99">
        <v>0</v>
      </c>
      <c r="Y32" s="99">
        <v>0</v>
      </c>
      <c r="Z32" s="99">
        <f t="shared" si="29"/>
        <v>0</v>
      </c>
      <c r="AA32" s="99">
        <v>0</v>
      </c>
      <c r="AB32" s="99"/>
      <c r="AC32" s="99"/>
      <c r="AD32" s="99"/>
      <c r="AE32" s="99">
        <f t="shared" si="26"/>
        <v>0</v>
      </c>
      <c r="AF32" s="99"/>
      <c r="AG32" s="99"/>
      <c r="AH32" s="99"/>
      <c r="AI32" s="99"/>
      <c r="AJ32" s="99"/>
      <c r="AK32" s="99"/>
      <c r="AL32" s="99"/>
      <c r="AM32" s="99"/>
      <c r="AN32" s="99"/>
      <c r="AO32" s="1004"/>
    </row>
    <row r="33" spans="1:41" s="100" customFormat="1" ht="15" hidden="1" customHeight="1">
      <c r="A33" s="938"/>
      <c r="B33" s="369" t="s">
        <v>228</v>
      </c>
      <c r="C33" s="93"/>
      <c r="D33" s="93"/>
      <c r="E33" s="93"/>
      <c r="F33" s="94"/>
      <c r="G33" s="93"/>
      <c r="H33" s="93"/>
      <c r="I33" s="95"/>
      <c r="J33" s="96"/>
      <c r="K33" s="97"/>
      <c r="L33" s="98"/>
      <c r="M33" s="99"/>
      <c r="N33" s="99"/>
      <c r="O33" s="99"/>
      <c r="P33" s="99">
        <v>0</v>
      </c>
      <c r="Q33" s="99">
        <f>S33+U33+W33+Y33</f>
        <v>0</v>
      </c>
      <c r="R33" s="99">
        <v>0</v>
      </c>
      <c r="S33" s="99">
        <v>0</v>
      </c>
      <c r="T33" s="99">
        <v>0</v>
      </c>
      <c r="U33" s="99">
        <v>0</v>
      </c>
      <c r="V33" s="99">
        <v>0</v>
      </c>
      <c r="W33" s="99">
        <v>0</v>
      </c>
      <c r="X33" s="99">
        <v>0</v>
      </c>
      <c r="Y33" s="99">
        <v>0</v>
      </c>
      <c r="Z33" s="99">
        <f t="shared" si="29"/>
        <v>0</v>
      </c>
      <c r="AA33" s="99">
        <v>0</v>
      </c>
      <c r="AB33" s="99"/>
      <c r="AC33" s="99"/>
      <c r="AD33" s="99"/>
      <c r="AE33" s="99">
        <f t="shared" si="26"/>
        <v>0</v>
      </c>
      <c r="AF33" s="99"/>
      <c r="AG33" s="99"/>
      <c r="AH33" s="99"/>
      <c r="AI33" s="99"/>
      <c r="AJ33" s="99"/>
      <c r="AK33" s="99"/>
      <c r="AL33" s="99"/>
      <c r="AM33" s="99"/>
      <c r="AN33" s="99"/>
      <c r="AO33" s="1004"/>
    </row>
    <row r="34" spans="1:41" s="100" customFormat="1" ht="31.5" hidden="1" customHeight="1">
      <c r="A34" s="938"/>
      <c r="B34" s="369" t="s">
        <v>226</v>
      </c>
      <c r="C34" s="93"/>
      <c r="D34" s="93"/>
      <c r="E34" s="93"/>
      <c r="F34" s="94"/>
      <c r="G34" s="93"/>
      <c r="H34" s="93"/>
      <c r="I34" s="95"/>
      <c r="J34" s="96"/>
      <c r="K34" s="97"/>
      <c r="L34" s="98"/>
      <c r="M34" s="99"/>
      <c r="N34" s="99"/>
      <c r="O34" s="99"/>
      <c r="P34" s="99">
        <f>R34</f>
        <v>0</v>
      </c>
      <c r="Q34" s="99">
        <f>S34+U34+W34+Y34</f>
        <v>0</v>
      </c>
      <c r="R34" s="99">
        <f>S34</f>
        <v>0</v>
      </c>
      <c r="S34" s="99">
        <v>0</v>
      </c>
      <c r="T34" s="99">
        <v>2465.7159999999999</v>
      </c>
      <c r="U34" s="99">
        <v>0</v>
      </c>
      <c r="V34" s="99">
        <v>0</v>
      </c>
      <c r="W34" s="99">
        <v>0</v>
      </c>
      <c r="X34" s="99">
        <v>0</v>
      </c>
      <c r="Y34" s="99">
        <v>0</v>
      </c>
      <c r="Z34" s="99">
        <f>SUM(AA34:AD34)</f>
        <v>0</v>
      </c>
      <c r="AA34" s="99">
        <v>0</v>
      </c>
      <c r="AB34" s="99">
        <v>0</v>
      </c>
      <c r="AC34" s="99">
        <v>0</v>
      </c>
      <c r="AD34" s="99">
        <v>0</v>
      </c>
      <c r="AE34" s="99">
        <f t="shared" si="26"/>
        <v>0</v>
      </c>
      <c r="AF34" s="99"/>
      <c r="AG34" s="99"/>
      <c r="AH34" s="99"/>
      <c r="AI34" s="99"/>
      <c r="AJ34" s="99"/>
      <c r="AK34" s="99"/>
      <c r="AL34" s="99"/>
      <c r="AM34" s="99"/>
      <c r="AN34" s="99"/>
      <c r="AO34" s="1004"/>
    </row>
    <row r="35" spans="1:41" ht="29.25" customHeight="1">
      <c r="A35" s="938"/>
      <c r="B35" s="459"/>
      <c r="C35" s="569"/>
      <c r="D35" s="569"/>
      <c r="E35" s="569"/>
      <c r="F35" s="599"/>
      <c r="G35" s="569"/>
      <c r="H35" s="569"/>
      <c r="I35" s="15" t="s">
        <v>9</v>
      </c>
      <c r="J35" s="587">
        <f>K35</f>
        <v>702203.72</v>
      </c>
      <c r="K35" s="29">
        <v>702203.72</v>
      </c>
      <c r="L35" s="74">
        <v>789617.84</v>
      </c>
      <c r="M35" s="74">
        <v>348941.19</v>
      </c>
      <c r="N35" s="74">
        <v>196473.11</v>
      </c>
      <c r="O35" s="74">
        <v>0</v>
      </c>
      <c r="P35" s="74">
        <f>N35</f>
        <v>196473.11</v>
      </c>
      <c r="Q35" s="74">
        <f>SUM(Q36:Q36)</f>
        <v>161232.33300000001</v>
      </c>
      <c r="R35" s="74">
        <f>SUM(R36:R36)</f>
        <v>24326.764000000003</v>
      </c>
      <c r="S35" s="74">
        <f>SUM(S36:S36)</f>
        <v>24326.764000000003</v>
      </c>
      <c r="T35" s="74">
        <f t="shared" ref="T35:AI35" si="30">SUM(T36:T36)</f>
        <v>6303.6279999999997</v>
      </c>
      <c r="U35" s="74">
        <f t="shared" si="30"/>
        <v>6303.6279999999997</v>
      </c>
      <c r="V35" s="74">
        <f t="shared" si="30"/>
        <v>0</v>
      </c>
      <c r="W35" s="74">
        <f t="shared" si="30"/>
        <v>39060.368000000002</v>
      </c>
      <c r="X35" s="74">
        <v>0</v>
      </c>
      <c r="Y35" s="74">
        <f t="shared" si="30"/>
        <v>91541.573000000004</v>
      </c>
      <c r="Z35" s="74">
        <f t="shared" si="30"/>
        <v>156823.72700000001</v>
      </c>
      <c r="AA35" s="74">
        <f>SUM(AA36:AA36)</f>
        <v>11778.966</v>
      </c>
      <c r="AB35" s="74">
        <f>SUM(AB36:AB36)</f>
        <v>6906.8810000000003</v>
      </c>
      <c r="AC35" s="74">
        <f t="shared" ref="AC35:AD35" si="31">SUM(AC36:AC36)</f>
        <v>65303.288</v>
      </c>
      <c r="AD35" s="74">
        <f t="shared" si="31"/>
        <v>72834.592000000004</v>
      </c>
      <c r="AE35" s="74">
        <f t="shared" si="30"/>
        <v>0</v>
      </c>
      <c r="AF35" s="74">
        <f t="shared" si="30"/>
        <v>0</v>
      </c>
      <c r="AG35" s="74">
        <f t="shared" si="30"/>
        <v>0</v>
      </c>
      <c r="AH35" s="74">
        <f t="shared" si="30"/>
        <v>0</v>
      </c>
      <c r="AI35" s="74">
        <f t="shared" si="30"/>
        <v>0</v>
      </c>
      <c r="AJ35" s="74">
        <v>0</v>
      </c>
      <c r="AK35" s="74">
        <v>0</v>
      </c>
      <c r="AL35" s="74">
        <v>0</v>
      </c>
      <c r="AM35" s="74">
        <v>0</v>
      </c>
      <c r="AN35" s="74">
        <v>0</v>
      </c>
      <c r="AO35" s="1004"/>
    </row>
    <row r="36" spans="1:41" s="100" customFormat="1" ht="15.75" hidden="1" customHeight="1">
      <c r="A36" s="329"/>
      <c r="B36" s="437" t="s">
        <v>253</v>
      </c>
      <c r="C36" s="93"/>
      <c r="D36" s="93"/>
      <c r="E36" s="93"/>
      <c r="F36" s="94"/>
      <c r="G36" s="93"/>
      <c r="H36" s="93"/>
      <c r="I36" s="104"/>
      <c r="J36" s="101"/>
      <c r="K36" s="102"/>
      <c r="L36" s="103"/>
      <c r="M36" s="103"/>
      <c r="N36" s="103"/>
      <c r="O36" s="103"/>
      <c r="P36" s="99">
        <f>Q36</f>
        <v>161232.33300000001</v>
      </c>
      <c r="Q36" s="99">
        <f>S36+U36+W36+Y36</f>
        <v>161232.33300000001</v>
      </c>
      <c r="R36" s="99">
        <f>S36</f>
        <v>24326.764000000003</v>
      </c>
      <c r="S36" s="103">
        <f>15333.514+2968.295+6024.955</f>
        <v>24326.764000000003</v>
      </c>
      <c r="T36" s="103">
        <v>6303.6279999999997</v>
      </c>
      <c r="U36" s="103">
        <v>6303.6279999999997</v>
      </c>
      <c r="V36" s="103">
        <v>0</v>
      </c>
      <c r="W36" s="103">
        <f>3388.969+11657.579+24013.82</f>
        <v>39060.368000000002</v>
      </c>
      <c r="X36" s="103">
        <v>0</v>
      </c>
      <c r="Y36" s="103">
        <v>91541.573000000004</v>
      </c>
      <c r="Z36" s="99">
        <f>SUM(AA36:AD36)</f>
        <v>156823.72700000001</v>
      </c>
      <c r="AA36" s="103">
        <f>2968.295+6024.955+2785.716</f>
        <v>11778.966</v>
      </c>
      <c r="AB36" s="103">
        <v>6906.8810000000003</v>
      </c>
      <c r="AC36" s="103">
        <f>11657.579+24013.82+29631.889</f>
        <v>65303.288</v>
      </c>
      <c r="AD36" s="103">
        <v>72834.592000000004</v>
      </c>
      <c r="AE36" s="99">
        <f>SUM(AF36:AF36)</f>
        <v>0</v>
      </c>
      <c r="AF36" s="103"/>
      <c r="AG36" s="103"/>
      <c r="AH36" s="103"/>
      <c r="AI36" s="103"/>
      <c r="AJ36" s="103"/>
      <c r="AK36" s="103"/>
      <c r="AL36" s="103"/>
      <c r="AM36" s="103"/>
      <c r="AN36" s="103"/>
      <c r="AO36" s="1004"/>
    </row>
    <row r="37" spans="1:41" ht="25.5">
      <c r="A37" s="595"/>
      <c r="B37" s="459"/>
      <c r="C37" s="569"/>
      <c r="D37" s="569"/>
      <c r="E37" s="569"/>
      <c r="F37" s="599"/>
      <c r="G37" s="569"/>
      <c r="H37" s="569"/>
      <c r="I37" s="585" t="s">
        <v>10</v>
      </c>
      <c r="J37" s="583"/>
      <c r="K37" s="290"/>
      <c r="L37" s="74">
        <f>SUM(L38:L39)</f>
        <v>172003.82</v>
      </c>
      <c r="M37" s="74">
        <v>135504.01</v>
      </c>
      <c r="N37" s="74">
        <f>SUM(N38:N39)</f>
        <v>36499.81</v>
      </c>
      <c r="O37" s="74">
        <v>0</v>
      </c>
      <c r="P37" s="74">
        <f>N37</f>
        <v>36499.81</v>
      </c>
      <c r="Q37" s="47">
        <f>SUM(Q38:Q39)</f>
        <v>0</v>
      </c>
      <c r="R37" s="47">
        <f t="shared" ref="R37:AI37" si="32">SUM(R38:R39)</f>
        <v>0</v>
      </c>
      <c r="S37" s="47">
        <f t="shared" si="32"/>
        <v>0</v>
      </c>
      <c r="T37" s="47">
        <f t="shared" si="32"/>
        <v>0</v>
      </c>
      <c r="U37" s="47">
        <f t="shared" si="32"/>
        <v>0</v>
      </c>
      <c r="V37" s="47">
        <f t="shared" si="32"/>
        <v>0</v>
      </c>
      <c r="W37" s="47">
        <f t="shared" si="32"/>
        <v>0</v>
      </c>
      <c r="X37" s="47">
        <v>0</v>
      </c>
      <c r="Y37" s="47">
        <f t="shared" si="32"/>
        <v>0</v>
      </c>
      <c r="Z37" s="47">
        <f t="shared" si="32"/>
        <v>0</v>
      </c>
      <c r="AA37" s="47">
        <f t="shared" si="32"/>
        <v>0</v>
      </c>
      <c r="AB37" s="47">
        <f t="shared" si="32"/>
        <v>0</v>
      </c>
      <c r="AC37" s="47">
        <f t="shared" si="32"/>
        <v>0</v>
      </c>
      <c r="AD37" s="47">
        <f t="shared" si="32"/>
        <v>0</v>
      </c>
      <c r="AE37" s="47">
        <f t="shared" si="32"/>
        <v>0</v>
      </c>
      <c r="AF37" s="47">
        <f t="shared" si="32"/>
        <v>0</v>
      </c>
      <c r="AG37" s="47">
        <f t="shared" si="32"/>
        <v>0</v>
      </c>
      <c r="AH37" s="47">
        <f t="shared" si="32"/>
        <v>0</v>
      </c>
      <c r="AI37" s="47">
        <f t="shared" si="32"/>
        <v>0</v>
      </c>
      <c r="AJ37" s="74"/>
      <c r="AK37" s="74"/>
      <c r="AL37" s="74"/>
      <c r="AM37" s="74"/>
      <c r="AN37" s="74"/>
      <c r="AO37" s="1005"/>
    </row>
    <row r="38" spans="1:41" ht="15.75">
      <c r="A38" s="595"/>
      <c r="B38" s="495" t="s">
        <v>224</v>
      </c>
      <c r="C38" s="569"/>
      <c r="D38" s="569"/>
      <c r="E38" s="569"/>
      <c r="F38" s="599"/>
      <c r="G38" s="569"/>
      <c r="H38" s="569"/>
      <c r="I38" s="585"/>
      <c r="J38" s="583"/>
      <c r="K38" s="290"/>
      <c r="L38" s="74">
        <v>90003.82</v>
      </c>
      <c r="M38" s="74"/>
      <c r="N38" s="74">
        <v>62531.64</v>
      </c>
      <c r="O38" s="74"/>
      <c r="P38" s="47">
        <f t="shared" ref="P38:P39" si="33">Q38</f>
        <v>0</v>
      </c>
      <c r="Q38" s="47">
        <f>S38+U38+W38+Y38</f>
        <v>0</v>
      </c>
      <c r="R38" s="74">
        <v>0</v>
      </c>
      <c r="S38" s="74">
        <v>0</v>
      </c>
      <c r="T38" s="74">
        <v>0</v>
      </c>
      <c r="U38" s="74">
        <v>0</v>
      </c>
      <c r="V38" s="74">
        <v>0</v>
      </c>
      <c r="W38" s="74">
        <v>0</v>
      </c>
      <c r="X38" s="74">
        <v>0</v>
      </c>
      <c r="Y38" s="74">
        <v>0</v>
      </c>
      <c r="Z38" s="74">
        <v>0</v>
      </c>
      <c r="AA38" s="74">
        <v>0</v>
      </c>
      <c r="AB38" s="74"/>
      <c r="AC38" s="74"/>
      <c r="AD38" s="74"/>
      <c r="AE38" s="47">
        <f>SUM(AF38:AF38)</f>
        <v>0</v>
      </c>
      <c r="AF38" s="74"/>
      <c r="AG38" s="74"/>
      <c r="AH38" s="74"/>
      <c r="AI38" s="74"/>
      <c r="AJ38" s="74"/>
      <c r="AK38" s="74"/>
      <c r="AL38" s="74"/>
      <c r="AM38" s="74"/>
      <c r="AN38" s="74"/>
      <c r="AO38" s="496"/>
    </row>
    <row r="39" spans="1:41" ht="15.75">
      <c r="A39" s="595"/>
      <c r="B39" s="495" t="s">
        <v>225</v>
      </c>
      <c r="C39" s="569"/>
      <c r="D39" s="569"/>
      <c r="E39" s="569"/>
      <c r="F39" s="599"/>
      <c r="G39" s="569"/>
      <c r="H39" s="569"/>
      <c r="I39" s="585"/>
      <c r="J39" s="583"/>
      <c r="K39" s="290"/>
      <c r="L39" s="74">
        <v>82000</v>
      </c>
      <c r="M39" s="74"/>
      <c r="N39" s="74">
        <v>-26031.83</v>
      </c>
      <c r="O39" s="74"/>
      <c r="P39" s="47">
        <f t="shared" si="33"/>
        <v>0</v>
      </c>
      <c r="Q39" s="47">
        <f>S39+U39+W39</f>
        <v>0</v>
      </c>
      <c r="R39" s="74">
        <v>0</v>
      </c>
      <c r="S39" s="74">
        <v>0</v>
      </c>
      <c r="T39" s="74">
        <v>0</v>
      </c>
      <c r="U39" s="74">
        <v>0</v>
      </c>
      <c r="V39" s="74">
        <v>0</v>
      </c>
      <c r="W39" s="74">
        <v>0</v>
      </c>
      <c r="X39" s="74">
        <v>0</v>
      </c>
      <c r="Y39" s="74">
        <v>0</v>
      </c>
      <c r="Z39" s="74">
        <v>0</v>
      </c>
      <c r="AA39" s="74">
        <v>0</v>
      </c>
      <c r="AB39" s="74"/>
      <c r="AC39" s="74"/>
      <c r="AD39" s="74"/>
      <c r="AE39" s="47">
        <f>SUM(AF39:AF39)</f>
        <v>0</v>
      </c>
      <c r="AF39" s="74"/>
      <c r="AG39" s="74"/>
      <c r="AH39" s="74"/>
      <c r="AI39" s="74"/>
      <c r="AJ39" s="74"/>
      <c r="AK39" s="74"/>
      <c r="AL39" s="74"/>
      <c r="AM39" s="74"/>
      <c r="AN39" s="74"/>
      <c r="AO39" s="496"/>
    </row>
    <row r="40" spans="1:41" ht="38.25">
      <c r="A40" s="937" t="s">
        <v>33</v>
      </c>
      <c r="B40" s="80" t="s">
        <v>28</v>
      </c>
      <c r="C40" s="30"/>
      <c r="D40" s="30"/>
      <c r="E40" s="30"/>
      <c r="F40" s="31">
        <v>30000</v>
      </c>
      <c r="G40" s="591"/>
      <c r="H40" s="591"/>
      <c r="I40" s="820" t="s">
        <v>19</v>
      </c>
      <c r="J40" s="882">
        <f>K40+L40</f>
        <v>260501.25</v>
      </c>
      <c r="K40" s="882">
        <v>0</v>
      </c>
      <c r="L40" s="81">
        <f>L42+L41</f>
        <v>260501.25</v>
      </c>
      <c r="M40" s="81">
        <f>M42+M41</f>
        <v>0</v>
      </c>
      <c r="N40" s="81">
        <f t="shared" ref="N40:O40" si="34">N42+N41</f>
        <v>69943.709999999992</v>
      </c>
      <c r="O40" s="81">
        <f t="shared" si="34"/>
        <v>69943.710000000006</v>
      </c>
      <c r="P40" s="81">
        <f>N40</f>
        <v>69943.709999999992</v>
      </c>
      <c r="Q40" s="81">
        <f t="shared" ref="Q40:AN40" si="35">Q42</f>
        <v>0</v>
      </c>
      <c r="R40" s="81">
        <f t="shared" si="35"/>
        <v>0</v>
      </c>
      <c r="S40" s="81">
        <f t="shared" si="35"/>
        <v>0</v>
      </c>
      <c r="T40" s="81">
        <f t="shared" si="35"/>
        <v>0</v>
      </c>
      <c r="U40" s="81">
        <f t="shared" si="35"/>
        <v>0</v>
      </c>
      <c r="V40" s="81">
        <f t="shared" si="35"/>
        <v>0</v>
      </c>
      <c r="W40" s="81">
        <f t="shared" si="35"/>
        <v>0</v>
      </c>
      <c r="X40" s="81">
        <f t="shared" si="35"/>
        <v>0</v>
      </c>
      <c r="Y40" s="81">
        <f t="shared" si="35"/>
        <v>0</v>
      </c>
      <c r="Z40" s="81">
        <f t="shared" si="35"/>
        <v>0</v>
      </c>
      <c r="AA40" s="81">
        <f t="shared" si="35"/>
        <v>0</v>
      </c>
      <c r="AB40" s="81">
        <f t="shared" si="35"/>
        <v>0</v>
      </c>
      <c r="AC40" s="81">
        <f t="shared" si="35"/>
        <v>0</v>
      </c>
      <c r="AD40" s="81">
        <f t="shared" si="35"/>
        <v>0</v>
      </c>
      <c r="AE40" s="81">
        <f t="shared" si="35"/>
        <v>0</v>
      </c>
      <c r="AF40" s="81">
        <f t="shared" si="35"/>
        <v>0</v>
      </c>
      <c r="AG40" s="81">
        <f t="shared" si="35"/>
        <v>0</v>
      </c>
      <c r="AH40" s="81">
        <f t="shared" si="35"/>
        <v>0</v>
      </c>
      <c r="AI40" s="81">
        <f t="shared" si="35"/>
        <v>0</v>
      </c>
      <c r="AJ40" s="82">
        <f>P40-Q40</f>
        <v>69943.709999999992</v>
      </c>
      <c r="AK40" s="82">
        <f>AJ40</f>
        <v>69943.709999999992</v>
      </c>
      <c r="AL40" s="81">
        <f t="shared" si="35"/>
        <v>0</v>
      </c>
      <c r="AM40" s="81">
        <f t="shared" si="35"/>
        <v>0</v>
      </c>
      <c r="AN40" s="81">
        <f t="shared" si="35"/>
        <v>0</v>
      </c>
      <c r="AO40" s="431" t="s">
        <v>247</v>
      </c>
    </row>
    <row r="41" spans="1:41" s="292" customFormat="1" ht="23.25" customHeight="1">
      <c r="A41" s="938"/>
      <c r="B41" s="1" t="s">
        <v>15</v>
      </c>
      <c r="C41" s="293"/>
      <c r="D41" s="293"/>
      <c r="E41" s="293"/>
      <c r="F41" s="294"/>
      <c r="G41" s="591"/>
      <c r="H41" s="591"/>
      <c r="I41" s="822"/>
      <c r="J41" s="917"/>
      <c r="K41" s="917"/>
      <c r="L41" s="75">
        <v>10164.5</v>
      </c>
      <c r="M41" s="75">
        <v>0</v>
      </c>
      <c r="N41" s="75">
        <v>4946.26</v>
      </c>
      <c r="O41" s="75">
        <v>0</v>
      </c>
      <c r="P41" s="75">
        <f>N41+630</f>
        <v>5576.26</v>
      </c>
      <c r="Q41" s="75">
        <v>0</v>
      </c>
      <c r="R41" s="75">
        <v>0</v>
      </c>
      <c r="S41" s="75">
        <v>0</v>
      </c>
      <c r="T41" s="75">
        <v>0</v>
      </c>
      <c r="U41" s="75">
        <v>0</v>
      </c>
      <c r="V41" s="75">
        <v>0</v>
      </c>
      <c r="W41" s="75">
        <v>0</v>
      </c>
      <c r="X41" s="75">
        <v>0</v>
      </c>
      <c r="Y41" s="75">
        <v>0</v>
      </c>
      <c r="Z41" s="75">
        <v>0</v>
      </c>
      <c r="AA41" s="75">
        <v>0</v>
      </c>
      <c r="AB41" s="75">
        <v>0</v>
      </c>
      <c r="AC41" s="75">
        <v>0</v>
      </c>
      <c r="AD41" s="75">
        <v>0</v>
      </c>
      <c r="AE41" s="75">
        <v>0</v>
      </c>
      <c r="AF41" s="75">
        <v>0</v>
      </c>
      <c r="AG41" s="75">
        <v>0</v>
      </c>
      <c r="AH41" s="75">
        <v>0</v>
      </c>
      <c r="AI41" s="75">
        <v>0</v>
      </c>
      <c r="AJ41" s="295">
        <v>0</v>
      </c>
      <c r="AK41" s="295">
        <v>0</v>
      </c>
      <c r="AL41" s="75">
        <v>0</v>
      </c>
      <c r="AM41" s="75">
        <v>0</v>
      </c>
      <c r="AN41" s="75">
        <v>0</v>
      </c>
      <c r="AO41" s="1006"/>
    </row>
    <row r="42" spans="1:41" ht="15.75" customHeight="1">
      <c r="A42" s="939"/>
      <c r="B42" s="1" t="s">
        <v>32</v>
      </c>
      <c r="C42" s="30"/>
      <c r="D42" s="30"/>
      <c r="E42" s="30"/>
      <c r="F42" s="32"/>
      <c r="G42" s="591">
        <v>2020</v>
      </c>
      <c r="H42" s="591">
        <v>2021</v>
      </c>
      <c r="I42" s="821"/>
      <c r="J42" s="883"/>
      <c r="K42" s="883"/>
      <c r="L42" s="75">
        <v>250336.75</v>
      </c>
      <c r="M42" s="75">
        <v>0</v>
      </c>
      <c r="N42" s="75">
        <v>64997.45</v>
      </c>
      <c r="O42" s="75">
        <v>69943.710000000006</v>
      </c>
      <c r="P42" s="75">
        <f>N42+4946.265</f>
        <v>69943.714999999997</v>
      </c>
      <c r="Q42" s="75">
        <v>0</v>
      </c>
      <c r="R42" s="75">
        <v>0</v>
      </c>
      <c r="S42" s="75">
        <v>0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75">
        <v>0</v>
      </c>
      <c r="Z42" s="75">
        <v>0</v>
      </c>
      <c r="AA42" s="75">
        <v>0</v>
      </c>
      <c r="AB42" s="75">
        <v>0</v>
      </c>
      <c r="AC42" s="75">
        <v>0</v>
      </c>
      <c r="AD42" s="75">
        <v>0</v>
      </c>
      <c r="AE42" s="75">
        <v>0</v>
      </c>
      <c r="AF42" s="75">
        <v>0</v>
      </c>
      <c r="AG42" s="75">
        <v>0</v>
      </c>
      <c r="AH42" s="75">
        <v>0</v>
      </c>
      <c r="AI42" s="75">
        <v>0</v>
      </c>
      <c r="AJ42" s="75">
        <v>0</v>
      </c>
      <c r="AK42" s="75">
        <v>0</v>
      </c>
      <c r="AL42" s="75">
        <v>0</v>
      </c>
      <c r="AM42" s="75">
        <v>0</v>
      </c>
      <c r="AN42" s="75">
        <v>0</v>
      </c>
      <c r="AO42" s="1007"/>
    </row>
    <row r="43" spans="1:41" ht="33" customHeight="1">
      <c r="A43" s="937" t="s">
        <v>37</v>
      </c>
      <c r="B43" s="80" t="s">
        <v>36</v>
      </c>
      <c r="C43" s="30"/>
      <c r="D43" s="30"/>
      <c r="E43" s="30"/>
      <c r="F43" s="32"/>
      <c r="G43" s="591"/>
      <c r="H43" s="591"/>
      <c r="I43" s="820" t="s">
        <v>19</v>
      </c>
      <c r="J43" s="33">
        <v>344081.28</v>
      </c>
      <c r="K43" s="809">
        <v>0</v>
      </c>
      <c r="L43" s="79">
        <f>L44+L46</f>
        <v>368435.18</v>
      </c>
      <c r="M43" s="79">
        <f>M44+M46</f>
        <v>20243.12</v>
      </c>
      <c r="N43" s="79">
        <f>N44+N46</f>
        <v>13773.23</v>
      </c>
      <c r="O43" s="79">
        <f t="shared" ref="O43" si="36">O44+O46</f>
        <v>8942.9699999999993</v>
      </c>
      <c r="P43" s="79">
        <f>N43</f>
        <v>13773.23</v>
      </c>
      <c r="Q43" s="79">
        <f t="shared" ref="Q43:AN43" si="37">Q44+Q46</f>
        <v>5</v>
      </c>
      <c r="R43" s="79">
        <f t="shared" si="37"/>
        <v>0</v>
      </c>
      <c r="S43" s="79">
        <f t="shared" si="37"/>
        <v>0</v>
      </c>
      <c r="T43" s="79">
        <f t="shared" si="37"/>
        <v>0</v>
      </c>
      <c r="U43" s="79">
        <f t="shared" si="37"/>
        <v>0</v>
      </c>
      <c r="V43" s="79">
        <f t="shared" si="37"/>
        <v>0</v>
      </c>
      <c r="W43" s="79">
        <f t="shared" si="37"/>
        <v>0</v>
      </c>
      <c r="X43" s="79">
        <f t="shared" si="37"/>
        <v>5</v>
      </c>
      <c r="Y43" s="79">
        <f t="shared" si="37"/>
        <v>5</v>
      </c>
      <c r="Z43" s="79">
        <f t="shared" si="37"/>
        <v>5</v>
      </c>
      <c r="AA43" s="79">
        <f t="shared" si="37"/>
        <v>0</v>
      </c>
      <c r="AB43" s="79">
        <f t="shared" si="37"/>
        <v>0</v>
      </c>
      <c r="AC43" s="79">
        <f t="shared" si="37"/>
        <v>0</v>
      </c>
      <c r="AD43" s="79">
        <f t="shared" si="37"/>
        <v>5</v>
      </c>
      <c r="AE43" s="79">
        <f t="shared" si="37"/>
        <v>0</v>
      </c>
      <c r="AF43" s="79">
        <f t="shared" si="37"/>
        <v>0</v>
      </c>
      <c r="AG43" s="79">
        <f t="shared" si="37"/>
        <v>0</v>
      </c>
      <c r="AH43" s="79">
        <f t="shared" si="37"/>
        <v>0</v>
      </c>
      <c r="AI43" s="79">
        <f t="shared" si="37"/>
        <v>0</v>
      </c>
      <c r="AJ43" s="79">
        <f>P43-Q43</f>
        <v>13768.23</v>
      </c>
      <c r="AK43" s="79">
        <f>AJ43</f>
        <v>13768.23</v>
      </c>
      <c r="AL43" s="79">
        <f>ROUND((Q43*100%/P43*100),2)</f>
        <v>0.04</v>
      </c>
      <c r="AM43" s="79">
        <f t="shared" si="37"/>
        <v>0</v>
      </c>
      <c r="AN43" s="79">
        <f t="shared" si="37"/>
        <v>0</v>
      </c>
      <c r="AO43" s="406" t="s">
        <v>250</v>
      </c>
    </row>
    <row r="44" spans="1:41" ht="15" customHeight="1">
      <c r="A44" s="938"/>
      <c r="B44" s="1" t="s">
        <v>15</v>
      </c>
      <c r="C44" s="30"/>
      <c r="D44" s="30"/>
      <c r="E44" s="30"/>
      <c r="F44" s="32"/>
      <c r="G44" s="591">
        <v>2019</v>
      </c>
      <c r="H44" s="591">
        <v>2019</v>
      </c>
      <c r="I44" s="822"/>
      <c r="J44" s="16">
        <v>31543.64</v>
      </c>
      <c r="K44" s="810"/>
      <c r="L44" s="47">
        <f>SUM(M44:O44)</f>
        <v>31543.64</v>
      </c>
      <c r="M44" s="4">
        <v>20243.12</v>
      </c>
      <c r="N44" s="4">
        <v>11300.52</v>
      </c>
      <c r="O44" s="4">
        <v>0</v>
      </c>
      <c r="P44" s="4">
        <f>N44*1.2</f>
        <v>13560.624</v>
      </c>
      <c r="Q44" s="4">
        <f>Q45</f>
        <v>5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f>X45</f>
        <v>5</v>
      </c>
      <c r="Y44" s="4">
        <f>Y45</f>
        <v>5</v>
      </c>
      <c r="Z44" s="4">
        <f>Z45</f>
        <v>5</v>
      </c>
      <c r="AA44" s="4">
        <v>0</v>
      </c>
      <c r="AB44" s="4">
        <v>0</v>
      </c>
      <c r="AC44" s="4">
        <v>0</v>
      </c>
      <c r="AD44" s="4">
        <f>AD45</f>
        <v>5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601"/>
    </row>
    <row r="45" spans="1:41" s="100" customFormat="1" ht="15" hidden="1" customHeight="1">
      <c r="A45" s="938"/>
      <c r="B45" s="105" t="s">
        <v>301</v>
      </c>
      <c r="C45" s="506"/>
      <c r="D45" s="506"/>
      <c r="E45" s="506"/>
      <c r="F45" s="507"/>
      <c r="G45" s="508"/>
      <c r="H45" s="508"/>
      <c r="I45" s="822"/>
      <c r="J45" s="110"/>
      <c r="K45" s="810"/>
      <c r="L45" s="99"/>
      <c r="M45" s="275"/>
      <c r="N45" s="275"/>
      <c r="O45" s="275"/>
      <c r="P45" s="275"/>
      <c r="Q45" s="275">
        <f>Y45</f>
        <v>5</v>
      </c>
      <c r="R45" s="275"/>
      <c r="S45" s="275"/>
      <c r="T45" s="275"/>
      <c r="U45" s="275"/>
      <c r="V45" s="275"/>
      <c r="W45" s="275"/>
      <c r="X45" s="275">
        <v>5</v>
      </c>
      <c r="Y45" s="275">
        <v>5</v>
      </c>
      <c r="Z45" s="275">
        <f>AD45</f>
        <v>5</v>
      </c>
      <c r="AA45" s="275"/>
      <c r="AB45" s="275"/>
      <c r="AC45" s="275"/>
      <c r="AD45" s="275">
        <v>5</v>
      </c>
      <c r="AE45" s="275"/>
      <c r="AF45" s="275"/>
      <c r="AG45" s="275"/>
      <c r="AH45" s="275"/>
      <c r="AI45" s="275"/>
      <c r="AJ45" s="275"/>
      <c r="AK45" s="275"/>
      <c r="AL45" s="275"/>
      <c r="AM45" s="275"/>
      <c r="AN45" s="275"/>
      <c r="AO45" s="509"/>
    </row>
    <row r="46" spans="1:41" ht="14.25" customHeight="1">
      <c r="A46" s="939"/>
      <c r="B46" s="1" t="s">
        <v>16</v>
      </c>
      <c r="C46" s="30"/>
      <c r="D46" s="30"/>
      <c r="E46" s="30"/>
      <c r="F46" s="32"/>
      <c r="G46" s="591">
        <v>2020</v>
      </c>
      <c r="H46" s="591">
        <v>2021</v>
      </c>
      <c r="I46" s="821"/>
      <c r="J46" s="16">
        <v>312537.64</v>
      </c>
      <c r="K46" s="811"/>
      <c r="L46" s="47">
        <v>336891.54</v>
      </c>
      <c r="M46" s="4">
        <v>0</v>
      </c>
      <c r="N46" s="4">
        <v>2472.71</v>
      </c>
      <c r="O46" s="4">
        <v>8942.9699999999993</v>
      </c>
      <c r="P46" s="4">
        <f>N46*1.2</f>
        <v>2967.252</v>
      </c>
      <c r="Q46" s="47">
        <v>0</v>
      </c>
      <c r="R46" s="47">
        <v>0</v>
      </c>
      <c r="S46" s="47">
        <v>0</v>
      </c>
      <c r="T46" s="47">
        <v>0</v>
      </c>
      <c r="U46" s="47">
        <v>0</v>
      </c>
      <c r="V46" s="47">
        <v>0</v>
      </c>
      <c r="W46" s="47">
        <v>0</v>
      </c>
      <c r="X46" s="47">
        <v>0</v>
      </c>
      <c r="Y46" s="47">
        <v>0</v>
      </c>
      <c r="Z46" s="47">
        <v>0</v>
      </c>
      <c r="AA46" s="47">
        <v>0</v>
      </c>
      <c r="AB46" s="47">
        <v>0</v>
      </c>
      <c r="AC46" s="47">
        <v>0</v>
      </c>
      <c r="AD46" s="47">
        <v>0</v>
      </c>
      <c r="AE46" s="47">
        <v>0</v>
      </c>
      <c r="AF46" s="47">
        <v>0</v>
      </c>
      <c r="AG46" s="47">
        <v>0</v>
      </c>
      <c r="AH46" s="47">
        <v>0</v>
      </c>
      <c r="AI46" s="47">
        <v>0</v>
      </c>
      <c r="AJ46" s="47">
        <v>0</v>
      </c>
      <c r="AK46" s="47">
        <v>0</v>
      </c>
      <c r="AL46" s="47">
        <v>0</v>
      </c>
      <c r="AM46" s="47">
        <v>0</v>
      </c>
      <c r="AN46" s="47">
        <v>0</v>
      </c>
      <c r="AO46" s="403"/>
    </row>
    <row r="47" spans="1:41" ht="53.25" customHeight="1">
      <c r="A47" s="937" t="s">
        <v>22</v>
      </c>
      <c r="B47" s="889" t="s">
        <v>49</v>
      </c>
      <c r="C47" s="890"/>
      <c r="D47" s="890"/>
      <c r="E47" s="890"/>
      <c r="F47" s="890"/>
      <c r="G47" s="890"/>
      <c r="H47" s="891"/>
      <c r="I47" s="15" t="s">
        <v>19</v>
      </c>
      <c r="J47" s="16">
        <v>0</v>
      </c>
      <c r="K47" s="16">
        <v>0</v>
      </c>
      <c r="L47" s="3">
        <v>0</v>
      </c>
      <c r="M47" s="325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601"/>
    </row>
    <row r="48" spans="1:41" ht="44.25" customHeight="1">
      <c r="A48" s="938"/>
      <c r="B48" s="892"/>
      <c r="C48" s="893"/>
      <c r="D48" s="893"/>
      <c r="E48" s="893"/>
      <c r="F48" s="893"/>
      <c r="G48" s="893"/>
      <c r="H48" s="894"/>
      <c r="I48" s="15" t="s">
        <v>20</v>
      </c>
      <c r="J48" s="16">
        <v>0</v>
      </c>
      <c r="K48" s="16">
        <v>0</v>
      </c>
      <c r="L48" s="3">
        <f>L51</f>
        <v>4674.0700000000006</v>
      </c>
      <c r="M48" s="3">
        <f t="shared" ref="M48:V48" si="38">M51</f>
        <v>0</v>
      </c>
      <c r="N48" s="47">
        <f t="shared" si="38"/>
        <v>0</v>
      </c>
      <c r="O48" s="47">
        <f t="shared" si="38"/>
        <v>0</v>
      </c>
      <c r="P48" s="47">
        <f t="shared" si="38"/>
        <v>0</v>
      </c>
      <c r="Q48" s="47">
        <f t="shared" si="38"/>
        <v>0</v>
      </c>
      <c r="R48" s="47">
        <f t="shared" si="38"/>
        <v>0</v>
      </c>
      <c r="S48" s="47">
        <f t="shared" si="38"/>
        <v>0</v>
      </c>
      <c r="T48" s="47">
        <f t="shared" si="38"/>
        <v>0</v>
      </c>
      <c r="U48" s="47">
        <f t="shared" si="38"/>
        <v>0</v>
      </c>
      <c r="V48" s="47">
        <f t="shared" si="38"/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601"/>
    </row>
    <row r="49" spans="1:41" ht="27.75" customHeight="1">
      <c r="A49" s="938"/>
      <c r="B49" s="892"/>
      <c r="C49" s="893"/>
      <c r="D49" s="893"/>
      <c r="E49" s="893"/>
      <c r="F49" s="893"/>
      <c r="G49" s="893"/>
      <c r="H49" s="894"/>
      <c r="I49" s="15" t="s">
        <v>10</v>
      </c>
      <c r="J49" s="16">
        <f t="shared" ref="J49:AN49" si="39">J51</f>
        <v>23417.360000000001</v>
      </c>
      <c r="K49" s="16">
        <f t="shared" si="39"/>
        <v>0</v>
      </c>
      <c r="L49" s="3">
        <v>0</v>
      </c>
      <c r="M49" s="325">
        <f t="shared" si="39"/>
        <v>0</v>
      </c>
      <c r="N49" s="4">
        <f t="shared" si="39"/>
        <v>0</v>
      </c>
      <c r="O49" s="4">
        <f t="shared" si="39"/>
        <v>0</v>
      </c>
      <c r="P49" s="4">
        <f t="shared" si="39"/>
        <v>0</v>
      </c>
      <c r="Q49" s="4">
        <f t="shared" si="39"/>
        <v>0</v>
      </c>
      <c r="R49" s="4">
        <f t="shared" si="39"/>
        <v>0</v>
      </c>
      <c r="S49" s="4">
        <f t="shared" si="39"/>
        <v>0</v>
      </c>
      <c r="T49" s="4">
        <f t="shared" si="39"/>
        <v>0</v>
      </c>
      <c r="U49" s="4">
        <f t="shared" si="39"/>
        <v>0</v>
      </c>
      <c r="V49" s="4">
        <f t="shared" si="39"/>
        <v>0</v>
      </c>
      <c r="W49" s="4">
        <f t="shared" si="39"/>
        <v>0</v>
      </c>
      <c r="X49" s="4">
        <f t="shared" si="39"/>
        <v>0</v>
      </c>
      <c r="Y49" s="4">
        <f t="shared" si="39"/>
        <v>0</v>
      </c>
      <c r="Z49" s="4">
        <f t="shared" si="39"/>
        <v>0</v>
      </c>
      <c r="AA49" s="4">
        <f t="shared" si="39"/>
        <v>0</v>
      </c>
      <c r="AB49" s="4">
        <f t="shared" si="39"/>
        <v>0</v>
      </c>
      <c r="AC49" s="4">
        <f t="shared" si="39"/>
        <v>0</v>
      </c>
      <c r="AD49" s="4">
        <f t="shared" si="39"/>
        <v>0</v>
      </c>
      <c r="AE49" s="4">
        <f t="shared" si="39"/>
        <v>0</v>
      </c>
      <c r="AF49" s="4">
        <f t="shared" si="39"/>
        <v>0</v>
      </c>
      <c r="AG49" s="4">
        <f t="shared" si="39"/>
        <v>0</v>
      </c>
      <c r="AH49" s="4">
        <f t="shared" si="39"/>
        <v>0</v>
      </c>
      <c r="AI49" s="4">
        <f t="shared" si="39"/>
        <v>0</v>
      </c>
      <c r="AJ49" s="4">
        <f t="shared" si="39"/>
        <v>0</v>
      </c>
      <c r="AK49" s="4">
        <f t="shared" si="39"/>
        <v>0</v>
      </c>
      <c r="AL49" s="4">
        <f t="shared" si="39"/>
        <v>0</v>
      </c>
      <c r="AM49" s="4">
        <f t="shared" si="39"/>
        <v>0</v>
      </c>
      <c r="AN49" s="4">
        <f t="shared" si="39"/>
        <v>0</v>
      </c>
      <c r="AO49" s="601"/>
    </row>
    <row r="50" spans="1:41" ht="27.75" customHeight="1">
      <c r="A50" s="938"/>
      <c r="B50" s="895"/>
      <c r="C50" s="896"/>
      <c r="D50" s="896"/>
      <c r="E50" s="896"/>
      <c r="F50" s="896"/>
      <c r="G50" s="896"/>
      <c r="H50" s="897"/>
      <c r="I50" s="15" t="s">
        <v>9</v>
      </c>
      <c r="J50" s="16">
        <v>0</v>
      </c>
      <c r="K50" s="16">
        <v>0</v>
      </c>
      <c r="L50" s="3">
        <v>0</v>
      </c>
      <c r="M50" s="325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601"/>
    </row>
    <row r="51" spans="1:41" ht="27.75" customHeight="1">
      <c r="A51" s="965" t="s">
        <v>23</v>
      </c>
      <c r="B51" s="80" t="s">
        <v>285</v>
      </c>
      <c r="C51" s="590">
        <v>900</v>
      </c>
      <c r="D51" s="35">
        <v>28000</v>
      </c>
      <c r="E51" s="590"/>
      <c r="F51" s="36"/>
      <c r="G51" s="570"/>
      <c r="H51" s="570"/>
      <c r="I51" s="918" t="s">
        <v>20</v>
      </c>
      <c r="J51" s="882">
        <v>23417.360000000001</v>
      </c>
      <c r="K51" s="882">
        <v>0</v>
      </c>
      <c r="L51" s="81">
        <f>SUM(L52:L53)</f>
        <v>4674.0700000000006</v>
      </c>
      <c r="M51" s="81">
        <f t="shared" ref="M51:V51" si="40">SUM(M52:M53)</f>
        <v>0</v>
      </c>
      <c r="N51" s="81">
        <f t="shared" si="40"/>
        <v>0</v>
      </c>
      <c r="O51" s="81">
        <f t="shared" si="40"/>
        <v>0</v>
      </c>
      <c r="P51" s="81">
        <f t="shared" si="40"/>
        <v>0</v>
      </c>
      <c r="Q51" s="81">
        <f t="shared" si="40"/>
        <v>0</v>
      </c>
      <c r="R51" s="81">
        <f t="shared" si="40"/>
        <v>0</v>
      </c>
      <c r="S51" s="81">
        <f t="shared" si="40"/>
        <v>0</v>
      </c>
      <c r="T51" s="81">
        <f t="shared" si="40"/>
        <v>0</v>
      </c>
      <c r="U51" s="81">
        <f t="shared" si="40"/>
        <v>0</v>
      </c>
      <c r="V51" s="81">
        <f t="shared" si="40"/>
        <v>0</v>
      </c>
      <c r="W51" s="81">
        <v>0</v>
      </c>
      <c r="X51" s="81">
        <v>0</v>
      </c>
      <c r="Y51" s="81">
        <v>0</v>
      </c>
      <c r="Z51" s="81">
        <v>0</v>
      </c>
      <c r="AA51" s="81">
        <v>0</v>
      </c>
      <c r="AB51" s="81">
        <v>0</v>
      </c>
      <c r="AC51" s="81">
        <v>0</v>
      </c>
      <c r="AD51" s="81">
        <v>0</v>
      </c>
      <c r="AE51" s="81">
        <v>0</v>
      </c>
      <c r="AF51" s="81">
        <v>0</v>
      </c>
      <c r="AG51" s="81">
        <v>0</v>
      </c>
      <c r="AH51" s="81">
        <v>0</v>
      </c>
      <c r="AI51" s="81">
        <v>0</v>
      </c>
      <c r="AJ51" s="82">
        <f>P51-Q51</f>
        <v>0</v>
      </c>
      <c r="AK51" s="82">
        <f>AJ51</f>
        <v>0</v>
      </c>
      <c r="AL51" s="81">
        <v>0</v>
      </c>
      <c r="AM51" s="81">
        <v>0</v>
      </c>
      <c r="AN51" s="81">
        <v>0</v>
      </c>
      <c r="AO51" s="432"/>
    </row>
    <row r="52" spans="1:41" s="292" customFormat="1" ht="15.75" customHeight="1">
      <c r="A52" s="966"/>
      <c r="B52" s="562" t="s">
        <v>15</v>
      </c>
      <c r="C52" s="590"/>
      <c r="D52" s="35"/>
      <c r="E52" s="590"/>
      <c r="F52" s="36"/>
      <c r="G52" s="570"/>
      <c r="H52" s="570"/>
      <c r="I52" s="919"/>
      <c r="J52" s="917"/>
      <c r="K52" s="917"/>
      <c r="L52" s="75">
        <v>521.89</v>
      </c>
      <c r="M52" s="589"/>
      <c r="N52" s="589">
        <v>0</v>
      </c>
      <c r="O52" s="497"/>
      <c r="P52" s="589"/>
      <c r="Q52" s="589"/>
      <c r="R52" s="589"/>
      <c r="S52" s="589"/>
      <c r="T52" s="589"/>
      <c r="U52" s="589"/>
      <c r="V52" s="589"/>
      <c r="W52" s="589"/>
      <c r="X52" s="589"/>
      <c r="Y52" s="589"/>
      <c r="Z52" s="589"/>
      <c r="AA52" s="589"/>
      <c r="AB52" s="589"/>
      <c r="AC52" s="589"/>
      <c r="AD52" s="589"/>
      <c r="AE52" s="589"/>
      <c r="AF52" s="589"/>
      <c r="AG52" s="589"/>
      <c r="AH52" s="589"/>
      <c r="AI52" s="589"/>
      <c r="AJ52" s="498"/>
      <c r="AK52" s="498"/>
      <c r="AL52" s="589"/>
      <c r="AM52" s="589"/>
      <c r="AN52" s="589"/>
      <c r="AO52" s="499"/>
    </row>
    <row r="53" spans="1:41" ht="14.25" customHeight="1">
      <c r="A53" s="967"/>
      <c r="B53" s="562" t="s">
        <v>16</v>
      </c>
      <c r="C53" s="590"/>
      <c r="D53" s="590"/>
      <c r="E53" s="590"/>
      <c r="F53" s="36"/>
      <c r="G53" s="570">
        <v>2020</v>
      </c>
      <c r="H53" s="570">
        <v>2020</v>
      </c>
      <c r="I53" s="920"/>
      <c r="J53" s="883"/>
      <c r="K53" s="883"/>
      <c r="L53" s="500">
        <v>4152.18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5">
        <v>0</v>
      </c>
      <c r="V53" s="75">
        <v>0</v>
      </c>
      <c r="W53" s="75">
        <v>0</v>
      </c>
      <c r="X53" s="75">
        <v>0</v>
      </c>
      <c r="Y53" s="75">
        <v>0</v>
      </c>
      <c r="Z53" s="75">
        <v>0</v>
      </c>
      <c r="AA53" s="75">
        <v>0</v>
      </c>
      <c r="AB53" s="75">
        <v>0</v>
      </c>
      <c r="AC53" s="75">
        <v>0</v>
      </c>
      <c r="AD53" s="75">
        <v>0</v>
      </c>
      <c r="AE53" s="75">
        <v>0</v>
      </c>
      <c r="AF53" s="75">
        <f t="shared" ref="AF53:AI54" si="41">AF56+AF59</f>
        <v>0</v>
      </c>
      <c r="AG53" s="75">
        <f t="shared" si="41"/>
        <v>0</v>
      </c>
      <c r="AH53" s="75">
        <f t="shared" si="41"/>
        <v>0</v>
      </c>
      <c r="AI53" s="75">
        <f t="shared" si="41"/>
        <v>0</v>
      </c>
      <c r="AJ53" s="75">
        <v>0</v>
      </c>
      <c r="AK53" s="75">
        <v>0</v>
      </c>
      <c r="AL53" s="75">
        <v>0</v>
      </c>
      <c r="AM53" s="75">
        <v>0</v>
      </c>
      <c r="AN53" s="75">
        <v>0</v>
      </c>
      <c r="AO53" s="408"/>
    </row>
    <row r="54" spans="1:41" ht="49.5" customHeight="1">
      <c r="A54" s="833" t="s">
        <v>29</v>
      </c>
      <c r="B54" s="889" t="s">
        <v>62</v>
      </c>
      <c r="C54" s="890"/>
      <c r="D54" s="890"/>
      <c r="E54" s="890"/>
      <c r="F54" s="890"/>
      <c r="G54" s="890"/>
      <c r="H54" s="891"/>
      <c r="I54" s="37" t="s">
        <v>20</v>
      </c>
      <c r="J54" s="584">
        <f>L54</f>
        <v>924.64</v>
      </c>
      <c r="K54" s="584">
        <v>0</v>
      </c>
      <c r="L54" s="565">
        <f>L60</f>
        <v>924.64</v>
      </c>
      <c r="M54" s="75">
        <f>M57+M60</f>
        <v>0</v>
      </c>
      <c r="N54" s="75">
        <f t="shared" ref="N54:O54" si="42">N57+N60</f>
        <v>0</v>
      </c>
      <c r="O54" s="75">
        <f t="shared" si="42"/>
        <v>0</v>
      </c>
      <c r="P54" s="75">
        <f>P57+P60</f>
        <v>0</v>
      </c>
      <c r="Q54" s="75">
        <f>Q57+Q60</f>
        <v>0</v>
      </c>
      <c r="R54" s="75">
        <f t="shared" ref="R54:S54" si="43">R57+R60</f>
        <v>0</v>
      </c>
      <c r="S54" s="75">
        <f t="shared" si="43"/>
        <v>0</v>
      </c>
      <c r="T54" s="75">
        <f>T57+T60</f>
        <v>0</v>
      </c>
      <c r="U54" s="75">
        <f t="shared" ref="U54:AN54" si="44">U57+U60</f>
        <v>0</v>
      </c>
      <c r="V54" s="75">
        <f t="shared" si="44"/>
        <v>0</v>
      </c>
      <c r="W54" s="75">
        <f t="shared" si="44"/>
        <v>0</v>
      </c>
      <c r="X54" s="75">
        <f t="shared" si="44"/>
        <v>0</v>
      </c>
      <c r="Y54" s="75">
        <f t="shared" si="44"/>
        <v>0</v>
      </c>
      <c r="Z54" s="75">
        <f t="shared" si="44"/>
        <v>0</v>
      </c>
      <c r="AA54" s="75">
        <f t="shared" si="44"/>
        <v>0</v>
      </c>
      <c r="AB54" s="75">
        <f t="shared" si="44"/>
        <v>0</v>
      </c>
      <c r="AC54" s="75">
        <f t="shared" si="44"/>
        <v>0</v>
      </c>
      <c r="AD54" s="75">
        <f t="shared" si="44"/>
        <v>0</v>
      </c>
      <c r="AE54" s="75">
        <f t="shared" si="44"/>
        <v>0</v>
      </c>
      <c r="AF54" s="75">
        <f t="shared" si="41"/>
        <v>0</v>
      </c>
      <c r="AG54" s="75">
        <f t="shared" si="41"/>
        <v>0</v>
      </c>
      <c r="AH54" s="75">
        <f t="shared" si="41"/>
        <v>0</v>
      </c>
      <c r="AI54" s="75">
        <f t="shared" si="41"/>
        <v>0</v>
      </c>
      <c r="AJ54" s="75">
        <f t="shared" si="44"/>
        <v>0</v>
      </c>
      <c r="AK54" s="75">
        <f t="shared" si="44"/>
        <v>0</v>
      </c>
      <c r="AL54" s="75">
        <f t="shared" si="44"/>
        <v>0</v>
      </c>
      <c r="AM54" s="75">
        <f t="shared" si="44"/>
        <v>0</v>
      </c>
      <c r="AN54" s="75">
        <f t="shared" si="44"/>
        <v>0</v>
      </c>
      <c r="AO54" s="408"/>
    </row>
    <row r="55" spans="1:41" ht="31.5" customHeight="1">
      <c r="A55" s="834"/>
      <c r="B55" s="892"/>
      <c r="C55" s="893"/>
      <c r="D55" s="893"/>
      <c r="E55" s="893"/>
      <c r="F55" s="893"/>
      <c r="G55" s="893"/>
      <c r="H55" s="894"/>
      <c r="I55" s="37" t="s">
        <v>10</v>
      </c>
      <c r="J55" s="584">
        <f t="shared" ref="J55:J56" si="45">L55</f>
        <v>0</v>
      </c>
      <c r="K55" s="584">
        <v>0</v>
      </c>
      <c r="L55" s="565">
        <v>0</v>
      </c>
      <c r="M55" s="75">
        <v>0</v>
      </c>
      <c r="N55" s="75">
        <v>0</v>
      </c>
      <c r="O55" s="76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5">
        <v>0</v>
      </c>
      <c r="V55" s="75">
        <v>0</v>
      </c>
      <c r="W55" s="75">
        <v>0</v>
      </c>
      <c r="X55" s="75">
        <v>0</v>
      </c>
      <c r="Y55" s="75">
        <v>0</v>
      </c>
      <c r="Z55" s="75">
        <v>0</v>
      </c>
      <c r="AA55" s="75">
        <v>0</v>
      </c>
      <c r="AB55" s="75">
        <v>0</v>
      </c>
      <c r="AC55" s="75">
        <v>0</v>
      </c>
      <c r="AD55" s="75">
        <v>0</v>
      </c>
      <c r="AE55" s="75">
        <v>0</v>
      </c>
      <c r="AF55" s="75">
        <v>0</v>
      </c>
      <c r="AG55" s="75">
        <v>0</v>
      </c>
      <c r="AH55" s="75">
        <v>0</v>
      </c>
      <c r="AI55" s="75">
        <v>0</v>
      </c>
      <c r="AJ55" s="75">
        <v>0</v>
      </c>
      <c r="AK55" s="75">
        <v>0</v>
      </c>
      <c r="AL55" s="75">
        <v>0</v>
      </c>
      <c r="AM55" s="75">
        <v>0</v>
      </c>
      <c r="AN55" s="75">
        <v>0</v>
      </c>
      <c r="AO55" s="408"/>
    </row>
    <row r="56" spans="1:41" ht="28.5" customHeight="1">
      <c r="A56" s="835"/>
      <c r="B56" s="895"/>
      <c r="C56" s="896"/>
      <c r="D56" s="896"/>
      <c r="E56" s="896"/>
      <c r="F56" s="896"/>
      <c r="G56" s="896"/>
      <c r="H56" s="897"/>
      <c r="I56" s="37" t="s">
        <v>9</v>
      </c>
      <c r="J56" s="584">
        <f t="shared" si="45"/>
        <v>0</v>
      </c>
      <c r="K56" s="584">
        <v>0</v>
      </c>
      <c r="L56" s="565">
        <v>0</v>
      </c>
      <c r="M56" s="75">
        <v>0</v>
      </c>
      <c r="N56" s="75">
        <v>0</v>
      </c>
      <c r="O56" s="76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5">
        <v>0</v>
      </c>
      <c r="V56" s="75">
        <v>0</v>
      </c>
      <c r="W56" s="75">
        <v>0</v>
      </c>
      <c r="X56" s="75">
        <v>0</v>
      </c>
      <c r="Y56" s="75">
        <v>0</v>
      </c>
      <c r="Z56" s="75">
        <v>0</v>
      </c>
      <c r="AA56" s="75">
        <v>0</v>
      </c>
      <c r="AB56" s="75">
        <v>0</v>
      </c>
      <c r="AC56" s="75">
        <v>0</v>
      </c>
      <c r="AD56" s="75">
        <v>0</v>
      </c>
      <c r="AE56" s="75">
        <v>0</v>
      </c>
      <c r="AF56" s="75">
        <v>0</v>
      </c>
      <c r="AG56" s="75">
        <v>0</v>
      </c>
      <c r="AH56" s="75">
        <v>0</v>
      </c>
      <c r="AI56" s="75">
        <v>0</v>
      </c>
      <c r="AJ56" s="75">
        <v>0</v>
      </c>
      <c r="AK56" s="75">
        <v>0</v>
      </c>
      <c r="AL56" s="75">
        <v>0</v>
      </c>
      <c r="AM56" s="75">
        <v>0</v>
      </c>
      <c r="AN56" s="75">
        <v>0</v>
      </c>
      <c r="AO56" s="408"/>
    </row>
    <row r="57" spans="1:41" ht="30" hidden="1" customHeight="1">
      <c r="A57" s="965" t="s">
        <v>46</v>
      </c>
      <c r="B57" s="80" t="s">
        <v>53</v>
      </c>
      <c r="C57" s="815">
        <v>300</v>
      </c>
      <c r="D57" s="815">
        <v>17</v>
      </c>
      <c r="E57" s="815"/>
      <c r="F57" s="867"/>
      <c r="G57" s="586"/>
      <c r="H57" s="586"/>
      <c r="I57" s="995" t="s">
        <v>20</v>
      </c>
      <c r="J57" s="71">
        <f>L57</f>
        <v>0</v>
      </c>
      <c r="K57" s="71"/>
      <c r="L57" s="291">
        <f>M57+N57+O57</f>
        <v>0</v>
      </c>
      <c r="M57" s="81">
        <f>M58+M59</f>
        <v>0</v>
      </c>
      <c r="N57" s="81">
        <f t="shared" ref="N57:O57" si="46">N58+N59</f>
        <v>0</v>
      </c>
      <c r="O57" s="81">
        <f t="shared" si="46"/>
        <v>0</v>
      </c>
      <c r="P57" s="81">
        <f>P58+P59</f>
        <v>0</v>
      </c>
      <c r="Q57" s="81">
        <f>Q58+Q59</f>
        <v>0</v>
      </c>
      <c r="R57" s="81">
        <f t="shared" ref="R57:AN57" si="47">R58+R59</f>
        <v>0</v>
      </c>
      <c r="S57" s="81">
        <f t="shared" si="47"/>
        <v>0</v>
      </c>
      <c r="T57" s="81">
        <f t="shared" si="47"/>
        <v>0</v>
      </c>
      <c r="U57" s="81">
        <f t="shared" si="47"/>
        <v>0</v>
      </c>
      <c r="V57" s="81">
        <f t="shared" si="47"/>
        <v>0</v>
      </c>
      <c r="W57" s="81">
        <f t="shared" si="47"/>
        <v>0</v>
      </c>
      <c r="X57" s="81">
        <f t="shared" si="47"/>
        <v>0</v>
      </c>
      <c r="Y57" s="81">
        <f t="shared" si="47"/>
        <v>0</v>
      </c>
      <c r="Z57" s="81">
        <f t="shared" si="47"/>
        <v>0</v>
      </c>
      <c r="AA57" s="81">
        <f t="shared" si="47"/>
        <v>0</v>
      </c>
      <c r="AB57" s="81">
        <f t="shared" si="47"/>
        <v>0</v>
      </c>
      <c r="AC57" s="81">
        <f t="shared" si="47"/>
        <v>0</v>
      </c>
      <c r="AD57" s="81">
        <f t="shared" si="47"/>
        <v>0</v>
      </c>
      <c r="AE57" s="81">
        <f t="shared" si="47"/>
        <v>0</v>
      </c>
      <c r="AF57" s="81">
        <f t="shared" si="47"/>
        <v>0</v>
      </c>
      <c r="AG57" s="81">
        <f t="shared" si="47"/>
        <v>0</v>
      </c>
      <c r="AH57" s="81">
        <f t="shared" si="47"/>
        <v>0</v>
      </c>
      <c r="AI57" s="81"/>
      <c r="AJ57" s="82">
        <f>P57-Q57</f>
        <v>0</v>
      </c>
      <c r="AK57" s="82">
        <f>AJ57</f>
        <v>0</v>
      </c>
      <c r="AL57" s="79">
        <v>0</v>
      </c>
      <c r="AM57" s="81">
        <f t="shared" si="47"/>
        <v>0</v>
      </c>
      <c r="AN57" s="81">
        <f t="shared" si="47"/>
        <v>0</v>
      </c>
      <c r="AO57" s="433" t="s">
        <v>163</v>
      </c>
    </row>
    <row r="58" spans="1:41" ht="14.25" hidden="1" customHeight="1">
      <c r="A58" s="966"/>
      <c r="B58" s="40" t="s">
        <v>15</v>
      </c>
      <c r="C58" s="816"/>
      <c r="D58" s="816"/>
      <c r="E58" s="816"/>
      <c r="F58" s="819"/>
      <c r="G58" s="586">
        <v>2019</v>
      </c>
      <c r="H58" s="586">
        <v>2019</v>
      </c>
      <c r="I58" s="878"/>
      <c r="J58" s="71">
        <f t="shared" ref="J58:J62" si="48">L58</f>
        <v>0</v>
      </c>
      <c r="K58" s="71"/>
      <c r="L58" s="589">
        <f t="shared" ref="L58:L59" si="49">M58+N58+O58</f>
        <v>0</v>
      </c>
      <c r="M58" s="74">
        <v>0</v>
      </c>
      <c r="N58" s="74">
        <v>0</v>
      </c>
      <c r="O58" s="74">
        <v>0</v>
      </c>
      <c r="P58" s="74">
        <v>0</v>
      </c>
      <c r="Q58" s="74">
        <v>0</v>
      </c>
      <c r="R58" s="74">
        <v>0</v>
      </c>
      <c r="S58" s="74">
        <v>0</v>
      </c>
      <c r="T58" s="74">
        <v>0</v>
      </c>
      <c r="U58" s="74">
        <v>0</v>
      </c>
      <c r="V58" s="74">
        <v>0</v>
      </c>
      <c r="W58" s="74">
        <v>0</v>
      </c>
      <c r="X58" s="74">
        <v>0</v>
      </c>
      <c r="Y58" s="74">
        <v>0</v>
      </c>
      <c r="Z58" s="74">
        <v>0</v>
      </c>
      <c r="AA58" s="74">
        <v>0</v>
      </c>
      <c r="AB58" s="74">
        <v>0</v>
      </c>
      <c r="AC58" s="74">
        <v>0</v>
      </c>
      <c r="AD58" s="74">
        <v>0</v>
      </c>
      <c r="AE58" s="74">
        <v>0</v>
      </c>
      <c r="AF58" s="74">
        <v>0</v>
      </c>
      <c r="AG58" s="74">
        <v>0</v>
      </c>
      <c r="AH58" s="74">
        <v>0</v>
      </c>
      <c r="AI58" s="74"/>
      <c r="AJ58" s="74">
        <v>0</v>
      </c>
      <c r="AK58" s="74">
        <v>0</v>
      </c>
      <c r="AL58" s="74">
        <v>0</v>
      </c>
      <c r="AM58" s="74">
        <v>0</v>
      </c>
      <c r="AN58" s="74">
        <v>0</v>
      </c>
      <c r="AO58" s="409"/>
    </row>
    <row r="59" spans="1:41" ht="14.25" hidden="1" customHeight="1">
      <c r="A59" s="967"/>
      <c r="B59" s="40" t="s">
        <v>16</v>
      </c>
      <c r="C59" s="900"/>
      <c r="D59" s="900"/>
      <c r="E59" s="900"/>
      <c r="F59" s="868"/>
      <c r="G59" s="591">
        <v>2019</v>
      </c>
      <c r="H59" s="591">
        <v>2019</v>
      </c>
      <c r="I59" s="996"/>
      <c r="J59" s="71">
        <f t="shared" si="48"/>
        <v>0</v>
      </c>
      <c r="K59" s="571"/>
      <c r="L59" s="589">
        <f t="shared" si="49"/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74">
        <v>0</v>
      </c>
      <c r="AA59" s="74">
        <v>0</v>
      </c>
      <c r="AB59" s="74">
        <v>0</v>
      </c>
      <c r="AC59" s="74">
        <v>0</v>
      </c>
      <c r="AD59" s="74">
        <v>0</v>
      </c>
      <c r="AE59" s="74">
        <v>0</v>
      </c>
      <c r="AF59" s="74">
        <v>0</v>
      </c>
      <c r="AG59" s="74">
        <v>0</v>
      </c>
      <c r="AH59" s="74">
        <v>0</v>
      </c>
      <c r="AI59" s="74"/>
      <c r="AJ59" s="74">
        <v>0</v>
      </c>
      <c r="AK59" s="74">
        <v>0</v>
      </c>
      <c r="AL59" s="74">
        <v>0</v>
      </c>
      <c r="AM59" s="74">
        <v>0</v>
      </c>
      <c r="AN59" s="74">
        <v>0</v>
      </c>
      <c r="AO59" s="410"/>
    </row>
    <row r="60" spans="1:41" ht="26.25" customHeight="1">
      <c r="A60" s="937" t="s">
        <v>46</v>
      </c>
      <c r="B60" s="83" t="s">
        <v>54</v>
      </c>
      <c r="C60" s="815">
        <v>200</v>
      </c>
      <c r="D60" s="815">
        <v>10</v>
      </c>
      <c r="E60" s="997"/>
      <c r="F60" s="1000"/>
      <c r="G60" s="591"/>
      <c r="H60" s="591"/>
      <c r="I60" s="995" t="s">
        <v>20</v>
      </c>
      <c r="J60" s="71">
        <f t="shared" si="48"/>
        <v>924.64</v>
      </c>
      <c r="K60" s="571"/>
      <c r="L60" s="291">
        <f>SUM(L61:L62)</f>
        <v>924.64</v>
      </c>
      <c r="M60" s="79">
        <f>M61+M62</f>
        <v>0</v>
      </c>
      <c r="N60" s="79">
        <f t="shared" ref="N60:O60" si="50">N61+N62</f>
        <v>0</v>
      </c>
      <c r="O60" s="79">
        <f t="shared" si="50"/>
        <v>0</v>
      </c>
      <c r="P60" s="79">
        <f>P61+P62</f>
        <v>0</v>
      </c>
      <c r="Q60" s="79">
        <f>Q61+Q62</f>
        <v>0</v>
      </c>
      <c r="R60" s="79">
        <f t="shared" ref="R60:AN60" si="51">R61+R62</f>
        <v>0</v>
      </c>
      <c r="S60" s="79">
        <f t="shared" si="51"/>
        <v>0</v>
      </c>
      <c r="T60" s="79">
        <f t="shared" si="51"/>
        <v>0</v>
      </c>
      <c r="U60" s="79">
        <f t="shared" si="51"/>
        <v>0</v>
      </c>
      <c r="V60" s="79">
        <f t="shared" si="51"/>
        <v>0</v>
      </c>
      <c r="W60" s="79">
        <f t="shared" si="51"/>
        <v>0</v>
      </c>
      <c r="X60" s="79">
        <f t="shared" si="51"/>
        <v>0</v>
      </c>
      <c r="Y60" s="79">
        <f t="shared" si="51"/>
        <v>0</v>
      </c>
      <c r="Z60" s="79">
        <f t="shared" si="51"/>
        <v>0</v>
      </c>
      <c r="AA60" s="79">
        <f t="shared" si="51"/>
        <v>0</v>
      </c>
      <c r="AB60" s="79">
        <f t="shared" si="51"/>
        <v>0</v>
      </c>
      <c r="AC60" s="79">
        <f t="shared" si="51"/>
        <v>0</v>
      </c>
      <c r="AD60" s="79">
        <f t="shared" si="51"/>
        <v>0</v>
      </c>
      <c r="AE60" s="79">
        <f t="shared" si="51"/>
        <v>0</v>
      </c>
      <c r="AF60" s="79">
        <f t="shared" si="51"/>
        <v>0</v>
      </c>
      <c r="AG60" s="79">
        <f t="shared" si="51"/>
        <v>0</v>
      </c>
      <c r="AH60" s="79">
        <f t="shared" si="51"/>
        <v>0</v>
      </c>
      <c r="AI60" s="79">
        <f t="shared" si="51"/>
        <v>0</v>
      </c>
      <c r="AJ60" s="82">
        <f>P60-Q60</f>
        <v>0</v>
      </c>
      <c r="AK60" s="82">
        <f>AJ60</f>
        <v>0</v>
      </c>
      <c r="AL60" s="79">
        <v>0</v>
      </c>
      <c r="AM60" s="79">
        <f t="shared" si="51"/>
        <v>0</v>
      </c>
      <c r="AN60" s="79">
        <f t="shared" si="51"/>
        <v>0</v>
      </c>
      <c r="AO60" s="433"/>
    </row>
    <row r="61" spans="1:41" ht="14.25" customHeight="1">
      <c r="A61" s="938"/>
      <c r="B61" s="42" t="s">
        <v>15</v>
      </c>
      <c r="C61" s="816"/>
      <c r="D61" s="816"/>
      <c r="E61" s="998"/>
      <c r="F61" s="1001"/>
      <c r="G61" s="591">
        <v>2019</v>
      </c>
      <c r="H61" s="591">
        <v>2019</v>
      </c>
      <c r="I61" s="878"/>
      <c r="J61" s="71">
        <f t="shared" si="48"/>
        <v>250</v>
      </c>
      <c r="K61" s="571"/>
      <c r="L61" s="75">
        <v>250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601"/>
    </row>
    <row r="62" spans="1:41" ht="14.25" customHeight="1">
      <c r="A62" s="939"/>
      <c r="B62" s="42" t="s">
        <v>16</v>
      </c>
      <c r="C62" s="900"/>
      <c r="D62" s="900"/>
      <c r="E62" s="999"/>
      <c r="F62" s="1002"/>
      <c r="G62" s="591">
        <v>2019</v>
      </c>
      <c r="H62" s="591">
        <v>2019</v>
      </c>
      <c r="I62" s="996"/>
      <c r="J62" s="71">
        <f t="shared" si="48"/>
        <v>674.64</v>
      </c>
      <c r="K62" s="571"/>
      <c r="L62" s="75">
        <v>674.64</v>
      </c>
      <c r="M62" s="4">
        <v>0</v>
      </c>
      <c r="N62" s="4">
        <v>0</v>
      </c>
      <c r="O62" s="4">
        <v>0</v>
      </c>
      <c r="P62" s="4">
        <v>0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47">
        <v>0</v>
      </c>
      <c r="AA62" s="47">
        <v>0</v>
      </c>
      <c r="AB62" s="47">
        <v>0</v>
      </c>
      <c r="AC62" s="47">
        <v>0</v>
      </c>
      <c r="AD62" s="47">
        <v>0</v>
      </c>
      <c r="AE62" s="47">
        <v>0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  <c r="AK62" s="47">
        <v>0</v>
      </c>
      <c r="AL62" s="47">
        <v>0</v>
      </c>
      <c r="AM62" s="47">
        <v>0</v>
      </c>
      <c r="AN62" s="47">
        <v>0</v>
      </c>
      <c r="AO62" s="403"/>
    </row>
    <row r="63" spans="1:41" ht="38.25">
      <c r="A63" s="833" t="s">
        <v>47</v>
      </c>
      <c r="B63" s="889" t="s">
        <v>17</v>
      </c>
      <c r="C63" s="890"/>
      <c r="D63" s="890"/>
      <c r="E63" s="890"/>
      <c r="F63" s="890"/>
      <c r="G63" s="890"/>
      <c r="H63" s="891"/>
      <c r="I63" s="15" t="s">
        <v>20</v>
      </c>
      <c r="J63" s="16">
        <f>J66</f>
        <v>18824.2</v>
      </c>
      <c r="K63" s="16">
        <f>K66</f>
        <v>0</v>
      </c>
      <c r="L63" s="16">
        <f>L66</f>
        <v>5710.74</v>
      </c>
      <c r="M63" s="16">
        <f>M66</f>
        <v>893.45</v>
      </c>
      <c r="N63" s="22">
        <f t="shared" ref="N63:O63" si="52">N66</f>
        <v>1051.49</v>
      </c>
      <c r="O63" s="22">
        <f t="shared" si="52"/>
        <v>11206.2</v>
      </c>
      <c r="P63" s="22">
        <f>P66</f>
        <v>1051.49</v>
      </c>
      <c r="Q63" s="22">
        <f t="shared" ref="Q63:AN63" si="53">Q66</f>
        <v>720</v>
      </c>
      <c r="R63" s="22">
        <f t="shared" si="53"/>
        <v>400</v>
      </c>
      <c r="S63" s="22">
        <f t="shared" si="53"/>
        <v>400</v>
      </c>
      <c r="T63" s="22">
        <f t="shared" si="53"/>
        <v>320</v>
      </c>
      <c r="U63" s="22">
        <f t="shared" si="53"/>
        <v>320</v>
      </c>
      <c r="V63" s="22">
        <f t="shared" si="53"/>
        <v>0</v>
      </c>
      <c r="W63" s="22">
        <f t="shared" si="53"/>
        <v>0</v>
      </c>
      <c r="X63" s="22">
        <f t="shared" si="53"/>
        <v>0</v>
      </c>
      <c r="Y63" s="22">
        <f t="shared" si="53"/>
        <v>0</v>
      </c>
      <c r="Z63" s="22">
        <f t="shared" si="53"/>
        <v>720</v>
      </c>
      <c r="AA63" s="22">
        <f t="shared" si="53"/>
        <v>720</v>
      </c>
      <c r="AB63" s="22">
        <f t="shared" si="53"/>
        <v>0</v>
      </c>
      <c r="AC63" s="22">
        <f t="shared" si="53"/>
        <v>0</v>
      </c>
      <c r="AD63" s="22">
        <f t="shared" si="53"/>
        <v>0</v>
      </c>
      <c r="AE63" s="22">
        <f t="shared" si="53"/>
        <v>0</v>
      </c>
      <c r="AF63" s="22">
        <f t="shared" si="53"/>
        <v>0</v>
      </c>
      <c r="AG63" s="22">
        <f t="shared" si="53"/>
        <v>0</v>
      </c>
      <c r="AH63" s="22">
        <f t="shared" si="53"/>
        <v>0</v>
      </c>
      <c r="AI63" s="22">
        <f t="shared" si="53"/>
        <v>0</v>
      </c>
      <c r="AJ63" s="22">
        <f t="shared" si="53"/>
        <v>331.49</v>
      </c>
      <c r="AK63" s="22">
        <f t="shared" si="53"/>
        <v>331.49</v>
      </c>
      <c r="AL63" s="22">
        <f t="shared" si="53"/>
        <v>68.47</v>
      </c>
      <c r="AM63" s="22">
        <f t="shared" si="53"/>
        <v>0</v>
      </c>
      <c r="AN63" s="22">
        <f t="shared" si="53"/>
        <v>0</v>
      </c>
      <c r="AO63" s="404"/>
    </row>
    <row r="64" spans="1:41" ht="25.5" customHeight="1">
      <c r="A64" s="834"/>
      <c r="B64" s="892"/>
      <c r="C64" s="893"/>
      <c r="D64" s="893"/>
      <c r="E64" s="893"/>
      <c r="F64" s="893"/>
      <c r="G64" s="893"/>
      <c r="H64" s="894"/>
      <c r="I64" s="15" t="s">
        <v>10</v>
      </c>
      <c r="J64" s="16">
        <v>0</v>
      </c>
      <c r="K64" s="16">
        <v>0</v>
      </c>
      <c r="L64" s="16">
        <f t="shared" si="13"/>
        <v>0</v>
      </c>
      <c r="M64" s="16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404"/>
    </row>
    <row r="65" spans="1:41" ht="25.5" customHeight="1">
      <c r="A65" s="835"/>
      <c r="B65" s="895"/>
      <c r="C65" s="896"/>
      <c r="D65" s="896"/>
      <c r="E65" s="896"/>
      <c r="F65" s="896"/>
      <c r="G65" s="896"/>
      <c r="H65" s="897"/>
      <c r="I65" s="15" t="s">
        <v>9</v>
      </c>
      <c r="J65" s="16">
        <v>0</v>
      </c>
      <c r="K65" s="16">
        <v>0</v>
      </c>
      <c r="L65" s="16">
        <f t="shared" si="13"/>
        <v>0</v>
      </c>
      <c r="M65" s="16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404"/>
    </row>
    <row r="66" spans="1:41" ht="52.5" customHeight="1">
      <c r="A66" s="812" t="s">
        <v>48</v>
      </c>
      <c r="B66" s="78" t="s">
        <v>286</v>
      </c>
      <c r="C66" s="815">
        <v>200</v>
      </c>
      <c r="D66" s="815">
        <v>180</v>
      </c>
      <c r="E66" s="815"/>
      <c r="F66" s="815"/>
      <c r="G66" s="568"/>
      <c r="H66" s="568"/>
      <c r="I66" s="820" t="s">
        <v>20</v>
      </c>
      <c r="J66" s="806">
        <v>18824.2</v>
      </c>
      <c r="K66" s="16">
        <v>0</v>
      </c>
      <c r="L66" s="82">
        <f>L67+L69</f>
        <v>5710.74</v>
      </c>
      <c r="M66" s="82">
        <f t="shared" ref="M66:O66" si="54">M67+M69</f>
        <v>893.45</v>
      </c>
      <c r="N66" s="82">
        <f t="shared" si="54"/>
        <v>1051.49</v>
      </c>
      <c r="O66" s="82">
        <f t="shared" si="54"/>
        <v>11206.2</v>
      </c>
      <c r="P66" s="82">
        <f>P67+P69</f>
        <v>1051.49</v>
      </c>
      <c r="Q66" s="82">
        <f>Q67+Q69</f>
        <v>720</v>
      </c>
      <c r="R66" s="82">
        <f t="shared" ref="R66:AN66" si="55">R67+R69</f>
        <v>400</v>
      </c>
      <c r="S66" s="82">
        <f t="shared" si="55"/>
        <v>400</v>
      </c>
      <c r="T66" s="82">
        <f t="shared" si="55"/>
        <v>320</v>
      </c>
      <c r="U66" s="82">
        <f t="shared" si="55"/>
        <v>320</v>
      </c>
      <c r="V66" s="82">
        <f t="shared" si="55"/>
        <v>0</v>
      </c>
      <c r="W66" s="82">
        <f t="shared" si="55"/>
        <v>0</v>
      </c>
      <c r="X66" s="82">
        <f t="shared" si="55"/>
        <v>0</v>
      </c>
      <c r="Y66" s="82">
        <f t="shared" si="55"/>
        <v>0</v>
      </c>
      <c r="Z66" s="82">
        <f t="shared" si="55"/>
        <v>720</v>
      </c>
      <c r="AA66" s="82">
        <f t="shared" si="55"/>
        <v>720</v>
      </c>
      <c r="AB66" s="82">
        <f t="shared" si="55"/>
        <v>0</v>
      </c>
      <c r="AC66" s="82">
        <f t="shared" si="55"/>
        <v>0</v>
      </c>
      <c r="AD66" s="82">
        <f t="shared" si="55"/>
        <v>0</v>
      </c>
      <c r="AE66" s="82">
        <f t="shared" si="55"/>
        <v>0</v>
      </c>
      <c r="AF66" s="82">
        <f t="shared" si="55"/>
        <v>0</v>
      </c>
      <c r="AG66" s="82">
        <f t="shared" si="55"/>
        <v>0</v>
      </c>
      <c r="AH66" s="82">
        <f t="shared" si="55"/>
        <v>0</v>
      </c>
      <c r="AI66" s="82">
        <f t="shared" si="55"/>
        <v>0</v>
      </c>
      <c r="AJ66" s="82">
        <f>P66-Q66</f>
        <v>331.49</v>
      </c>
      <c r="AK66" s="82">
        <f>AJ66</f>
        <v>331.49</v>
      </c>
      <c r="AL66" s="79">
        <f>ROUND((Q66*100%/P66*100),2)</f>
        <v>68.47</v>
      </c>
      <c r="AM66" s="82">
        <f t="shared" si="55"/>
        <v>0</v>
      </c>
      <c r="AN66" s="82">
        <f t="shared" si="55"/>
        <v>0</v>
      </c>
      <c r="AO66" s="411" t="s">
        <v>281</v>
      </c>
    </row>
    <row r="67" spans="1:41" ht="15.75" customHeight="1">
      <c r="A67" s="813"/>
      <c r="B67" s="562" t="s">
        <v>15</v>
      </c>
      <c r="C67" s="816"/>
      <c r="D67" s="816"/>
      <c r="E67" s="816"/>
      <c r="F67" s="816"/>
      <c r="G67" s="570">
        <v>2019</v>
      </c>
      <c r="H67" s="570">
        <v>2019</v>
      </c>
      <c r="I67" s="822"/>
      <c r="J67" s="807"/>
      <c r="K67" s="16"/>
      <c r="L67" s="22">
        <v>1944.94</v>
      </c>
      <c r="M67" s="47">
        <v>893.45</v>
      </c>
      <c r="N67" s="47">
        <v>1051.49</v>
      </c>
      <c r="O67" s="47">
        <v>0</v>
      </c>
      <c r="P67" s="47">
        <f>N67</f>
        <v>1051.49</v>
      </c>
      <c r="Q67" s="47">
        <f>SUM(Q68)</f>
        <v>720</v>
      </c>
      <c r="R67" s="47">
        <f t="shared" ref="R67:AF67" si="56">SUM(R68)</f>
        <v>400</v>
      </c>
      <c r="S67" s="47">
        <f t="shared" si="56"/>
        <v>400</v>
      </c>
      <c r="T67" s="47">
        <f t="shared" si="56"/>
        <v>320</v>
      </c>
      <c r="U67" s="47">
        <f t="shared" si="56"/>
        <v>320</v>
      </c>
      <c r="V67" s="47">
        <f t="shared" si="56"/>
        <v>0</v>
      </c>
      <c r="W67" s="47">
        <f t="shared" si="56"/>
        <v>0</v>
      </c>
      <c r="X67" s="47">
        <v>0</v>
      </c>
      <c r="Y67" s="47">
        <f t="shared" si="56"/>
        <v>0</v>
      </c>
      <c r="Z67" s="47">
        <f>SUM(Z68)</f>
        <v>720</v>
      </c>
      <c r="AA67" s="47">
        <f t="shared" si="56"/>
        <v>720</v>
      </c>
      <c r="AB67" s="47">
        <v>0</v>
      </c>
      <c r="AC67" s="47">
        <v>0</v>
      </c>
      <c r="AD67" s="47">
        <v>0</v>
      </c>
      <c r="AE67" s="47">
        <f t="shared" si="56"/>
        <v>0</v>
      </c>
      <c r="AF67" s="47">
        <f t="shared" si="56"/>
        <v>0</v>
      </c>
      <c r="AG67" s="47">
        <v>0</v>
      </c>
      <c r="AH67" s="47">
        <v>0</v>
      </c>
      <c r="AI67" s="47">
        <v>0</v>
      </c>
      <c r="AJ67" s="47">
        <v>0</v>
      </c>
      <c r="AK67" s="47">
        <v>0</v>
      </c>
      <c r="AL67" s="47">
        <v>0</v>
      </c>
      <c r="AM67" s="47">
        <v>0</v>
      </c>
      <c r="AN67" s="47">
        <v>0</v>
      </c>
      <c r="AO67" s="403"/>
    </row>
    <row r="68" spans="1:41" s="100" customFormat="1" ht="15.75" hidden="1" customHeight="1">
      <c r="A68" s="813"/>
      <c r="B68" s="95" t="s">
        <v>258</v>
      </c>
      <c r="C68" s="816"/>
      <c r="D68" s="816"/>
      <c r="E68" s="816"/>
      <c r="F68" s="816"/>
      <c r="G68" s="267"/>
      <c r="H68" s="267"/>
      <c r="I68" s="822"/>
      <c r="J68" s="807"/>
      <c r="K68" s="110"/>
      <c r="L68" s="110"/>
      <c r="M68" s="99"/>
      <c r="N68" s="98"/>
      <c r="O68" s="98"/>
      <c r="P68" s="47"/>
      <c r="Q68" s="99">
        <f>S68+U68+W68</f>
        <v>720</v>
      </c>
      <c r="R68" s="99">
        <f>S68</f>
        <v>400</v>
      </c>
      <c r="S68" s="99">
        <f>240+160</f>
        <v>400</v>
      </c>
      <c r="T68" s="99">
        <v>320</v>
      </c>
      <c r="U68" s="99">
        <v>320</v>
      </c>
      <c r="V68" s="99">
        <v>0</v>
      </c>
      <c r="W68" s="99">
        <v>0</v>
      </c>
      <c r="X68" s="99"/>
      <c r="Y68" s="99"/>
      <c r="Z68" s="99">
        <f>AA68</f>
        <v>720</v>
      </c>
      <c r="AA68" s="99">
        <v>720</v>
      </c>
      <c r="AB68" s="99">
        <v>0</v>
      </c>
      <c r="AC68" s="99">
        <v>0</v>
      </c>
      <c r="AD68" s="99">
        <v>0</v>
      </c>
      <c r="AE68" s="99">
        <f>SUM(AF68:AF68)</f>
        <v>0</v>
      </c>
      <c r="AF68" s="99"/>
      <c r="AG68" s="99"/>
      <c r="AH68" s="99"/>
      <c r="AI68" s="99"/>
      <c r="AJ68" s="99"/>
      <c r="AK68" s="99"/>
      <c r="AL68" s="99"/>
      <c r="AM68" s="99"/>
      <c r="AN68" s="99"/>
      <c r="AO68" s="412"/>
    </row>
    <row r="69" spans="1:41" ht="15.75" customHeight="1">
      <c r="A69" s="813"/>
      <c r="B69" s="562" t="s">
        <v>16</v>
      </c>
      <c r="C69" s="816"/>
      <c r="D69" s="816"/>
      <c r="E69" s="816"/>
      <c r="F69" s="816"/>
      <c r="G69" s="570">
        <v>2020</v>
      </c>
      <c r="H69" s="570">
        <v>2020</v>
      </c>
      <c r="I69" s="821"/>
      <c r="J69" s="808"/>
      <c r="K69" s="22">
        <v>0</v>
      </c>
      <c r="L69" s="22">
        <v>3765.8</v>
      </c>
      <c r="M69" s="47">
        <v>0</v>
      </c>
      <c r="N69" s="47">
        <v>0</v>
      </c>
      <c r="O69" s="47">
        <v>11206.2</v>
      </c>
      <c r="P69" s="47">
        <f>M69*1.2</f>
        <v>0</v>
      </c>
      <c r="Q69" s="47">
        <v>0</v>
      </c>
      <c r="R69" s="47">
        <v>0</v>
      </c>
      <c r="S69" s="47">
        <v>0</v>
      </c>
      <c r="T69" s="47">
        <v>0</v>
      </c>
      <c r="U69" s="47">
        <v>0</v>
      </c>
      <c r="V69" s="47">
        <v>0</v>
      </c>
      <c r="W69" s="47">
        <v>0</v>
      </c>
      <c r="X69" s="47">
        <v>0</v>
      </c>
      <c r="Y69" s="47">
        <v>0</v>
      </c>
      <c r="Z69" s="47">
        <v>0</v>
      </c>
      <c r="AA69" s="47">
        <v>0</v>
      </c>
      <c r="AB69" s="47">
        <v>0</v>
      </c>
      <c r="AC69" s="47">
        <v>0</v>
      </c>
      <c r="AD69" s="47">
        <v>0</v>
      </c>
      <c r="AE69" s="47">
        <v>0</v>
      </c>
      <c r="AF69" s="47">
        <v>0</v>
      </c>
      <c r="AG69" s="47">
        <v>0</v>
      </c>
      <c r="AH69" s="47">
        <v>0</v>
      </c>
      <c r="AI69" s="47">
        <v>0</v>
      </c>
      <c r="AJ69" s="47">
        <v>0</v>
      </c>
      <c r="AK69" s="47">
        <v>0</v>
      </c>
      <c r="AL69" s="47">
        <v>0</v>
      </c>
      <c r="AM69" s="47">
        <v>0</v>
      </c>
      <c r="AN69" s="47">
        <v>0</v>
      </c>
      <c r="AO69" s="403"/>
    </row>
    <row r="70" spans="1:41" ht="52.5" customHeight="1">
      <c r="A70" s="833" t="s">
        <v>56</v>
      </c>
      <c r="B70" s="889" t="s">
        <v>41</v>
      </c>
      <c r="C70" s="890"/>
      <c r="D70" s="890"/>
      <c r="E70" s="890"/>
      <c r="F70" s="890"/>
      <c r="G70" s="890"/>
      <c r="H70" s="891"/>
      <c r="I70" s="15" t="s">
        <v>19</v>
      </c>
      <c r="J70" s="564">
        <v>0</v>
      </c>
      <c r="K70" s="564">
        <v>0</v>
      </c>
      <c r="L70" s="16">
        <f t="shared" si="13"/>
        <v>0</v>
      </c>
      <c r="M70" s="16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404"/>
    </row>
    <row r="71" spans="1:41" ht="48" customHeight="1">
      <c r="A71" s="834"/>
      <c r="B71" s="892"/>
      <c r="C71" s="893"/>
      <c r="D71" s="893"/>
      <c r="E71" s="893"/>
      <c r="F71" s="893"/>
      <c r="G71" s="893"/>
      <c r="H71" s="894"/>
      <c r="I71" s="15" t="s">
        <v>20</v>
      </c>
      <c r="J71" s="564">
        <f>L71</f>
        <v>212998.96</v>
      </c>
      <c r="K71" s="564">
        <f>K74+K113+K114+K115</f>
        <v>0</v>
      </c>
      <c r="L71" s="16">
        <f>L74+L78+L82+L83+L85+L87+L90+L96+L101+L103+L106+L109</f>
        <v>212998.96</v>
      </c>
      <c r="M71" s="16">
        <f t="shared" ref="M71:Y71" si="57">M74+M78+M82+M83+M85+M87+M90+M96</f>
        <v>23675.279999999999</v>
      </c>
      <c r="N71" s="22">
        <f>N74+N78+N82+N83+N85+N87+N90+N96+N101+N103+N106+N109</f>
        <v>44561.120000000003</v>
      </c>
      <c r="O71" s="22">
        <f t="shared" ref="O71:P71" si="58">O74+O78+O82+O83+O85+O87+O90+O96+O101+O103+O106+O109</f>
        <v>26487.67</v>
      </c>
      <c r="P71" s="22">
        <f t="shared" si="58"/>
        <v>44561.120000000003</v>
      </c>
      <c r="Q71" s="22">
        <f t="shared" si="57"/>
        <v>31684.157999999999</v>
      </c>
      <c r="R71" s="22">
        <f t="shared" si="57"/>
        <v>3147.3500000000004</v>
      </c>
      <c r="S71" s="22">
        <f t="shared" si="57"/>
        <v>3147.3500000000004</v>
      </c>
      <c r="T71" s="22">
        <f t="shared" si="57"/>
        <v>19700.895</v>
      </c>
      <c r="U71" s="22">
        <f t="shared" si="57"/>
        <v>16520.773000000001</v>
      </c>
      <c r="V71" s="22">
        <f t="shared" si="57"/>
        <v>5956.13</v>
      </c>
      <c r="W71" s="22">
        <f t="shared" si="57"/>
        <v>5956.13</v>
      </c>
      <c r="X71" s="22">
        <f t="shared" si="57"/>
        <v>6059.9049999999997</v>
      </c>
      <c r="Y71" s="22">
        <f t="shared" si="57"/>
        <v>6059.9049999999997</v>
      </c>
      <c r="Z71" s="22">
        <f>Z74+Z78+Z82+Z83+Z85+Z87+Z90+Z96+Z101+Z103+Z106+Z109</f>
        <v>57592.463000000003</v>
      </c>
      <c r="AA71" s="22">
        <f t="shared" ref="AA71:AD71" si="59">AA74+AA78+AA82+AA83+AA85+AA87+AA90+AA96+AA101+AA103+AA106+AA109</f>
        <v>19300.669999999998</v>
      </c>
      <c r="AB71" s="22">
        <f t="shared" si="59"/>
        <v>357.43299999999999</v>
      </c>
      <c r="AC71" s="22">
        <f t="shared" si="59"/>
        <v>12026.03</v>
      </c>
      <c r="AD71" s="22">
        <f t="shared" si="59"/>
        <v>25908.33</v>
      </c>
      <c r="AE71" s="22">
        <f t="shared" ref="AE71:AN71" si="60">AE74+AE78+AE82</f>
        <v>40094.974000000002</v>
      </c>
      <c r="AF71" s="22">
        <f t="shared" si="60"/>
        <v>0</v>
      </c>
      <c r="AG71" s="22">
        <f t="shared" si="60"/>
        <v>0</v>
      </c>
      <c r="AH71" s="22">
        <f t="shared" si="60"/>
        <v>40094.974000000002</v>
      </c>
      <c r="AI71" s="22">
        <f>AI74+AI78+AI82+AI109</f>
        <v>24158.33</v>
      </c>
      <c r="AJ71" s="22">
        <f t="shared" si="60"/>
        <v>6304.55</v>
      </c>
      <c r="AK71" s="22">
        <f t="shared" si="60"/>
        <v>6304.55</v>
      </c>
      <c r="AL71" s="22">
        <f t="shared" si="60"/>
        <v>342.34000000000003</v>
      </c>
      <c r="AM71" s="22">
        <f t="shared" si="60"/>
        <v>0</v>
      </c>
      <c r="AN71" s="22">
        <f t="shared" si="60"/>
        <v>0</v>
      </c>
      <c r="AO71" s="404"/>
    </row>
    <row r="72" spans="1:41" ht="27" customHeight="1">
      <c r="A72" s="834"/>
      <c r="B72" s="892"/>
      <c r="C72" s="893"/>
      <c r="D72" s="893"/>
      <c r="E72" s="893"/>
      <c r="F72" s="893"/>
      <c r="G72" s="893"/>
      <c r="H72" s="894"/>
      <c r="I72" s="15" t="s">
        <v>10</v>
      </c>
      <c r="J72" s="564">
        <f t="shared" ref="J72:J73" si="61">L72</f>
        <v>0</v>
      </c>
      <c r="K72" s="564">
        <v>0</v>
      </c>
      <c r="L72" s="16">
        <f t="shared" ref="L72:L82" si="62">M72+N72+O72</f>
        <v>0</v>
      </c>
      <c r="M72" s="16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404"/>
    </row>
    <row r="73" spans="1:41" ht="27" customHeight="1">
      <c r="A73" s="835"/>
      <c r="B73" s="895"/>
      <c r="C73" s="896"/>
      <c r="D73" s="896"/>
      <c r="E73" s="896"/>
      <c r="F73" s="896"/>
      <c r="G73" s="896"/>
      <c r="H73" s="897"/>
      <c r="I73" s="15" t="s">
        <v>9</v>
      </c>
      <c r="J73" s="564">
        <f t="shared" si="61"/>
        <v>0</v>
      </c>
      <c r="K73" s="564">
        <v>0</v>
      </c>
      <c r="L73" s="16">
        <f t="shared" si="62"/>
        <v>0</v>
      </c>
      <c r="M73" s="16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404"/>
    </row>
    <row r="74" spans="1:41" ht="41.25" customHeight="1">
      <c r="A74" s="812" t="s">
        <v>57</v>
      </c>
      <c r="B74" s="80" t="s">
        <v>205</v>
      </c>
      <c r="C74" s="590"/>
      <c r="D74" s="590"/>
      <c r="E74" s="590"/>
      <c r="F74" s="590"/>
      <c r="G74" s="586">
        <v>2019</v>
      </c>
      <c r="H74" s="586">
        <v>2019</v>
      </c>
      <c r="I74" s="820" t="s">
        <v>20</v>
      </c>
      <c r="J74" s="16">
        <f>L74</f>
        <v>30833.33</v>
      </c>
      <c r="K74" s="22"/>
      <c r="L74" s="82">
        <f>L75</f>
        <v>30833.33</v>
      </c>
      <c r="M74" s="82">
        <f t="shared" ref="M74:O74" si="63">M75</f>
        <v>20000</v>
      </c>
      <c r="N74" s="82">
        <f t="shared" si="63"/>
        <v>9151.41</v>
      </c>
      <c r="O74" s="82">
        <f t="shared" si="63"/>
        <v>0</v>
      </c>
      <c r="P74" s="82">
        <f>N74</f>
        <v>9151.41</v>
      </c>
      <c r="Q74" s="82">
        <f>Q75</f>
        <v>30833.344999999998</v>
      </c>
      <c r="R74" s="82">
        <f>R75</f>
        <v>2916.67</v>
      </c>
      <c r="S74" s="82">
        <f>S75</f>
        <v>2916.67</v>
      </c>
      <c r="T74" s="82">
        <f t="shared" ref="T74:AB74" si="64">T75</f>
        <v>19080.761999999999</v>
      </c>
      <c r="U74" s="82">
        <f t="shared" si="64"/>
        <v>15900.64</v>
      </c>
      <c r="V74" s="82">
        <f t="shared" si="64"/>
        <v>5956.13</v>
      </c>
      <c r="W74" s="82">
        <f t="shared" si="64"/>
        <v>5956.13</v>
      </c>
      <c r="X74" s="82">
        <f t="shared" si="64"/>
        <v>6059.9049999999997</v>
      </c>
      <c r="Y74" s="82">
        <f t="shared" si="64"/>
        <v>6059.9049999999997</v>
      </c>
      <c r="Z74" s="82">
        <f t="shared" si="64"/>
        <v>30833.33</v>
      </c>
      <c r="AA74" s="82">
        <f t="shared" si="64"/>
        <v>18817.3</v>
      </c>
      <c r="AB74" s="82">
        <f t="shared" si="64"/>
        <v>0</v>
      </c>
      <c r="AC74" s="82">
        <f>AC75</f>
        <v>12016.03</v>
      </c>
      <c r="AD74" s="82">
        <f t="shared" ref="AD74:AI74" si="65">AD75</f>
        <v>0</v>
      </c>
      <c r="AE74" s="82">
        <f t="shared" si="65"/>
        <v>40094.974000000002</v>
      </c>
      <c r="AF74" s="82">
        <f t="shared" si="65"/>
        <v>0</v>
      </c>
      <c r="AG74" s="82">
        <f t="shared" si="65"/>
        <v>0</v>
      </c>
      <c r="AH74" s="82">
        <f t="shared" si="65"/>
        <v>40094.974000000002</v>
      </c>
      <c r="AI74" s="82">
        <f t="shared" si="65"/>
        <v>0</v>
      </c>
      <c r="AJ74" s="82">
        <v>0</v>
      </c>
      <c r="AK74" s="82">
        <f>AJ74</f>
        <v>0</v>
      </c>
      <c r="AL74" s="79">
        <f>ROUND((Q74*100%/P74*100),2)</f>
        <v>336.92</v>
      </c>
      <c r="AM74" s="82">
        <v>0</v>
      </c>
      <c r="AN74" s="82">
        <v>0</v>
      </c>
      <c r="AO74" s="411" t="s">
        <v>282</v>
      </c>
    </row>
    <row r="75" spans="1:41" s="292" customFormat="1" ht="14.25" customHeight="1">
      <c r="A75" s="814"/>
      <c r="B75" s="1" t="s">
        <v>206</v>
      </c>
      <c r="C75" s="570"/>
      <c r="D75" s="570"/>
      <c r="E75" s="570"/>
      <c r="F75" s="570"/>
      <c r="G75" s="586"/>
      <c r="H75" s="586"/>
      <c r="I75" s="877"/>
      <c r="J75" s="47"/>
      <c r="K75" s="47"/>
      <c r="L75" s="47">
        <v>30833.33</v>
      </c>
      <c r="M75" s="47">
        <v>20000</v>
      </c>
      <c r="N75" s="47">
        <v>9151.41</v>
      </c>
      <c r="O75" s="47">
        <v>0</v>
      </c>
      <c r="P75" s="47">
        <f>N75</f>
        <v>9151.41</v>
      </c>
      <c r="Q75" s="47">
        <f>SUM(Q76:Q77)</f>
        <v>30833.344999999998</v>
      </c>
      <c r="R75" s="47">
        <f>SUM(R76:R77)</f>
        <v>2916.67</v>
      </c>
      <c r="S75" s="47">
        <f>SUM(S76:S77)</f>
        <v>2916.67</v>
      </c>
      <c r="T75" s="47">
        <f t="shared" ref="T75:AB75" si="66">SUM(T76:T77)</f>
        <v>19080.761999999999</v>
      </c>
      <c r="U75" s="47">
        <f t="shared" si="66"/>
        <v>15900.64</v>
      </c>
      <c r="V75" s="47">
        <f t="shared" si="66"/>
        <v>5956.13</v>
      </c>
      <c r="W75" s="47">
        <f t="shared" si="66"/>
        <v>5956.13</v>
      </c>
      <c r="X75" s="47">
        <f t="shared" si="66"/>
        <v>6059.9049999999997</v>
      </c>
      <c r="Y75" s="47">
        <f t="shared" si="66"/>
        <v>6059.9049999999997</v>
      </c>
      <c r="Z75" s="47">
        <f t="shared" si="66"/>
        <v>30833.33</v>
      </c>
      <c r="AA75" s="47">
        <f t="shared" si="66"/>
        <v>18817.3</v>
      </c>
      <c r="AB75" s="47">
        <f t="shared" si="66"/>
        <v>0</v>
      </c>
      <c r="AC75" s="47">
        <f>SUM(AC76:AC77)</f>
        <v>12016.03</v>
      </c>
      <c r="AD75" s="47">
        <f t="shared" ref="AD75:AI75" si="67">SUM(AD76:AD77)</f>
        <v>0</v>
      </c>
      <c r="AE75" s="47">
        <f t="shared" si="67"/>
        <v>40094.974000000002</v>
      </c>
      <c r="AF75" s="47">
        <f t="shared" si="67"/>
        <v>0</v>
      </c>
      <c r="AG75" s="47">
        <f t="shared" si="67"/>
        <v>0</v>
      </c>
      <c r="AH75" s="47">
        <f t="shared" si="67"/>
        <v>40094.974000000002</v>
      </c>
      <c r="AI75" s="47">
        <f t="shared" si="67"/>
        <v>0</v>
      </c>
      <c r="AJ75" s="47">
        <v>0</v>
      </c>
      <c r="AK75" s="47">
        <v>0</v>
      </c>
      <c r="AL75" s="4">
        <v>0</v>
      </c>
      <c r="AM75" s="47">
        <v>0</v>
      </c>
      <c r="AN75" s="47">
        <v>0</v>
      </c>
      <c r="AO75" s="403"/>
    </row>
    <row r="76" spans="1:41" s="273" customFormat="1" ht="15.75" hidden="1">
      <c r="A76" s="567"/>
      <c r="B76" s="105" t="s">
        <v>277</v>
      </c>
      <c r="C76" s="267"/>
      <c r="D76" s="267"/>
      <c r="E76" s="267"/>
      <c r="F76" s="267"/>
      <c r="G76" s="107"/>
      <c r="H76" s="107"/>
      <c r="I76" s="593"/>
      <c r="J76" s="99"/>
      <c r="K76" s="99"/>
      <c r="L76" s="99"/>
      <c r="M76" s="99"/>
      <c r="N76" s="99"/>
      <c r="O76" s="99"/>
      <c r="P76" s="47">
        <f>Q76</f>
        <v>30833.344999999998</v>
      </c>
      <c r="Q76" s="99">
        <f>S76+U76+W76+Y76</f>
        <v>30833.344999999998</v>
      </c>
      <c r="R76" s="99">
        <f>S76</f>
        <v>2916.67</v>
      </c>
      <c r="S76" s="99">
        <v>2916.67</v>
      </c>
      <c r="T76" s="99">
        <v>19080.761999999999</v>
      </c>
      <c r="U76" s="99">
        <v>15900.64</v>
      </c>
      <c r="V76" s="99">
        <f>W76</f>
        <v>5956.13</v>
      </c>
      <c r="W76" s="99">
        <v>5956.13</v>
      </c>
      <c r="X76" s="99">
        <f>Y76</f>
        <v>6059.9049999999997</v>
      </c>
      <c r="Y76" s="99">
        <v>6059.9049999999997</v>
      </c>
      <c r="Z76" s="99">
        <f>AA76+AC76</f>
        <v>30833.33</v>
      </c>
      <c r="AA76" s="99">
        <v>18817.3</v>
      </c>
      <c r="AB76" s="99">
        <v>0</v>
      </c>
      <c r="AC76" s="99">
        <v>12016.03</v>
      </c>
      <c r="AD76" s="99">
        <v>0</v>
      </c>
      <c r="AE76" s="99">
        <f>AF76+AG76+AH76</f>
        <v>40094.974000000002</v>
      </c>
      <c r="AF76" s="99"/>
      <c r="AG76" s="99"/>
      <c r="AH76" s="99">
        <v>40094.974000000002</v>
      </c>
      <c r="AI76" s="99"/>
      <c r="AJ76" s="99"/>
      <c r="AK76" s="99"/>
      <c r="AL76" s="275"/>
      <c r="AM76" s="99"/>
      <c r="AN76" s="99"/>
      <c r="AO76" s="412"/>
    </row>
    <row r="77" spans="1:41" s="292" customFormat="1" ht="14.25" customHeight="1">
      <c r="A77" s="567"/>
      <c r="B77" s="1"/>
      <c r="C77" s="570"/>
      <c r="D77" s="570"/>
      <c r="E77" s="570"/>
      <c r="F77" s="570"/>
      <c r="G77" s="586"/>
      <c r="H77" s="586"/>
      <c r="I77" s="593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"/>
      <c r="AM77" s="47"/>
      <c r="AN77" s="47"/>
      <c r="AO77" s="403"/>
    </row>
    <row r="78" spans="1:41" ht="42" customHeight="1">
      <c r="A78" s="44" t="s">
        <v>58</v>
      </c>
      <c r="B78" s="80" t="s">
        <v>87</v>
      </c>
      <c r="C78" s="815"/>
      <c r="D78" s="815"/>
      <c r="E78" s="815"/>
      <c r="F78" s="815"/>
      <c r="G78" s="586"/>
      <c r="H78" s="586"/>
      <c r="I78" s="820" t="s">
        <v>20</v>
      </c>
      <c r="J78" s="16">
        <f t="shared" ref="J78:J81" si="68">L78</f>
        <v>20425.87</v>
      </c>
      <c r="K78" s="22"/>
      <c r="L78" s="82">
        <f>L79+L81</f>
        <v>20425.87</v>
      </c>
      <c r="M78" s="82">
        <f>M79+M81</f>
        <v>616.66</v>
      </c>
      <c r="N78" s="82">
        <f t="shared" ref="N78:O78" si="69">N79+N81</f>
        <v>6665.55</v>
      </c>
      <c r="O78" s="82">
        <f t="shared" si="69"/>
        <v>4018.39</v>
      </c>
      <c r="P78" s="82">
        <f>N78</f>
        <v>6665.55</v>
      </c>
      <c r="Q78" s="82">
        <f t="shared" ref="Q78:AN78" si="70">Q79+Q81</f>
        <v>361</v>
      </c>
      <c r="R78" s="82">
        <f t="shared" si="70"/>
        <v>108.3</v>
      </c>
      <c r="S78" s="82">
        <f t="shared" si="70"/>
        <v>108.3</v>
      </c>
      <c r="T78" s="82">
        <f t="shared" si="70"/>
        <v>252.7</v>
      </c>
      <c r="U78" s="82">
        <f t="shared" si="70"/>
        <v>252.7</v>
      </c>
      <c r="V78" s="82">
        <f t="shared" si="70"/>
        <v>0</v>
      </c>
      <c r="W78" s="82">
        <f t="shared" si="70"/>
        <v>0</v>
      </c>
      <c r="X78" s="82">
        <f t="shared" si="70"/>
        <v>0</v>
      </c>
      <c r="Y78" s="82">
        <f t="shared" si="70"/>
        <v>0</v>
      </c>
      <c r="Z78" s="82">
        <f t="shared" si="70"/>
        <v>361</v>
      </c>
      <c r="AA78" s="82">
        <f t="shared" si="70"/>
        <v>361</v>
      </c>
      <c r="AB78" s="82">
        <f t="shared" si="70"/>
        <v>0</v>
      </c>
      <c r="AC78" s="82">
        <f t="shared" si="70"/>
        <v>0</v>
      </c>
      <c r="AD78" s="82">
        <f t="shared" si="70"/>
        <v>0</v>
      </c>
      <c r="AE78" s="82">
        <f t="shared" si="70"/>
        <v>0</v>
      </c>
      <c r="AF78" s="82">
        <f t="shared" si="70"/>
        <v>0</v>
      </c>
      <c r="AG78" s="82">
        <f t="shared" si="70"/>
        <v>0</v>
      </c>
      <c r="AH78" s="82">
        <f t="shared" si="70"/>
        <v>0</v>
      </c>
      <c r="AI78" s="82">
        <f t="shared" si="70"/>
        <v>0</v>
      </c>
      <c r="AJ78" s="82">
        <f>P78-Q78</f>
        <v>6304.55</v>
      </c>
      <c r="AK78" s="82">
        <f>AJ78</f>
        <v>6304.55</v>
      </c>
      <c r="AL78" s="79">
        <f>ROUND((Q78*100%/P78*100),2)</f>
        <v>5.42</v>
      </c>
      <c r="AM78" s="82">
        <f t="shared" si="70"/>
        <v>0</v>
      </c>
      <c r="AN78" s="82">
        <f t="shared" si="70"/>
        <v>0</v>
      </c>
      <c r="AO78" s="411" t="s">
        <v>248</v>
      </c>
    </row>
    <row r="79" spans="1:41" ht="19.5" customHeight="1">
      <c r="A79" s="44"/>
      <c r="B79" s="1" t="s">
        <v>15</v>
      </c>
      <c r="C79" s="816"/>
      <c r="D79" s="816"/>
      <c r="E79" s="816"/>
      <c r="F79" s="816"/>
      <c r="G79" s="586">
        <v>2020</v>
      </c>
      <c r="H79" s="586">
        <v>2020</v>
      </c>
      <c r="I79" s="822"/>
      <c r="J79" s="16">
        <f t="shared" si="68"/>
        <v>7560.63</v>
      </c>
      <c r="K79" s="22"/>
      <c r="L79" s="16">
        <v>7560.63</v>
      </c>
      <c r="M79" s="47">
        <v>616.66</v>
      </c>
      <c r="N79" s="47">
        <v>6665.55</v>
      </c>
      <c r="O79" s="47">
        <v>0</v>
      </c>
      <c r="P79" s="47">
        <f>N79*1.2</f>
        <v>7998.66</v>
      </c>
      <c r="Q79" s="47">
        <f>Q80</f>
        <v>361</v>
      </c>
      <c r="R79" s="47">
        <f t="shared" ref="R79:Y79" si="71">R80</f>
        <v>108.3</v>
      </c>
      <c r="S79" s="47">
        <f t="shared" si="71"/>
        <v>108.3</v>
      </c>
      <c r="T79" s="47">
        <f t="shared" si="71"/>
        <v>252.7</v>
      </c>
      <c r="U79" s="47">
        <f t="shared" si="71"/>
        <v>252.7</v>
      </c>
      <c r="V79" s="47">
        <f t="shared" si="71"/>
        <v>0</v>
      </c>
      <c r="W79" s="47">
        <f t="shared" si="71"/>
        <v>0</v>
      </c>
      <c r="X79" s="47">
        <v>0</v>
      </c>
      <c r="Y79" s="47">
        <f t="shared" si="71"/>
        <v>0</v>
      </c>
      <c r="Z79" s="47">
        <f>Z80</f>
        <v>361</v>
      </c>
      <c r="AA79" s="47">
        <f t="shared" ref="AA79:AD79" si="72">AA80</f>
        <v>361</v>
      </c>
      <c r="AB79" s="47">
        <f t="shared" si="72"/>
        <v>0</v>
      </c>
      <c r="AC79" s="47">
        <f t="shared" si="72"/>
        <v>0</v>
      </c>
      <c r="AD79" s="47">
        <f t="shared" si="72"/>
        <v>0</v>
      </c>
      <c r="AE79" s="47">
        <f>AE80</f>
        <v>0</v>
      </c>
      <c r="AF79" s="47">
        <f t="shared" ref="AF79:AI79" si="73">AF80</f>
        <v>0</v>
      </c>
      <c r="AG79" s="47">
        <f t="shared" si="73"/>
        <v>0</v>
      </c>
      <c r="AH79" s="47">
        <f t="shared" si="73"/>
        <v>0</v>
      </c>
      <c r="AI79" s="47">
        <f t="shared" si="73"/>
        <v>0</v>
      </c>
      <c r="AJ79" s="47">
        <v>0</v>
      </c>
      <c r="AK79" s="47">
        <v>0</v>
      </c>
      <c r="AL79" s="47">
        <v>0</v>
      </c>
      <c r="AM79" s="47">
        <v>0</v>
      </c>
      <c r="AN79" s="47">
        <v>0</v>
      </c>
      <c r="AO79" s="403"/>
    </row>
    <row r="80" spans="1:41" s="100" customFormat="1" ht="16.5" hidden="1" customHeight="1">
      <c r="A80" s="256"/>
      <c r="B80" s="105" t="s">
        <v>263</v>
      </c>
      <c r="C80" s="816"/>
      <c r="D80" s="816"/>
      <c r="E80" s="816"/>
      <c r="F80" s="816"/>
      <c r="G80" s="107"/>
      <c r="H80" s="107"/>
      <c r="I80" s="822"/>
      <c r="J80" s="110"/>
      <c r="K80" s="178"/>
      <c r="L80" s="110"/>
      <c r="M80" s="99"/>
      <c r="N80" s="98"/>
      <c r="O80" s="98"/>
      <c r="P80" s="47">
        <v>0</v>
      </c>
      <c r="Q80" s="99">
        <f>S80+U80+Y80</f>
        <v>361</v>
      </c>
      <c r="R80" s="99">
        <f>S80</f>
        <v>108.3</v>
      </c>
      <c r="S80" s="99">
        <v>108.3</v>
      </c>
      <c r="T80" s="99">
        <v>252.7</v>
      </c>
      <c r="U80" s="99">
        <v>252.7</v>
      </c>
      <c r="V80" s="99"/>
      <c r="W80" s="99"/>
      <c r="X80" s="99"/>
      <c r="Y80" s="99">
        <v>0</v>
      </c>
      <c r="Z80" s="99">
        <f>AA80</f>
        <v>361</v>
      </c>
      <c r="AA80" s="99">
        <v>361</v>
      </c>
      <c r="AB80" s="99">
        <v>0</v>
      </c>
      <c r="AC80" s="99"/>
      <c r="AD80" s="99"/>
      <c r="AE80" s="99">
        <f>SUM(AF80:AF80)</f>
        <v>0</v>
      </c>
      <c r="AF80" s="99"/>
      <c r="AG80" s="99"/>
      <c r="AH80" s="99"/>
      <c r="AI80" s="99"/>
      <c r="AJ80" s="99">
        <v>0</v>
      </c>
      <c r="AK80" s="99">
        <v>0</v>
      </c>
      <c r="AL80" s="99">
        <v>0</v>
      </c>
      <c r="AM80" s="99">
        <v>0</v>
      </c>
      <c r="AN80" s="99">
        <v>0</v>
      </c>
      <c r="AO80" s="412"/>
    </row>
    <row r="81" spans="1:41" ht="18.75" customHeight="1">
      <c r="A81" s="44"/>
      <c r="B81" s="1" t="s">
        <v>16</v>
      </c>
      <c r="C81" s="900"/>
      <c r="D81" s="900"/>
      <c r="E81" s="900"/>
      <c r="F81" s="900"/>
      <c r="G81" s="586">
        <v>2020</v>
      </c>
      <c r="H81" s="586">
        <v>2020</v>
      </c>
      <c r="I81" s="821"/>
      <c r="J81" s="16">
        <f t="shared" si="68"/>
        <v>12865.24</v>
      </c>
      <c r="K81" s="22"/>
      <c r="L81" s="16">
        <v>12865.24</v>
      </c>
      <c r="M81" s="47">
        <v>0</v>
      </c>
      <c r="N81" s="47">
        <v>0</v>
      </c>
      <c r="O81" s="3">
        <v>4018.39</v>
      </c>
      <c r="P81" s="47">
        <f>N81*1.2</f>
        <v>0</v>
      </c>
      <c r="Q81" s="47">
        <v>0</v>
      </c>
      <c r="R81" s="47">
        <v>0</v>
      </c>
      <c r="S81" s="47">
        <v>0</v>
      </c>
      <c r="T81" s="47">
        <v>0</v>
      </c>
      <c r="U81" s="47">
        <v>0</v>
      </c>
      <c r="V81" s="47">
        <v>0</v>
      </c>
      <c r="W81" s="47">
        <v>0</v>
      </c>
      <c r="X81" s="47">
        <v>0</v>
      </c>
      <c r="Y81" s="47">
        <v>0</v>
      </c>
      <c r="Z81" s="47">
        <v>0</v>
      </c>
      <c r="AA81" s="47">
        <v>0</v>
      </c>
      <c r="AB81" s="47">
        <v>0</v>
      </c>
      <c r="AC81" s="47">
        <v>0</v>
      </c>
      <c r="AD81" s="47">
        <v>0</v>
      </c>
      <c r="AE81" s="47">
        <v>0</v>
      </c>
      <c r="AF81" s="47">
        <v>0</v>
      </c>
      <c r="AG81" s="47">
        <v>0</v>
      </c>
      <c r="AH81" s="47">
        <v>0</v>
      </c>
      <c r="AI81" s="47">
        <v>0</v>
      </c>
      <c r="AJ81" s="47">
        <v>0</v>
      </c>
      <c r="AK81" s="47">
        <v>0</v>
      </c>
      <c r="AL81" s="47">
        <v>0</v>
      </c>
      <c r="AM81" s="47">
        <v>0</v>
      </c>
      <c r="AN81" s="47">
        <v>0</v>
      </c>
      <c r="AO81" s="403"/>
    </row>
    <row r="82" spans="1:41" ht="44.25" hidden="1" customHeight="1">
      <c r="A82" s="44" t="s">
        <v>59</v>
      </c>
      <c r="B82" s="353" t="s">
        <v>55</v>
      </c>
      <c r="C82" s="590"/>
      <c r="D82" s="590"/>
      <c r="E82" s="590"/>
      <c r="F82" s="590"/>
      <c r="G82" s="586">
        <v>2021</v>
      </c>
      <c r="H82" s="586"/>
      <c r="I82" s="571" t="s">
        <v>20</v>
      </c>
      <c r="J82" s="565">
        <v>313558.92</v>
      </c>
      <c r="K82" s="22"/>
      <c r="L82" s="357">
        <f t="shared" si="62"/>
        <v>0</v>
      </c>
      <c r="M82" s="357">
        <v>0</v>
      </c>
      <c r="N82" s="357">
        <v>0</v>
      </c>
      <c r="O82" s="357">
        <v>0</v>
      </c>
      <c r="P82" s="357">
        <v>0</v>
      </c>
      <c r="Q82" s="357">
        <v>0</v>
      </c>
      <c r="R82" s="357">
        <v>0</v>
      </c>
      <c r="S82" s="357">
        <v>0</v>
      </c>
      <c r="T82" s="357">
        <v>0</v>
      </c>
      <c r="U82" s="357">
        <v>0</v>
      </c>
      <c r="V82" s="357">
        <v>0</v>
      </c>
      <c r="W82" s="357">
        <v>0</v>
      </c>
      <c r="X82" s="357">
        <v>0</v>
      </c>
      <c r="Y82" s="357">
        <v>0</v>
      </c>
      <c r="Z82" s="357">
        <v>0</v>
      </c>
      <c r="AA82" s="357">
        <v>0</v>
      </c>
      <c r="AB82" s="357"/>
      <c r="AC82" s="357"/>
      <c r="AD82" s="357"/>
      <c r="AE82" s="357">
        <v>0</v>
      </c>
      <c r="AF82" s="357"/>
      <c r="AG82" s="357"/>
      <c r="AH82" s="357"/>
      <c r="AI82" s="357"/>
      <c r="AJ82" s="357">
        <f>P82-Q82</f>
        <v>0</v>
      </c>
      <c r="AK82" s="357">
        <f>AJ82</f>
        <v>0</v>
      </c>
      <c r="AL82" s="364">
        <v>0</v>
      </c>
      <c r="AM82" s="357">
        <v>0</v>
      </c>
      <c r="AN82" s="357">
        <v>0</v>
      </c>
      <c r="AO82" s="413" t="s">
        <v>163</v>
      </c>
    </row>
    <row r="83" spans="1:41" s="292" customFormat="1" ht="51.75" customHeight="1">
      <c r="A83" s="566" t="s">
        <v>287</v>
      </c>
      <c r="B83" s="83" t="s">
        <v>207</v>
      </c>
      <c r="C83" s="322"/>
      <c r="D83" s="322"/>
      <c r="E83" s="322"/>
      <c r="F83" s="322"/>
      <c r="G83" s="323"/>
      <c r="H83" s="324"/>
      <c r="I83" s="820" t="s">
        <v>20</v>
      </c>
      <c r="J83" s="291"/>
      <c r="K83" s="175"/>
      <c r="L83" s="82">
        <f>L84</f>
        <v>4214.49</v>
      </c>
      <c r="M83" s="82">
        <f>M84</f>
        <v>0</v>
      </c>
      <c r="N83" s="82">
        <f t="shared" ref="N83:AN83" si="74">N84</f>
        <v>3995.07</v>
      </c>
      <c r="O83" s="82">
        <f t="shared" si="74"/>
        <v>0</v>
      </c>
      <c r="P83" s="82">
        <f>N83</f>
        <v>3995.07</v>
      </c>
      <c r="Q83" s="82">
        <f t="shared" si="74"/>
        <v>0</v>
      </c>
      <c r="R83" s="82">
        <f t="shared" si="74"/>
        <v>0</v>
      </c>
      <c r="S83" s="82">
        <f t="shared" si="74"/>
        <v>0</v>
      </c>
      <c r="T83" s="82">
        <f t="shared" si="74"/>
        <v>0</v>
      </c>
      <c r="U83" s="82">
        <f t="shared" si="74"/>
        <v>0</v>
      </c>
      <c r="V83" s="82">
        <f t="shared" si="74"/>
        <v>0</v>
      </c>
      <c r="W83" s="82">
        <f t="shared" si="74"/>
        <v>0</v>
      </c>
      <c r="X83" s="82">
        <f t="shared" si="74"/>
        <v>0</v>
      </c>
      <c r="Y83" s="82">
        <f t="shared" si="74"/>
        <v>0</v>
      </c>
      <c r="Z83" s="82">
        <f t="shared" si="74"/>
        <v>0</v>
      </c>
      <c r="AA83" s="82">
        <f t="shared" si="74"/>
        <v>0</v>
      </c>
      <c r="AB83" s="82">
        <f t="shared" si="74"/>
        <v>0</v>
      </c>
      <c r="AC83" s="82">
        <f t="shared" si="74"/>
        <v>0</v>
      </c>
      <c r="AD83" s="82">
        <f t="shared" si="74"/>
        <v>0</v>
      </c>
      <c r="AE83" s="82">
        <f t="shared" si="74"/>
        <v>0</v>
      </c>
      <c r="AF83" s="82">
        <f t="shared" si="74"/>
        <v>0</v>
      </c>
      <c r="AG83" s="82">
        <f t="shared" si="74"/>
        <v>0</v>
      </c>
      <c r="AH83" s="82">
        <f t="shared" si="74"/>
        <v>0</v>
      </c>
      <c r="AI83" s="82">
        <f t="shared" si="74"/>
        <v>0</v>
      </c>
      <c r="AJ83" s="82">
        <f t="shared" si="74"/>
        <v>0</v>
      </c>
      <c r="AK83" s="82">
        <f t="shared" si="74"/>
        <v>0</v>
      </c>
      <c r="AL83" s="82">
        <f t="shared" si="74"/>
        <v>0</v>
      </c>
      <c r="AM83" s="82">
        <f t="shared" si="74"/>
        <v>0</v>
      </c>
      <c r="AN83" s="82">
        <f t="shared" si="74"/>
        <v>0</v>
      </c>
      <c r="AO83" s="411" t="s">
        <v>249</v>
      </c>
    </row>
    <row r="84" spans="1:41" s="292" customFormat="1" ht="17.25" customHeight="1">
      <c r="A84" s="566"/>
      <c r="B84" s="42" t="s">
        <v>208</v>
      </c>
      <c r="C84" s="320"/>
      <c r="D84" s="320"/>
      <c r="E84" s="320"/>
      <c r="F84" s="320"/>
      <c r="G84" s="320"/>
      <c r="H84" s="321"/>
      <c r="I84" s="877"/>
      <c r="J84" s="75"/>
      <c r="K84" s="47"/>
      <c r="L84" s="47">
        <v>4214.49</v>
      </c>
      <c r="M84" s="47">
        <v>0</v>
      </c>
      <c r="N84" s="47">
        <v>3995.07</v>
      </c>
      <c r="O84" s="47">
        <v>0</v>
      </c>
      <c r="P84" s="47">
        <f>N84</f>
        <v>3995.07</v>
      </c>
      <c r="Q84" s="47">
        <v>0</v>
      </c>
      <c r="R84" s="47">
        <v>0</v>
      </c>
      <c r="S84" s="47">
        <v>0</v>
      </c>
      <c r="T84" s="47">
        <v>0</v>
      </c>
      <c r="U84" s="47">
        <v>0</v>
      </c>
      <c r="V84" s="47">
        <v>0</v>
      </c>
      <c r="W84" s="47">
        <v>0</v>
      </c>
      <c r="X84" s="47">
        <v>0</v>
      </c>
      <c r="Y84" s="47">
        <v>0</v>
      </c>
      <c r="Z84" s="47">
        <v>0</v>
      </c>
      <c r="AA84" s="47">
        <v>0</v>
      </c>
      <c r="AB84" s="47">
        <v>0</v>
      </c>
      <c r="AC84" s="47">
        <v>0</v>
      </c>
      <c r="AD84" s="47">
        <v>0</v>
      </c>
      <c r="AE84" s="47">
        <v>0</v>
      </c>
      <c r="AF84" s="47">
        <v>0</v>
      </c>
      <c r="AG84" s="47">
        <v>0</v>
      </c>
      <c r="AH84" s="47">
        <v>0</v>
      </c>
      <c r="AI84" s="47">
        <v>0</v>
      </c>
      <c r="AJ84" s="47">
        <v>0</v>
      </c>
      <c r="AK84" s="47">
        <v>0</v>
      </c>
      <c r="AL84" s="47">
        <v>0</v>
      </c>
      <c r="AM84" s="47">
        <v>0</v>
      </c>
      <c r="AN84" s="47">
        <v>0</v>
      </c>
      <c r="AO84" s="403"/>
    </row>
    <row r="85" spans="1:41" s="292" customFormat="1" ht="51.75" customHeight="1">
      <c r="A85" s="812" t="s">
        <v>288</v>
      </c>
      <c r="B85" s="83" t="s">
        <v>209</v>
      </c>
      <c r="C85" s="322"/>
      <c r="D85" s="322"/>
      <c r="E85" s="322"/>
      <c r="F85" s="322"/>
      <c r="G85" s="323"/>
      <c r="H85" s="324"/>
      <c r="I85" s="820" t="s">
        <v>20</v>
      </c>
      <c r="J85" s="291"/>
      <c r="K85" s="175"/>
      <c r="L85" s="82">
        <f>L86</f>
        <v>3214.56</v>
      </c>
      <c r="M85" s="82">
        <f>M86</f>
        <v>0</v>
      </c>
      <c r="N85" s="82">
        <f t="shared" ref="N85:AN85" si="75">N86</f>
        <v>2956.68</v>
      </c>
      <c r="O85" s="82">
        <f t="shared" si="75"/>
        <v>0</v>
      </c>
      <c r="P85" s="82">
        <f>N85</f>
        <v>2956.68</v>
      </c>
      <c r="Q85" s="82">
        <f t="shared" si="75"/>
        <v>0</v>
      </c>
      <c r="R85" s="82">
        <f t="shared" si="75"/>
        <v>0</v>
      </c>
      <c r="S85" s="82">
        <f t="shared" si="75"/>
        <v>0</v>
      </c>
      <c r="T85" s="82">
        <f t="shared" si="75"/>
        <v>0</v>
      </c>
      <c r="U85" s="82">
        <f t="shared" si="75"/>
        <v>0</v>
      </c>
      <c r="V85" s="82">
        <f t="shared" si="75"/>
        <v>0</v>
      </c>
      <c r="W85" s="82">
        <f t="shared" si="75"/>
        <v>0</v>
      </c>
      <c r="X85" s="82">
        <f t="shared" si="75"/>
        <v>0</v>
      </c>
      <c r="Y85" s="82">
        <f t="shared" si="75"/>
        <v>0</v>
      </c>
      <c r="Z85" s="82">
        <f t="shared" si="75"/>
        <v>0</v>
      </c>
      <c r="AA85" s="82">
        <f t="shared" si="75"/>
        <v>0</v>
      </c>
      <c r="AB85" s="82">
        <f t="shared" si="75"/>
        <v>0</v>
      </c>
      <c r="AC85" s="82">
        <f t="shared" si="75"/>
        <v>0</v>
      </c>
      <c r="AD85" s="82">
        <f t="shared" si="75"/>
        <v>0</v>
      </c>
      <c r="AE85" s="82">
        <f>AE86</f>
        <v>0</v>
      </c>
      <c r="AF85" s="82">
        <f t="shared" si="75"/>
        <v>0</v>
      </c>
      <c r="AG85" s="82">
        <f t="shared" si="75"/>
        <v>0</v>
      </c>
      <c r="AH85" s="82">
        <f t="shared" si="75"/>
        <v>0</v>
      </c>
      <c r="AI85" s="82">
        <f t="shared" si="75"/>
        <v>0</v>
      </c>
      <c r="AJ85" s="82">
        <f t="shared" si="75"/>
        <v>0</v>
      </c>
      <c r="AK85" s="82">
        <f t="shared" si="75"/>
        <v>0</v>
      </c>
      <c r="AL85" s="82">
        <f t="shared" si="75"/>
        <v>0</v>
      </c>
      <c r="AM85" s="82">
        <f t="shared" si="75"/>
        <v>0</v>
      </c>
      <c r="AN85" s="82">
        <f t="shared" si="75"/>
        <v>0</v>
      </c>
      <c r="AO85" s="411" t="s">
        <v>249</v>
      </c>
    </row>
    <row r="86" spans="1:41" s="292" customFormat="1" ht="17.25" customHeight="1">
      <c r="A86" s="814"/>
      <c r="B86" s="42" t="s">
        <v>208</v>
      </c>
      <c r="C86" s="320"/>
      <c r="D86" s="320"/>
      <c r="E86" s="320"/>
      <c r="F86" s="320"/>
      <c r="G86" s="320"/>
      <c r="H86" s="321"/>
      <c r="I86" s="877"/>
      <c r="J86" s="75"/>
      <c r="K86" s="47"/>
      <c r="L86" s="47">
        <v>3214.56</v>
      </c>
      <c r="M86" s="47">
        <v>0</v>
      </c>
      <c r="N86" s="47">
        <v>2956.68</v>
      </c>
      <c r="O86" s="47">
        <v>0</v>
      </c>
      <c r="P86" s="47">
        <f>N86*1.2</f>
        <v>3548.0159999999996</v>
      </c>
      <c r="Q86" s="47">
        <v>0</v>
      </c>
      <c r="R86" s="47">
        <v>0</v>
      </c>
      <c r="S86" s="47">
        <v>0</v>
      </c>
      <c r="T86" s="47">
        <v>0</v>
      </c>
      <c r="U86" s="47">
        <v>0</v>
      </c>
      <c r="V86" s="47">
        <v>0</v>
      </c>
      <c r="W86" s="47">
        <v>0</v>
      </c>
      <c r="X86" s="47">
        <v>0</v>
      </c>
      <c r="Y86" s="47">
        <v>0</v>
      </c>
      <c r="Z86" s="47">
        <v>0</v>
      </c>
      <c r="AA86" s="47">
        <v>0</v>
      </c>
      <c r="AB86" s="47">
        <v>0</v>
      </c>
      <c r="AC86" s="47">
        <v>0</v>
      </c>
      <c r="AD86" s="47">
        <v>0</v>
      </c>
      <c r="AE86" s="47">
        <v>0</v>
      </c>
      <c r="AF86" s="47">
        <v>0</v>
      </c>
      <c r="AG86" s="47">
        <v>0</v>
      </c>
      <c r="AH86" s="47">
        <v>0</v>
      </c>
      <c r="AI86" s="47">
        <v>0</v>
      </c>
      <c r="AJ86" s="47">
        <v>0</v>
      </c>
      <c r="AK86" s="47">
        <v>0</v>
      </c>
      <c r="AL86" s="47">
        <v>0</v>
      </c>
      <c r="AM86" s="47">
        <v>0</v>
      </c>
      <c r="AN86" s="47">
        <v>0</v>
      </c>
      <c r="AO86" s="403"/>
    </row>
    <row r="87" spans="1:41" s="292" customFormat="1" ht="64.5" customHeight="1">
      <c r="A87" s="812" t="s">
        <v>164</v>
      </c>
      <c r="B87" s="83" t="s">
        <v>166</v>
      </c>
      <c r="C87" s="322"/>
      <c r="D87" s="322"/>
      <c r="E87" s="322"/>
      <c r="F87" s="322"/>
      <c r="G87" s="323"/>
      <c r="H87" s="324"/>
      <c r="I87" s="820" t="s">
        <v>20</v>
      </c>
      <c r="J87" s="291"/>
      <c r="K87" s="175"/>
      <c r="L87" s="82">
        <f>L88</f>
        <v>372.9</v>
      </c>
      <c r="M87" s="82">
        <f>M88</f>
        <v>0</v>
      </c>
      <c r="N87" s="82">
        <f t="shared" ref="N87:AN88" si="76">N88</f>
        <v>372.9</v>
      </c>
      <c r="O87" s="82">
        <f t="shared" si="76"/>
        <v>0</v>
      </c>
      <c r="P87" s="82">
        <f t="shared" si="76"/>
        <v>372.9</v>
      </c>
      <c r="Q87" s="82">
        <f t="shared" si="76"/>
        <v>0</v>
      </c>
      <c r="R87" s="82">
        <f t="shared" si="76"/>
        <v>0</v>
      </c>
      <c r="S87" s="82">
        <f t="shared" si="76"/>
        <v>0</v>
      </c>
      <c r="T87" s="82">
        <f t="shared" si="76"/>
        <v>0</v>
      </c>
      <c r="U87" s="82">
        <f t="shared" si="76"/>
        <v>0</v>
      </c>
      <c r="V87" s="82">
        <f t="shared" si="76"/>
        <v>0</v>
      </c>
      <c r="W87" s="82">
        <f t="shared" si="76"/>
        <v>0</v>
      </c>
      <c r="X87" s="82">
        <f t="shared" si="76"/>
        <v>0</v>
      </c>
      <c r="Y87" s="82">
        <f t="shared" si="76"/>
        <v>0</v>
      </c>
      <c r="Z87" s="82">
        <f t="shared" si="76"/>
        <v>0</v>
      </c>
      <c r="AA87" s="82">
        <f t="shared" si="76"/>
        <v>0</v>
      </c>
      <c r="AB87" s="82">
        <f t="shared" si="76"/>
        <v>0</v>
      </c>
      <c r="AC87" s="82">
        <f t="shared" si="76"/>
        <v>0</v>
      </c>
      <c r="AD87" s="82">
        <f t="shared" si="76"/>
        <v>0</v>
      </c>
      <c r="AE87" s="82">
        <f t="shared" si="76"/>
        <v>0</v>
      </c>
      <c r="AF87" s="82">
        <f t="shared" si="76"/>
        <v>0</v>
      </c>
      <c r="AG87" s="82">
        <f t="shared" si="76"/>
        <v>0</v>
      </c>
      <c r="AH87" s="82">
        <f t="shared" si="76"/>
        <v>0</v>
      </c>
      <c r="AI87" s="82">
        <f t="shared" si="76"/>
        <v>0</v>
      </c>
      <c r="AJ87" s="82">
        <f>P87-Q87</f>
        <v>372.9</v>
      </c>
      <c r="AK87" s="82">
        <f t="shared" si="76"/>
        <v>0</v>
      </c>
      <c r="AL87" s="79">
        <f>ROUND((Q87*100%/P87*100),2)</f>
        <v>0</v>
      </c>
      <c r="AM87" s="82">
        <f t="shared" si="76"/>
        <v>0</v>
      </c>
      <c r="AN87" s="82">
        <f t="shared" si="76"/>
        <v>0</v>
      </c>
      <c r="AO87" s="411" t="s">
        <v>283</v>
      </c>
    </row>
    <row r="88" spans="1:41" s="292" customFormat="1" ht="17.25" customHeight="1">
      <c r="A88" s="814"/>
      <c r="B88" s="42" t="s">
        <v>208</v>
      </c>
      <c r="C88" s="320"/>
      <c r="D88" s="320"/>
      <c r="E88" s="320"/>
      <c r="F88" s="320"/>
      <c r="G88" s="320"/>
      <c r="H88" s="321"/>
      <c r="I88" s="877"/>
      <c r="J88" s="75"/>
      <c r="K88" s="47"/>
      <c r="L88" s="47">
        <v>372.9</v>
      </c>
      <c r="M88" s="47">
        <v>0</v>
      </c>
      <c r="N88" s="47">
        <v>372.9</v>
      </c>
      <c r="O88" s="47">
        <v>0</v>
      </c>
      <c r="P88" s="47">
        <f>N88</f>
        <v>372.9</v>
      </c>
      <c r="Q88" s="47">
        <f>Q89</f>
        <v>0</v>
      </c>
      <c r="R88" s="47">
        <f t="shared" si="76"/>
        <v>0</v>
      </c>
      <c r="S88" s="47">
        <f t="shared" si="76"/>
        <v>0</v>
      </c>
      <c r="T88" s="47">
        <f t="shared" si="76"/>
        <v>0</v>
      </c>
      <c r="U88" s="47">
        <f t="shared" si="76"/>
        <v>0</v>
      </c>
      <c r="V88" s="47">
        <f t="shared" si="76"/>
        <v>0</v>
      </c>
      <c r="W88" s="47">
        <f t="shared" si="76"/>
        <v>0</v>
      </c>
      <c r="X88" s="47">
        <f t="shared" si="76"/>
        <v>0</v>
      </c>
      <c r="Y88" s="47">
        <f t="shared" si="76"/>
        <v>0</v>
      </c>
      <c r="Z88" s="47">
        <f t="shared" si="76"/>
        <v>0</v>
      </c>
      <c r="AA88" s="47">
        <f t="shared" si="76"/>
        <v>0</v>
      </c>
      <c r="AB88" s="47">
        <f t="shared" si="76"/>
        <v>0</v>
      </c>
      <c r="AC88" s="47">
        <f t="shared" si="76"/>
        <v>0</v>
      </c>
      <c r="AD88" s="47">
        <f t="shared" si="76"/>
        <v>0</v>
      </c>
      <c r="AE88" s="47">
        <f>AE89</f>
        <v>0</v>
      </c>
      <c r="AF88" s="47">
        <f t="shared" si="76"/>
        <v>0</v>
      </c>
      <c r="AG88" s="47">
        <f t="shared" si="76"/>
        <v>0</v>
      </c>
      <c r="AH88" s="47">
        <f t="shared" si="76"/>
        <v>0</v>
      </c>
      <c r="AI88" s="47">
        <f t="shared" si="76"/>
        <v>0</v>
      </c>
      <c r="AJ88" s="47">
        <v>0</v>
      </c>
      <c r="AK88" s="47">
        <v>0</v>
      </c>
      <c r="AL88" s="47">
        <v>0</v>
      </c>
      <c r="AM88" s="47">
        <v>0</v>
      </c>
      <c r="AN88" s="47">
        <v>0</v>
      </c>
      <c r="AO88" s="403"/>
    </row>
    <row r="89" spans="1:41" s="273" customFormat="1" ht="17.25" hidden="1" customHeight="1">
      <c r="A89" s="370"/>
      <c r="B89" s="257" t="s">
        <v>229</v>
      </c>
      <c r="C89" s="371"/>
      <c r="D89" s="371"/>
      <c r="E89" s="371"/>
      <c r="F89" s="371"/>
      <c r="G89" s="371"/>
      <c r="H89" s="372"/>
      <c r="I89" s="373"/>
      <c r="J89" s="263"/>
      <c r="K89" s="99"/>
      <c r="L89" s="99"/>
      <c r="M89" s="99"/>
      <c r="N89" s="99"/>
      <c r="O89" s="99"/>
      <c r="P89" s="47"/>
      <c r="Q89" s="99">
        <f>Y89</f>
        <v>0</v>
      </c>
      <c r="R89" s="99"/>
      <c r="S89" s="99"/>
      <c r="T89" s="99"/>
      <c r="U89" s="99"/>
      <c r="V89" s="99"/>
      <c r="W89" s="99"/>
      <c r="X89" s="99">
        <v>0</v>
      </c>
      <c r="Y89" s="99">
        <v>0</v>
      </c>
      <c r="Z89" s="99">
        <v>0</v>
      </c>
      <c r="AA89" s="99">
        <v>0</v>
      </c>
      <c r="AB89" s="99"/>
      <c r="AC89" s="99"/>
      <c r="AD89" s="99"/>
      <c r="AE89" s="99">
        <f>SUM(AF89:AF89)</f>
        <v>0</v>
      </c>
      <c r="AF89" s="99"/>
      <c r="AG89" s="99"/>
      <c r="AH89" s="99"/>
      <c r="AI89" s="99"/>
      <c r="AJ89" s="99"/>
      <c r="AK89" s="99"/>
      <c r="AL89" s="99"/>
      <c r="AM89" s="99"/>
      <c r="AN89" s="99"/>
      <c r="AO89" s="412"/>
    </row>
    <row r="90" spans="1:41" s="292" customFormat="1" ht="53.25" customHeight="1">
      <c r="A90" s="812" t="s">
        <v>165</v>
      </c>
      <c r="B90" s="83" t="s">
        <v>168</v>
      </c>
      <c r="C90" s="322"/>
      <c r="D90" s="322"/>
      <c r="E90" s="322"/>
      <c r="F90" s="322"/>
      <c r="G90" s="323"/>
      <c r="H90" s="324"/>
      <c r="I90" s="820" t="s">
        <v>20</v>
      </c>
      <c r="J90" s="291"/>
      <c r="K90" s="175"/>
      <c r="L90" s="82">
        <f>L91+L95</f>
        <v>5513.9</v>
      </c>
      <c r="M90" s="82">
        <f>M91+M95</f>
        <v>297.18</v>
      </c>
      <c r="N90" s="82">
        <f t="shared" ref="N90:AN90" si="77">N91+N95</f>
        <v>1639.84</v>
      </c>
      <c r="O90" s="82">
        <f t="shared" si="77"/>
        <v>0</v>
      </c>
      <c r="P90" s="82">
        <f>N90</f>
        <v>1639.84</v>
      </c>
      <c r="Q90" s="82">
        <f t="shared" si="77"/>
        <v>122.38</v>
      </c>
      <c r="R90" s="82">
        <f t="shared" si="77"/>
        <v>122.38</v>
      </c>
      <c r="S90" s="82">
        <f t="shared" si="77"/>
        <v>122.38</v>
      </c>
      <c r="T90" s="82">
        <f t="shared" si="77"/>
        <v>0</v>
      </c>
      <c r="U90" s="82">
        <f t="shared" si="77"/>
        <v>0</v>
      </c>
      <c r="V90" s="82">
        <f t="shared" si="77"/>
        <v>0</v>
      </c>
      <c r="W90" s="82">
        <f t="shared" si="77"/>
        <v>0</v>
      </c>
      <c r="X90" s="82">
        <f t="shared" si="77"/>
        <v>0</v>
      </c>
      <c r="Y90" s="82">
        <f t="shared" si="77"/>
        <v>0</v>
      </c>
      <c r="Z90" s="82">
        <f t="shared" si="77"/>
        <v>122.37</v>
      </c>
      <c r="AA90" s="82">
        <f t="shared" si="77"/>
        <v>122.37</v>
      </c>
      <c r="AB90" s="82">
        <f t="shared" si="77"/>
        <v>0</v>
      </c>
      <c r="AC90" s="82">
        <f t="shared" si="77"/>
        <v>0</v>
      </c>
      <c r="AD90" s="82">
        <f t="shared" si="77"/>
        <v>0</v>
      </c>
      <c r="AE90" s="82">
        <f t="shared" si="77"/>
        <v>0</v>
      </c>
      <c r="AF90" s="82">
        <f t="shared" si="77"/>
        <v>0</v>
      </c>
      <c r="AG90" s="82">
        <f>AG91+AG95</f>
        <v>0</v>
      </c>
      <c r="AH90" s="82">
        <f t="shared" ref="AH90:AI90" si="78">AH91+AH95</f>
        <v>0</v>
      </c>
      <c r="AI90" s="82">
        <f t="shared" si="78"/>
        <v>0</v>
      </c>
      <c r="AJ90" s="82">
        <f>P90-Q90</f>
        <v>1517.46</v>
      </c>
      <c r="AK90" s="82">
        <f t="shared" si="77"/>
        <v>0</v>
      </c>
      <c r="AL90" s="79">
        <f>ROUND((Q90*100%/P90*100),2)</f>
        <v>7.46</v>
      </c>
      <c r="AM90" s="82">
        <f t="shared" si="77"/>
        <v>0</v>
      </c>
      <c r="AN90" s="82">
        <f t="shared" si="77"/>
        <v>0</v>
      </c>
      <c r="AO90" s="411" t="s">
        <v>264</v>
      </c>
    </row>
    <row r="91" spans="1:41" s="292" customFormat="1" ht="17.25" customHeight="1">
      <c r="A91" s="813"/>
      <c r="B91" s="42" t="s">
        <v>15</v>
      </c>
      <c r="C91" s="320"/>
      <c r="D91" s="320"/>
      <c r="E91" s="320"/>
      <c r="F91" s="320"/>
      <c r="G91" s="320"/>
      <c r="H91" s="321"/>
      <c r="I91" s="934"/>
      <c r="J91" s="75"/>
      <c r="K91" s="47"/>
      <c r="L91" s="47">
        <v>594.36</v>
      </c>
      <c r="M91" s="47">
        <v>297.18</v>
      </c>
      <c r="N91" s="47">
        <v>0</v>
      </c>
      <c r="O91" s="47">
        <v>0</v>
      </c>
      <c r="P91" s="47">
        <f>N91</f>
        <v>0</v>
      </c>
      <c r="Q91" s="47">
        <f>SUM(Q92:Q94)</f>
        <v>122.38</v>
      </c>
      <c r="R91" s="47">
        <f t="shared" ref="R91:AI91" si="79">SUM(R92:R94)</f>
        <v>122.38</v>
      </c>
      <c r="S91" s="47">
        <f>SUM(S92:S94)</f>
        <v>122.38</v>
      </c>
      <c r="T91" s="47">
        <f t="shared" si="79"/>
        <v>0</v>
      </c>
      <c r="U91" s="47">
        <f t="shared" si="79"/>
        <v>0</v>
      </c>
      <c r="V91" s="47">
        <f t="shared" si="79"/>
        <v>0</v>
      </c>
      <c r="W91" s="47">
        <f t="shared" si="79"/>
        <v>0</v>
      </c>
      <c r="X91" s="47">
        <v>0</v>
      </c>
      <c r="Y91" s="47">
        <f t="shared" si="79"/>
        <v>0</v>
      </c>
      <c r="Z91" s="47">
        <f t="shared" si="79"/>
        <v>122.37</v>
      </c>
      <c r="AA91" s="47">
        <f t="shared" si="79"/>
        <v>122.37</v>
      </c>
      <c r="AB91" s="47">
        <f t="shared" si="79"/>
        <v>0</v>
      </c>
      <c r="AC91" s="47">
        <f t="shared" si="79"/>
        <v>0</v>
      </c>
      <c r="AD91" s="47">
        <f t="shared" si="79"/>
        <v>0</v>
      </c>
      <c r="AE91" s="47">
        <f>SUM(AE92:AE94)</f>
        <v>0</v>
      </c>
      <c r="AF91" s="47">
        <f t="shared" si="79"/>
        <v>0</v>
      </c>
      <c r="AG91" s="47">
        <f t="shared" si="79"/>
        <v>0</v>
      </c>
      <c r="AH91" s="47">
        <f t="shared" si="79"/>
        <v>0</v>
      </c>
      <c r="AI91" s="47">
        <f t="shared" si="79"/>
        <v>0</v>
      </c>
      <c r="AJ91" s="47">
        <v>0</v>
      </c>
      <c r="AK91" s="47">
        <v>0</v>
      </c>
      <c r="AL91" s="47">
        <v>0</v>
      </c>
      <c r="AM91" s="47">
        <v>0</v>
      </c>
      <c r="AN91" s="47">
        <v>0</v>
      </c>
      <c r="AO91" s="403">
        <v>159.434</v>
      </c>
    </row>
    <row r="92" spans="1:41" s="273" customFormat="1" ht="17.25" hidden="1" customHeight="1">
      <c r="A92" s="813"/>
      <c r="B92" s="257" t="s">
        <v>230</v>
      </c>
      <c r="C92" s="371"/>
      <c r="D92" s="371"/>
      <c r="E92" s="371"/>
      <c r="F92" s="371"/>
      <c r="G92" s="371"/>
      <c r="H92" s="372"/>
      <c r="I92" s="934"/>
      <c r="J92" s="263"/>
      <c r="K92" s="99"/>
      <c r="L92" s="99"/>
      <c r="M92" s="99"/>
      <c r="N92" s="99"/>
      <c r="O92" s="99"/>
      <c r="P92" s="47"/>
      <c r="Q92" s="99">
        <f>Y92</f>
        <v>0</v>
      </c>
      <c r="R92" s="99"/>
      <c r="S92" s="99"/>
      <c r="T92" s="99"/>
      <c r="U92" s="99"/>
      <c r="V92" s="99"/>
      <c r="W92" s="99"/>
      <c r="X92" s="99">
        <v>0</v>
      </c>
      <c r="Y92" s="99">
        <v>0</v>
      </c>
      <c r="Z92" s="99">
        <v>0</v>
      </c>
      <c r="AA92" s="99">
        <v>0</v>
      </c>
      <c r="AB92" s="99"/>
      <c r="AC92" s="99"/>
      <c r="AD92" s="99"/>
      <c r="AE92" s="99">
        <f>SUM(AF92:AF92)</f>
        <v>0</v>
      </c>
      <c r="AF92" s="99"/>
      <c r="AG92" s="99"/>
      <c r="AH92" s="99"/>
      <c r="AI92" s="99"/>
      <c r="AJ92" s="99"/>
      <c r="AK92" s="99"/>
      <c r="AL92" s="99"/>
      <c r="AM92" s="99"/>
      <c r="AN92" s="99"/>
      <c r="AO92" s="412"/>
    </row>
    <row r="93" spans="1:41" s="273" customFormat="1" ht="17.25" hidden="1" customHeight="1">
      <c r="A93" s="813"/>
      <c r="B93" s="257" t="s">
        <v>231</v>
      </c>
      <c r="C93" s="371"/>
      <c r="D93" s="371"/>
      <c r="E93" s="371"/>
      <c r="F93" s="371"/>
      <c r="G93" s="371"/>
      <c r="H93" s="372"/>
      <c r="I93" s="934"/>
      <c r="J93" s="263"/>
      <c r="K93" s="99"/>
      <c r="L93" s="99"/>
      <c r="M93" s="99"/>
      <c r="N93" s="99"/>
      <c r="O93" s="99"/>
      <c r="P93" s="47"/>
      <c r="Q93" s="99">
        <f>S93</f>
        <v>122.38</v>
      </c>
      <c r="R93" s="99">
        <f>S93</f>
        <v>122.38</v>
      </c>
      <c r="S93" s="99">
        <v>122.38</v>
      </c>
      <c r="T93" s="99"/>
      <c r="U93" s="99"/>
      <c r="V93" s="99"/>
      <c r="W93" s="99"/>
      <c r="X93" s="99">
        <v>0</v>
      </c>
      <c r="Y93" s="99">
        <v>0</v>
      </c>
      <c r="Z93" s="99">
        <f>AA93</f>
        <v>122.37</v>
      </c>
      <c r="AA93" s="99">
        <v>122.37</v>
      </c>
      <c r="AB93" s="99"/>
      <c r="AC93" s="99"/>
      <c r="AD93" s="99"/>
      <c r="AE93" s="99">
        <f>SUM(AF93:AF93)</f>
        <v>0</v>
      </c>
      <c r="AF93" s="99"/>
      <c r="AG93" s="99"/>
      <c r="AH93" s="99"/>
      <c r="AI93" s="99"/>
      <c r="AJ93" s="99"/>
      <c r="AK93" s="99"/>
      <c r="AL93" s="99"/>
      <c r="AM93" s="99"/>
      <c r="AN93" s="99"/>
      <c r="AO93" s="412"/>
    </row>
    <row r="94" spans="1:41" s="273" customFormat="1" ht="17.25" hidden="1" customHeight="1">
      <c r="A94" s="813"/>
      <c r="B94" s="257" t="s">
        <v>232</v>
      </c>
      <c r="C94" s="371"/>
      <c r="D94" s="371"/>
      <c r="E94" s="371"/>
      <c r="F94" s="371"/>
      <c r="G94" s="371"/>
      <c r="H94" s="372"/>
      <c r="I94" s="934"/>
      <c r="J94" s="263"/>
      <c r="K94" s="99"/>
      <c r="L94" s="99"/>
      <c r="M94" s="99"/>
      <c r="N94" s="99"/>
      <c r="O94" s="99"/>
      <c r="P94" s="47"/>
      <c r="Q94" s="99">
        <f t="shared" ref="Q94" si="80">Y94</f>
        <v>0</v>
      </c>
      <c r="R94" s="99"/>
      <c r="S94" s="99"/>
      <c r="T94" s="99"/>
      <c r="U94" s="99"/>
      <c r="V94" s="99"/>
      <c r="W94" s="99"/>
      <c r="X94" s="99">
        <v>0</v>
      </c>
      <c r="Y94" s="99">
        <v>0</v>
      </c>
      <c r="Z94" s="99">
        <v>0</v>
      </c>
      <c r="AA94" s="99">
        <v>0</v>
      </c>
      <c r="AB94" s="99"/>
      <c r="AC94" s="99"/>
      <c r="AD94" s="99"/>
      <c r="AE94" s="99">
        <f>SUM(AF94:AF94)</f>
        <v>0</v>
      </c>
      <c r="AF94" s="99"/>
      <c r="AG94" s="99"/>
      <c r="AH94" s="99"/>
      <c r="AI94" s="99"/>
      <c r="AJ94" s="99"/>
      <c r="AK94" s="99"/>
      <c r="AL94" s="99"/>
      <c r="AM94" s="99"/>
      <c r="AN94" s="99"/>
      <c r="AO94" s="412"/>
    </row>
    <row r="95" spans="1:41" s="292" customFormat="1" ht="16.5" customHeight="1">
      <c r="A95" s="814"/>
      <c r="B95" s="42" t="s">
        <v>32</v>
      </c>
      <c r="C95" s="320"/>
      <c r="D95" s="320"/>
      <c r="E95" s="320"/>
      <c r="F95" s="320"/>
      <c r="G95" s="320"/>
      <c r="H95" s="321"/>
      <c r="I95" s="877"/>
      <c r="J95" s="75"/>
      <c r="K95" s="47"/>
      <c r="L95" s="47">
        <v>4919.54</v>
      </c>
      <c r="M95" s="47">
        <v>0</v>
      </c>
      <c r="N95" s="47">
        <v>1639.84</v>
      </c>
      <c r="O95" s="47">
        <v>0</v>
      </c>
      <c r="P95" s="47">
        <f>N95</f>
        <v>1639.84</v>
      </c>
      <c r="Q95" s="47">
        <v>0</v>
      </c>
      <c r="R95" s="47">
        <v>0</v>
      </c>
      <c r="S95" s="47">
        <v>0</v>
      </c>
      <c r="T95" s="47">
        <v>0</v>
      </c>
      <c r="U95" s="47">
        <v>0</v>
      </c>
      <c r="V95" s="47">
        <v>0</v>
      </c>
      <c r="W95" s="47">
        <v>0</v>
      </c>
      <c r="X95" s="47">
        <v>0</v>
      </c>
      <c r="Y95" s="47">
        <v>0</v>
      </c>
      <c r="Z95" s="47">
        <v>0</v>
      </c>
      <c r="AA95" s="47">
        <v>0</v>
      </c>
      <c r="AB95" s="47">
        <v>0</v>
      </c>
      <c r="AC95" s="47">
        <v>0</v>
      </c>
      <c r="AD95" s="47">
        <v>0</v>
      </c>
      <c r="AE95" s="47">
        <v>0</v>
      </c>
      <c r="AF95" s="47">
        <v>0</v>
      </c>
      <c r="AG95" s="47">
        <v>0</v>
      </c>
      <c r="AH95" s="47">
        <v>0</v>
      </c>
      <c r="AI95" s="47">
        <v>0</v>
      </c>
      <c r="AJ95" s="47">
        <v>0</v>
      </c>
      <c r="AK95" s="47">
        <v>0</v>
      </c>
      <c r="AL95" s="47">
        <v>0</v>
      </c>
      <c r="AM95" s="47">
        <v>0</v>
      </c>
      <c r="AN95" s="47">
        <v>0</v>
      </c>
      <c r="AO95" s="403">
        <v>1639.8466699999999</v>
      </c>
    </row>
    <row r="96" spans="1:41" s="335" customFormat="1" ht="52.5" customHeight="1">
      <c r="A96" s="812" t="s">
        <v>167</v>
      </c>
      <c r="B96" s="83" t="s">
        <v>171</v>
      </c>
      <c r="C96" s="322"/>
      <c r="D96" s="322"/>
      <c r="E96" s="322"/>
      <c r="F96" s="322"/>
      <c r="G96" s="322"/>
      <c r="H96" s="334"/>
      <c r="I96" s="820" t="s">
        <v>20</v>
      </c>
      <c r="J96" s="291"/>
      <c r="K96" s="82"/>
      <c r="L96" s="82">
        <f>L97+L100</f>
        <v>94875.549999999988</v>
      </c>
      <c r="M96" s="82">
        <f>M97+M100</f>
        <v>2761.44</v>
      </c>
      <c r="N96" s="82">
        <f t="shared" ref="N96:AN96" si="81">N97+N100</f>
        <v>9629.67</v>
      </c>
      <c r="O96" s="82">
        <f t="shared" si="81"/>
        <v>22469.279999999999</v>
      </c>
      <c r="P96" s="82">
        <f>N96</f>
        <v>9629.67</v>
      </c>
      <c r="Q96" s="82">
        <f t="shared" si="81"/>
        <v>367.43299999999999</v>
      </c>
      <c r="R96" s="82">
        <f t="shared" si="81"/>
        <v>0</v>
      </c>
      <c r="S96" s="82">
        <f t="shared" si="81"/>
        <v>0</v>
      </c>
      <c r="T96" s="82">
        <f t="shared" si="81"/>
        <v>367.43299999999999</v>
      </c>
      <c r="U96" s="82">
        <f t="shared" si="81"/>
        <v>367.43299999999999</v>
      </c>
      <c r="V96" s="82">
        <f t="shared" si="81"/>
        <v>0</v>
      </c>
      <c r="W96" s="82">
        <f t="shared" si="81"/>
        <v>0</v>
      </c>
      <c r="X96" s="82">
        <f t="shared" si="81"/>
        <v>0</v>
      </c>
      <c r="Y96" s="82">
        <f t="shared" si="81"/>
        <v>0</v>
      </c>
      <c r="Z96" s="82">
        <f t="shared" si="81"/>
        <v>2117.433</v>
      </c>
      <c r="AA96" s="82">
        <f t="shared" si="81"/>
        <v>0</v>
      </c>
      <c r="AB96" s="82">
        <f t="shared" si="81"/>
        <v>357.43299999999999</v>
      </c>
      <c r="AC96" s="82">
        <f t="shared" si="81"/>
        <v>10</v>
      </c>
      <c r="AD96" s="82">
        <f t="shared" si="81"/>
        <v>1750</v>
      </c>
      <c r="AE96" s="82">
        <f t="shared" si="81"/>
        <v>0</v>
      </c>
      <c r="AF96" s="82">
        <f t="shared" si="81"/>
        <v>0</v>
      </c>
      <c r="AG96" s="82">
        <f t="shared" si="81"/>
        <v>0</v>
      </c>
      <c r="AH96" s="82">
        <f t="shared" si="81"/>
        <v>0</v>
      </c>
      <c r="AI96" s="82">
        <f t="shared" si="81"/>
        <v>0</v>
      </c>
      <c r="AJ96" s="82">
        <f>P96-Q96</f>
        <v>9262.237000000001</v>
      </c>
      <c r="AK96" s="82">
        <f t="shared" si="81"/>
        <v>0</v>
      </c>
      <c r="AL96" s="79">
        <f>ROUND((Q96*100%/P96*100),2)</f>
        <v>3.82</v>
      </c>
      <c r="AM96" s="82">
        <f t="shared" si="81"/>
        <v>0</v>
      </c>
      <c r="AN96" s="82">
        <f t="shared" si="81"/>
        <v>0</v>
      </c>
      <c r="AO96" s="411" t="s">
        <v>264</v>
      </c>
    </row>
    <row r="97" spans="1:41" s="292" customFormat="1" ht="16.5" customHeight="1">
      <c r="A97" s="813"/>
      <c r="B97" s="42" t="s">
        <v>15</v>
      </c>
      <c r="C97" s="320"/>
      <c r="D97" s="320"/>
      <c r="E97" s="320"/>
      <c r="F97" s="320"/>
      <c r="G97" s="320"/>
      <c r="H97" s="321"/>
      <c r="I97" s="934"/>
      <c r="J97" s="75"/>
      <c r="K97" s="47"/>
      <c r="L97" s="47">
        <v>5734.87</v>
      </c>
      <c r="M97" s="47">
        <v>2761.44</v>
      </c>
      <c r="N97" s="47">
        <v>105.99</v>
      </c>
      <c r="O97" s="47">
        <v>0</v>
      </c>
      <c r="P97" s="47">
        <v>0</v>
      </c>
      <c r="Q97" s="47">
        <f>SUM(Q98:Q99)</f>
        <v>367.43299999999999</v>
      </c>
      <c r="R97" s="47">
        <f t="shared" ref="R97:AI97" si="82">SUM(R98:R99)</f>
        <v>0</v>
      </c>
      <c r="S97" s="47">
        <f t="shared" si="82"/>
        <v>0</v>
      </c>
      <c r="T97" s="47">
        <f t="shared" si="82"/>
        <v>367.43299999999999</v>
      </c>
      <c r="U97" s="47">
        <f t="shared" si="82"/>
        <v>367.43299999999999</v>
      </c>
      <c r="V97" s="47">
        <f t="shared" si="82"/>
        <v>0</v>
      </c>
      <c r="W97" s="47">
        <f t="shared" si="82"/>
        <v>0</v>
      </c>
      <c r="X97" s="47">
        <v>0</v>
      </c>
      <c r="Y97" s="47">
        <f t="shared" si="82"/>
        <v>0</v>
      </c>
      <c r="Z97" s="47">
        <f t="shared" si="82"/>
        <v>2117.433</v>
      </c>
      <c r="AA97" s="47">
        <f t="shared" si="82"/>
        <v>0</v>
      </c>
      <c r="AB97" s="47">
        <f t="shared" si="82"/>
        <v>357.43299999999999</v>
      </c>
      <c r="AC97" s="47">
        <f t="shared" si="82"/>
        <v>10</v>
      </c>
      <c r="AD97" s="47">
        <f t="shared" si="82"/>
        <v>1750</v>
      </c>
      <c r="AE97" s="47">
        <f t="shared" si="82"/>
        <v>0</v>
      </c>
      <c r="AF97" s="47">
        <f t="shared" si="82"/>
        <v>0</v>
      </c>
      <c r="AG97" s="47">
        <f t="shared" si="82"/>
        <v>0</v>
      </c>
      <c r="AH97" s="47">
        <f t="shared" si="82"/>
        <v>0</v>
      </c>
      <c r="AI97" s="47">
        <f t="shared" si="82"/>
        <v>0</v>
      </c>
      <c r="AJ97" s="47">
        <v>0</v>
      </c>
      <c r="AK97" s="47">
        <v>0</v>
      </c>
      <c r="AL97" s="47">
        <v>0</v>
      </c>
      <c r="AM97" s="47">
        <v>0</v>
      </c>
      <c r="AN97" s="47">
        <v>0</v>
      </c>
      <c r="AO97" s="403"/>
    </row>
    <row r="98" spans="1:41" s="273" customFormat="1" ht="16.5" hidden="1" customHeight="1">
      <c r="A98" s="813"/>
      <c r="B98" s="257" t="s">
        <v>276</v>
      </c>
      <c r="C98" s="371"/>
      <c r="D98" s="371"/>
      <c r="E98" s="371"/>
      <c r="F98" s="371"/>
      <c r="G98" s="371"/>
      <c r="H98" s="372"/>
      <c r="I98" s="934"/>
      <c r="J98" s="263"/>
      <c r="K98" s="99"/>
      <c r="L98" s="47">
        <f t="shared" ref="L98:L99" si="83">SUM(M98:O98)</f>
        <v>0</v>
      </c>
      <c r="M98" s="99"/>
      <c r="N98" s="99"/>
      <c r="O98" s="99"/>
      <c r="P98" s="47"/>
      <c r="Q98" s="99">
        <f>Y98</f>
        <v>0</v>
      </c>
      <c r="R98" s="99"/>
      <c r="S98" s="99"/>
      <c r="T98" s="99"/>
      <c r="U98" s="99"/>
      <c r="V98" s="99"/>
      <c r="W98" s="99"/>
      <c r="X98" s="99">
        <v>0</v>
      </c>
      <c r="Y98" s="99">
        <v>0</v>
      </c>
      <c r="Z98" s="99">
        <v>1750</v>
      </c>
      <c r="AA98" s="99">
        <v>0</v>
      </c>
      <c r="AB98" s="99"/>
      <c r="AC98" s="99"/>
      <c r="AD98" s="99">
        <v>1750</v>
      </c>
      <c r="AE98" s="99">
        <f>SUM(AF98:AF98)</f>
        <v>0</v>
      </c>
      <c r="AF98" s="99"/>
      <c r="AG98" s="99"/>
      <c r="AH98" s="99"/>
      <c r="AI98" s="99"/>
      <c r="AJ98" s="99">
        <v>0</v>
      </c>
      <c r="AK98" s="99">
        <v>0</v>
      </c>
      <c r="AL98" s="99">
        <v>0</v>
      </c>
      <c r="AM98" s="99">
        <v>0</v>
      </c>
      <c r="AN98" s="99">
        <v>0</v>
      </c>
      <c r="AO98" s="412"/>
    </row>
    <row r="99" spans="1:41" s="273" customFormat="1" ht="16.5" hidden="1" customHeight="1">
      <c r="A99" s="813"/>
      <c r="B99" s="257" t="s">
        <v>275</v>
      </c>
      <c r="C99" s="371"/>
      <c r="D99" s="371"/>
      <c r="E99" s="371"/>
      <c r="F99" s="371"/>
      <c r="G99" s="371"/>
      <c r="H99" s="372"/>
      <c r="I99" s="934"/>
      <c r="J99" s="263"/>
      <c r="K99" s="99"/>
      <c r="L99" s="99">
        <f t="shared" si="83"/>
        <v>0</v>
      </c>
      <c r="M99" s="99"/>
      <c r="N99" s="99"/>
      <c r="O99" s="99"/>
      <c r="P99" s="99">
        <f>R99+T99</f>
        <v>367.43299999999999</v>
      </c>
      <c r="Q99" s="99">
        <f>S99+U99</f>
        <v>367.43299999999999</v>
      </c>
      <c r="R99" s="99"/>
      <c r="S99" s="99"/>
      <c r="T99" s="99">
        <f>U99</f>
        <v>367.43299999999999</v>
      </c>
      <c r="U99" s="99">
        <f>(714.866+20)/2</f>
        <v>367.43299999999999</v>
      </c>
      <c r="V99" s="99"/>
      <c r="W99" s="99"/>
      <c r="X99" s="99"/>
      <c r="Y99" s="99"/>
      <c r="Z99" s="99">
        <f>SUM(AA99:AC99)</f>
        <v>367.43299999999999</v>
      </c>
      <c r="AA99" s="99"/>
      <c r="AB99" s="99">
        <f>714.866/2</f>
        <v>357.43299999999999</v>
      </c>
      <c r="AC99" s="99">
        <v>10</v>
      </c>
      <c r="AD99" s="99"/>
      <c r="AE99" s="99">
        <f>SUM(AF99:AF99)</f>
        <v>0</v>
      </c>
      <c r="AF99" s="99"/>
      <c r="AG99" s="99"/>
      <c r="AH99" s="99"/>
      <c r="AI99" s="99"/>
      <c r="AJ99" s="99"/>
      <c r="AK99" s="99"/>
      <c r="AL99" s="99"/>
      <c r="AM99" s="99"/>
      <c r="AN99" s="99"/>
      <c r="AO99" s="412"/>
    </row>
    <row r="100" spans="1:41" s="292" customFormat="1" ht="16.5" customHeight="1">
      <c r="A100" s="814"/>
      <c r="B100" s="42" t="s">
        <v>32</v>
      </c>
      <c r="C100" s="320"/>
      <c r="D100" s="320"/>
      <c r="E100" s="320"/>
      <c r="F100" s="320"/>
      <c r="G100" s="320"/>
      <c r="H100" s="321"/>
      <c r="I100" s="877"/>
      <c r="J100" s="75"/>
      <c r="K100" s="47"/>
      <c r="L100" s="47">
        <v>89140.68</v>
      </c>
      <c r="M100" s="47">
        <v>0</v>
      </c>
      <c r="N100" s="47">
        <v>9523.68</v>
      </c>
      <c r="O100" s="47">
        <v>22469.279999999999</v>
      </c>
      <c r="P100" s="47">
        <f>N100</f>
        <v>9523.68</v>
      </c>
      <c r="Q100" s="47">
        <v>0</v>
      </c>
      <c r="R100" s="47">
        <v>0</v>
      </c>
      <c r="S100" s="47">
        <v>0</v>
      </c>
      <c r="T100" s="47">
        <v>0</v>
      </c>
      <c r="U100" s="47">
        <v>0</v>
      </c>
      <c r="V100" s="47">
        <v>0</v>
      </c>
      <c r="W100" s="47">
        <v>0</v>
      </c>
      <c r="X100" s="47">
        <v>0</v>
      </c>
      <c r="Y100" s="47">
        <v>0</v>
      </c>
      <c r="Z100" s="47">
        <v>0</v>
      </c>
      <c r="AA100" s="47">
        <v>0</v>
      </c>
      <c r="AB100" s="47">
        <v>0</v>
      </c>
      <c r="AC100" s="47">
        <v>0</v>
      </c>
      <c r="AD100" s="47">
        <v>0</v>
      </c>
      <c r="AE100" s="47">
        <v>0</v>
      </c>
      <c r="AF100" s="47">
        <v>0</v>
      </c>
      <c r="AG100" s="47">
        <v>0</v>
      </c>
      <c r="AH100" s="47">
        <v>0</v>
      </c>
      <c r="AI100" s="47">
        <v>0</v>
      </c>
      <c r="AJ100" s="47">
        <v>0</v>
      </c>
      <c r="AK100" s="47">
        <v>0</v>
      </c>
      <c r="AL100" s="47">
        <v>0</v>
      </c>
      <c r="AM100" s="47">
        <v>0</v>
      </c>
      <c r="AN100" s="47">
        <v>0</v>
      </c>
      <c r="AO100" s="403"/>
    </row>
    <row r="101" spans="1:41" s="292" customFormat="1" ht="64.5" customHeight="1">
      <c r="A101" s="812" t="s">
        <v>170</v>
      </c>
      <c r="B101" s="80" t="s">
        <v>289</v>
      </c>
      <c r="C101" s="322"/>
      <c r="D101" s="322"/>
      <c r="E101" s="322"/>
      <c r="F101" s="322"/>
      <c r="G101" s="323"/>
      <c r="H101" s="324"/>
      <c r="I101" s="820" t="s">
        <v>20</v>
      </c>
      <c r="J101" s="291"/>
      <c r="K101" s="175"/>
      <c r="L101" s="82">
        <f>L102</f>
        <v>10177.64</v>
      </c>
      <c r="M101" s="82">
        <f>M102</f>
        <v>0</v>
      </c>
      <c r="N101" s="82">
        <f t="shared" ref="N101:AN101" si="84">N102</f>
        <v>0</v>
      </c>
      <c r="O101" s="82">
        <f t="shared" si="84"/>
        <v>0</v>
      </c>
      <c r="P101" s="82">
        <f t="shared" si="84"/>
        <v>0</v>
      </c>
      <c r="Q101" s="82">
        <f t="shared" si="84"/>
        <v>0</v>
      </c>
      <c r="R101" s="82">
        <f t="shared" si="84"/>
        <v>0</v>
      </c>
      <c r="S101" s="82">
        <f t="shared" si="84"/>
        <v>0</v>
      </c>
      <c r="T101" s="82">
        <f t="shared" si="84"/>
        <v>0</v>
      </c>
      <c r="U101" s="82">
        <f t="shared" si="84"/>
        <v>0</v>
      </c>
      <c r="V101" s="82">
        <f t="shared" si="84"/>
        <v>0</v>
      </c>
      <c r="W101" s="82">
        <f t="shared" si="84"/>
        <v>0</v>
      </c>
      <c r="X101" s="82">
        <f t="shared" si="84"/>
        <v>0</v>
      </c>
      <c r="Y101" s="82">
        <f t="shared" si="84"/>
        <v>0</v>
      </c>
      <c r="Z101" s="82">
        <f t="shared" si="84"/>
        <v>0</v>
      </c>
      <c r="AA101" s="82">
        <f t="shared" si="84"/>
        <v>0</v>
      </c>
      <c r="AB101" s="82">
        <f t="shared" si="84"/>
        <v>0</v>
      </c>
      <c r="AC101" s="82">
        <f t="shared" si="84"/>
        <v>0</v>
      </c>
      <c r="AD101" s="82">
        <f t="shared" si="84"/>
        <v>0</v>
      </c>
      <c r="AE101" s="82">
        <f t="shared" si="84"/>
        <v>0</v>
      </c>
      <c r="AF101" s="82">
        <f t="shared" si="84"/>
        <v>0</v>
      </c>
      <c r="AG101" s="82">
        <f t="shared" si="84"/>
        <v>0</v>
      </c>
      <c r="AH101" s="82">
        <f t="shared" si="84"/>
        <v>0</v>
      </c>
      <c r="AI101" s="82">
        <f t="shared" si="84"/>
        <v>0</v>
      </c>
      <c r="AJ101" s="82">
        <f>P101-Q101</f>
        <v>0</v>
      </c>
      <c r="AK101" s="82">
        <f t="shared" si="84"/>
        <v>0</v>
      </c>
      <c r="AL101" s="82">
        <f t="shared" si="84"/>
        <v>0</v>
      </c>
      <c r="AM101" s="82">
        <f t="shared" si="84"/>
        <v>0</v>
      </c>
      <c r="AN101" s="82">
        <f t="shared" si="84"/>
        <v>0</v>
      </c>
      <c r="AO101" s="411"/>
    </row>
    <row r="102" spans="1:41" s="292" customFormat="1" ht="17.25" customHeight="1">
      <c r="A102" s="877"/>
      <c r="B102" s="42" t="s">
        <v>208</v>
      </c>
      <c r="C102" s="320"/>
      <c r="D102" s="320"/>
      <c r="E102" s="320"/>
      <c r="F102" s="320"/>
      <c r="G102" s="320"/>
      <c r="H102" s="321"/>
      <c r="I102" s="877"/>
      <c r="J102" s="75"/>
      <c r="K102" s="47"/>
      <c r="L102" s="47">
        <v>10177.64</v>
      </c>
      <c r="M102" s="47">
        <v>0</v>
      </c>
      <c r="N102" s="47">
        <v>0</v>
      </c>
      <c r="O102" s="47">
        <v>0</v>
      </c>
      <c r="P102" s="47">
        <f>N102</f>
        <v>0</v>
      </c>
      <c r="Q102" s="47">
        <v>0</v>
      </c>
      <c r="R102" s="47">
        <v>0</v>
      </c>
      <c r="S102" s="47">
        <v>0</v>
      </c>
      <c r="T102" s="47">
        <v>0</v>
      </c>
      <c r="U102" s="47">
        <v>0</v>
      </c>
      <c r="V102" s="47">
        <v>0</v>
      </c>
      <c r="W102" s="47">
        <v>0</v>
      </c>
      <c r="X102" s="47">
        <v>0</v>
      </c>
      <c r="Y102" s="47">
        <v>0</v>
      </c>
      <c r="Z102" s="47">
        <f>SUM(AA102:AC102)</f>
        <v>0</v>
      </c>
      <c r="AA102" s="47">
        <v>0</v>
      </c>
      <c r="AB102" s="47">
        <v>0</v>
      </c>
      <c r="AC102" s="47">
        <v>0</v>
      </c>
      <c r="AD102" s="47">
        <v>0</v>
      </c>
      <c r="AE102" s="47">
        <f>SUM(AF102:AH102)</f>
        <v>0</v>
      </c>
      <c r="AF102" s="47">
        <v>0</v>
      </c>
      <c r="AG102" s="47">
        <v>0</v>
      </c>
      <c r="AH102" s="47">
        <v>0</v>
      </c>
      <c r="AI102" s="47">
        <v>0</v>
      </c>
      <c r="AJ102" s="47">
        <v>0</v>
      </c>
      <c r="AK102" s="47">
        <v>0</v>
      </c>
      <c r="AL102" s="47">
        <v>0</v>
      </c>
      <c r="AM102" s="47">
        <v>0</v>
      </c>
      <c r="AN102" s="47">
        <v>0</v>
      </c>
      <c r="AO102" s="403"/>
    </row>
    <row r="103" spans="1:41" s="292" customFormat="1" ht="24.75" customHeight="1">
      <c r="A103" s="812" t="s">
        <v>290</v>
      </c>
      <c r="B103" s="83" t="s">
        <v>293</v>
      </c>
      <c r="C103" s="322"/>
      <c r="D103" s="322"/>
      <c r="E103" s="322"/>
      <c r="F103" s="322"/>
      <c r="G103" s="323"/>
      <c r="H103" s="324"/>
      <c r="I103" s="820" t="s">
        <v>20</v>
      </c>
      <c r="J103" s="291"/>
      <c r="K103" s="175"/>
      <c r="L103" s="82">
        <f>SUM(L104:L105)</f>
        <v>12294.88</v>
      </c>
      <c r="M103" s="82">
        <f t="shared" ref="M103:AI103" si="85">M105</f>
        <v>0</v>
      </c>
      <c r="N103" s="82">
        <f t="shared" si="85"/>
        <v>0</v>
      </c>
      <c r="O103" s="82">
        <f t="shared" si="85"/>
        <v>0</v>
      </c>
      <c r="P103" s="82">
        <f t="shared" si="85"/>
        <v>0</v>
      </c>
      <c r="Q103" s="82">
        <f t="shared" si="85"/>
        <v>0</v>
      </c>
      <c r="R103" s="82">
        <f t="shared" si="85"/>
        <v>0</v>
      </c>
      <c r="S103" s="82">
        <f t="shared" si="85"/>
        <v>0</v>
      </c>
      <c r="T103" s="82">
        <f t="shared" si="85"/>
        <v>0</v>
      </c>
      <c r="U103" s="82">
        <f t="shared" si="85"/>
        <v>0</v>
      </c>
      <c r="V103" s="82">
        <f t="shared" si="85"/>
        <v>0</v>
      </c>
      <c r="W103" s="82">
        <f t="shared" si="85"/>
        <v>0</v>
      </c>
      <c r="X103" s="82">
        <f t="shared" si="85"/>
        <v>0</v>
      </c>
      <c r="Y103" s="82">
        <f t="shared" si="85"/>
        <v>0</v>
      </c>
      <c r="Z103" s="82">
        <f t="shared" si="85"/>
        <v>0</v>
      </c>
      <c r="AA103" s="82">
        <f t="shared" si="85"/>
        <v>0</v>
      </c>
      <c r="AB103" s="82">
        <f t="shared" si="85"/>
        <v>0</v>
      </c>
      <c r="AC103" s="82">
        <f t="shared" si="85"/>
        <v>0</v>
      </c>
      <c r="AD103" s="82">
        <f t="shared" si="85"/>
        <v>0</v>
      </c>
      <c r="AE103" s="82">
        <f t="shared" si="85"/>
        <v>0</v>
      </c>
      <c r="AF103" s="82">
        <f t="shared" si="85"/>
        <v>0</v>
      </c>
      <c r="AG103" s="82">
        <f t="shared" si="85"/>
        <v>0</v>
      </c>
      <c r="AH103" s="82">
        <f t="shared" si="85"/>
        <v>0</v>
      </c>
      <c r="AI103" s="82">
        <f t="shared" si="85"/>
        <v>0</v>
      </c>
      <c r="AJ103" s="82">
        <f>P103-Q103</f>
        <v>0</v>
      </c>
      <c r="AK103" s="82">
        <f>AK105</f>
        <v>0</v>
      </c>
      <c r="AL103" s="79">
        <v>0</v>
      </c>
      <c r="AM103" s="82">
        <f>AM105</f>
        <v>0</v>
      </c>
      <c r="AN103" s="82">
        <f>AN105</f>
        <v>0</v>
      </c>
      <c r="AO103" s="411" t="s">
        <v>264</v>
      </c>
    </row>
    <row r="104" spans="1:41" s="292" customFormat="1" ht="20.25" customHeight="1">
      <c r="A104" s="813"/>
      <c r="B104" s="42" t="s">
        <v>294</v>
      </c>
      <c r="C104" s="319"/>
      <c r="D104" s="319"/>
      <c r="E104" s="319"/>
      <c r="F104" s="319"/>
      <c r="G104" s="320"/>
      <c r="H104" s="321"/>
      <c r="I104" s="822"/>
      <c r="J104" s="589"/>
      <c r="K104" s="47"/>
      <c r="L104" s="47">
        <v>980</v>
      </c>
      <c r="M104" s="3"/>
      <c r="N104" s="47">
        <v>0</v>
      </c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403"/>
    </row>
    <row r="105" spans="1:41" s="292" customFormat="1" ht="17.25" customHeight="1">
      <c r="A105" s="877"/>
      <c r="B105" s="42" t="s">
        <v>296</v>
      </c>
      <c r="C105" s="320"/>
      <c r="D105" s="320"/>
      <c r="E105" s="320"/>
      <c r="F105" s="320"/>
      <c r="G105" s="320"/>
      <c r="H105" s="321"/>
      <c r="I105" s="877"/>
      <c r="J105" s="75"/>
      <c r="K105" s="47"/>
      <c r="L105" s="47">
        <v>11314.88</v>
      </c>
      <c r="M105" s="47">
        <v>0</v>
      </c>
      <c r="N105" s="47">
        <v>0</v>
      </c>
      <c r="O105" s="47">
        <v>0</v>
      </c>
      <c r="P105" s="47">
        <f>N105</f>
        <v>0</v>
      </c>
      <c r="Q105" s="47">
        <v>0</v>
      </c>
      <c r="R105" s="47">
        <v>0</v>
      </c>
      <c r="S105" s="47">
        <v>0</v>
      </c>
      <c r="T105" s="47">
        <f t="shared" ref="T105:Y105" si="86">T113</f>
        <v>0</v>
      </c>
      <c r="U105" s="47">
        <f t="shared" si="86"/>
        <v>0</v>
      </c>
      <c r="V105" s="47">
        <f t="shared" si="86"/>
        <v>0</v>
      </c>
      <c r="W105" s="47">
        <f t="shared" si="86"/>
        <v>0</v>
      </c>
      <c r="X105" s="47">
        <f t="shared" si="86"/>
        <v>0</v>
      </c>
      <c r="Y105" s="47">
        <f t="shared" si="86"/>
        <v>0</v>
      </c>
      <c r="Z105" s="47">
        <v>0</v>
      </c>
      <c r="AA105" s="47">
        <v>0</v>
      </c>
      <c r="AB105" s="47">
        <f t="shared" ref="AB105:AI105" si="87">AB113</f>
        <v>0</v>
      </c>
      <c r="AC105" s="47">
        <f t="shared" si="87"/>
        <v>0</v>
      </c>
      <c r="AD105" s="47">
        <f t="shared" si="87"/>
        <v>0</v>
      </c>
      <c r="AE105" s="47">
        <f t="shared" si="87"/>
        <v>0</v>
      </c>
      <c r="AF105" s="47">
        <f t="shared" si="87"/>
        <v>0</v>
      </c>
      <c r="AG105" s="47">
        <f t="shared" si="87"/>
        <v>0</v>
      </c>
      <c r="AH105" s="47">
        <f t="shared" si="87"/>
        <v>0</v>
      </c>
      <c r="AI105" s="47">
        <f t="shared" si="87"/>
        <v>0</v>
      </c>
      <c r="AJ105" s="47">
        <v>0</v>
      </c>
      <c r="AK105" s="47">
        <v>0</v>
      </c>
      <c r="AL105" s="47">
        <v>0</v>
      </c>
      <c r="AM105" s="47">
        <v>0</v>
      </c>
      <c r="AN105" s="47">
        <v>0</v>
      </c>
      <c r="AO105" s="403"/>
    </row>
    <row r="106" spans="1:41" s="292" customFormat="1" ht="27.75" customHeight="1">
      <c r="A106" s="812" t="s">
        <v>291</v>
      </c>
      <c r="B106" s="83" t="s">
        <v>295</v>
      </c>
      <c r="C106" s="322"/>
      <c r="D106" s="322"/>
      <c r="E106" s="322"/>
      <c r="F106" s="322"/>
      <c r="G106" s="323"/>
      <c r="H106" s="324"/>
      <c r="I106" s="820" t="s">
        <v>20</v>
      </c>
      <c r="J106" s="291"/>
      <c r="K106" s="175"/>
      <c r="L106" s="82">
        <f>SUM(L107:L108)</f>
        <v>2085.84</v>
      </c>
      <c r="M106" s="82">
        <f t="shared" ref="M106:AI106" si="88">M108</f>
        <v>0</v>
      </c>
      <c r="N106" s="82">
        <f t="shared" si="88"/>
        <v>0</v>
      </c>
      <c r="O106" s="82">
        <f t="shared" si="88"/>
        <v>0</v>
      </c>
      <c r="P106" s="82">
        <f t="shared" si="88"/>
        <v>0</v>
      </c>
      <c r="Q106" s="82">
        <f t="shared" si="88"/>
        <v>0</v>
      </c>
      <c r="R106" s="82">
        <f t="shared" si="88"/>
        <v>0</v>
      </c>
      <c r="S106" s="82">
        <f t="shared" si="88"/>
        <v>0</v>
      </c>
      <c r="T106" s="82">
        <f t="shared" si="88"/>
        <v>0</v>
      </c>
      <c r="U106" s="82">
        <f t="shared" si="88"/>
        <v>0</v>
      </c>
      <c r="V106" s="82">
        <f t="shared" si="88"/>
        <v>0</v>
      </c>
      <c r="W106" s="82">
        <f t="shared" si="88"/>
        <v>0</v>
      </c>
      <c r="X106" s="82">
        <f t="shared" si="88"/>
        <v>0</v>
      </c>
      <c r="Y106" s="82">
        <f t="shared" si="88"/>
        <v>0</v>
      </c>
      <c r="Z106" s="82">
        <f t="shared" si="88"/>
        <v>0</v>
      </c>
      <c r="AA106" s="82">
        <f t="shared" si="88"/>
        <v>0</v>
      </c>
      <c r="AB106" s="82">
        <f t="shared" si="88"/>
        <v>0</v>
      </c>
      <c r="AC106" s="82">
        <f t="shared" si="88"/>
        <v>0</v>
      </c>
      <c r="AD106" s="82">
        <f t="shared" si="88"/>
        <v>0</v>
      </c>
      <c r="AE106" s="82">
        <f t="shared" si="88"/>
        <v>0</v>
      </c>
      <c r="AF106" s="82">
        <f t="shared" si="88"/>
        <v>0</v>
      </c>
      <c r="AG106" s="82">
        <f t="shared" si="88"/>
        <v>0</v>
      </c>
      <c r="AH106" s="82">
        <f t="shared" si="88"/>
        <v>0</v>
      </c>
      <c r="AI106" s="82">
        <f t="shared" si="88"/>
        <v>0</v>
      </c>
      <c r="AJ106" s="82">
        <f>P106-Q106</f>
        <v>0</v>
      </c>
      <c r="AK106" s="82">
        <f>AK108</f>
        <v>0</v>
      </c>
      <c r="AL106" s="82">
        <f>AL108</f>
        <v>0</v>
      </c>
      <c r="AM106" s="82">
        <f>AM108</f>
        <v>0</v>
      </c>
      <c r="AN106" s="82">
        <f>AN108</f>
        <v>0</v>
      </c>
      <c r="AO106" s="411" t="s">
        <v>249</v>
      </c>
    </row>
    <row r="107" spans="1:41" s="292" customFormat="1" ht="20.25" customHeight="1">
      <c r="A107" s="813"/>
      <c r="B107" s="42" t="s">
        <v>294</v>
      </c>
      <c r="C107" s="320"/>
      <c r="D107" s="320"/>
      <c r="E107" s="320"/>
      <c r="F107" s="320"/>
      <c r="G107" s="320"/>
      <c r="H107" s="321"/>
      <c r="I107" s="822"/>
      <c r="J107" s="75"/>
      <c r="K107" s="47"/>
      <c r="L107" s="47">
        <v>2085.84</v>
      </c>
      <c r="M107" s="47"/>
      <c r="N107" s="47">
        <v>0</v>
      </c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03"/>
    </row>
    <row r="108" spans="1:41" s="292" customFormat="1" ht="17.25" customHeight="1">
      <c r="A108" s="877"/>
      <c r="B108" s="42" t="s">
        <v>296</v>
      </c>
      <c r="C108" s="320"/>
      <c r="D108" s="320"/>
      <c r="E108" s="320"/>
      <c r="F108" s="320"/>
      <c r="G108" s="320"/>
      <c r="H108" s="321"/>
      <c r="I108" s="877"/>
      <c r="J108" s="75"/>
      <c r="K108" s="47"/>
      <c r="L108" s="47">
        <v>0</v>
      </c>
      <c r="M108" s="47">
        <v>0</v>
      </c>
      <c r="N108" s="47">
        <v>0</v>
      </c>
      <c r="O108" s="47">
        <v>0</v>
      </c>
      <c r="P108" s="47">
        <f>N108</f>
        <v>0</v>
      </c>
      <c r="Q108" s="47">
        <v>0</v>
      </c>
      <c r="R108" s="47">
        <v>0</v>
      </c>
      <c r="S108" s="47">
        <v>0</v>
      </c>
      <c r="T108" s="47">
        <f t="shared" ref="T108:Y108" si="89">T116</f>
        <v>0</v>
      </c>
      <c r="U108" s="47">
        <f t="shared" si="89"/>
        <v>0</v>
      </c>
      <c r="V108" s="47">
        <f t="shared" si="89"/>
        <v>0</v>
      </c>
      <c r="W108" s="47">
        <f t="shared" si="89"/>
        <v>0</v>
      </c>
      <c r="X108" s="47">
        <f t="shared" si="89"/>
        <v>0</v>
      </c>
      <c r="Y108" s="47">
        <f t="shared" si="89"/>
        <v>0</v>
      </c>
      <c r="Z108" s="47">
        <v>0</v>
      </c>
      <c r="AA108" s="47">
        <v>0</v>
      </c>
      <c r="AB108" s="47">
        <f t="shared" ref="AB108:AI108" si="90">AB116</f>
        <v>0</v>
      </c>
      <c r="AC108" s="47">
        <f t="shared" si="90"/>
        <v>0</v>
      </c>
      <c r="AD108" s="47">
        <f t="shared" si="90"/>
        <v>0</v>
      </c>
      <c r="AE108" s="47">
        <f t="shared" si="90"/>
        <v>0</v>
      </c>
      <c r="AF108" s="47">
        <f t="shared" si="90"/>
        <v>0</v>
      </c>
      <c r="AG108" s="47">
        <f t="shared" si="90"/>
        <v>0</v>
      </c>
      <c r="AH108" s="47">
        <f t="shared" si="90"/>
        <v>0</v>
      </c>
      <c r="AI108" s="47">
        <f t="shared" si="90"/>
        <v>0</v>
      </c>
      <c r="AJ108" s="47">
        <v>0</v>
      </c>
      <c r="AK108" s="47">
        <v>0</v>
      </c>
      <c r="AL108" s="47">
        <v>0</v>
      </c>
      <c r="AM108" s="47">
        <v>0</v>
      </c>
      <c r="AN108" s="47">
        <v>0</v>
      </c>
      <c r="AO108" s="403"/>
    </row>
    <row r="109" spans="1:41" s="292" customFormat="1" ht="40.5" customHeight="1">
      <c r="A109" s="812" t="s">
        <v>292</v>
      </c>
      <c r="B109" s="83" t="s">
        <v>297</v>
      </c>
      <c r="C109" s="322"/>
      <c r="D109" s="322"/>
      <c r="E109" s="322"/>
      <c r="F109" s="322"/>
      <c r="G109" s="323"/>
      <c r="H109" s="324"/>
      <c r="I109" s="820" t="s">
        <v>20</v>
      </c>
      <c r="J109" s="291"/>
      <c r="K109" s="175"/>
      <c r="L109" s="82">
        <f t="shared" ref="L109:AI110" si="91">L110</f>
        <v>28990</v>
      </c>
      <c r="M109" s="82">
        <f t="shared" si="91"/>
        <v>0</v>
      </c>
      <c r="N109" s="82">
        <f t="shared" si="91"/>
        <v>10150</v>
      </c>
      <c r="O109" s="82">
        <f t="shared" si="91"/>
        <v>0</v>
      </c>
      <c r="P109" s="82">
        <f>N109</f>
        <v>10150</v>
      </c>
      <c r="Q109" s="82">
        <f t="shared" si="91"/>
        <v>0</v>
      </c>
      <c r="R109" s="82">
        <f t="shared" si="91"/>
        <v>0</v>
      </c>
      <c r="S109" s="82">
        <f t="shared" si="91"/>
        <v>0</v>
      </c>
      <c r="T109" s="82">
        <f t="shared" si="91"/>
        <v>0</v>
      </c>
      <c r="U109" s="82">
        <f t="shared" si="91"/>
        <v>0</v>
      </c>
      <c r="V109" s="82">
        <f t="shared" si="91"/>
        <v>0</v>
      </c>
      <c r="W109" s="82">
        <f t="shared" si="91"/>
        <v>0</v>
      </c>
      <c r="X109" s="82">
        <f t="shared" si="91"/>
        <v>0</v>
      </c>
      <c r="Y109" s="82">
        <f t="shared" si="91"/>
        <v>0</v>
      </c>
      <c r="Z109" s="82">
        <f t="shared" si="91"/>
        <v>24158.33</v>
      </c>
      <c r="AA109" s="82">
        <f t="shared" si="91"/>
        <v>0</v>
      </c>
      <c r="AB109" s="82">
        <f t="shared" si="91"/>
        <v>0</v>
      </c>
      <c r="AC109" s="82">
        <f t="shared" si="91"/>
        <v>0</v>
      </c>
      <c r="AD109" s="82">
        <f t="shared" si="91"/>
        <v>24158.33</v>
      </c>
      <c r="AE109" s="82">
        <f t="shared" si="91"/>
        <v>24158.33</v>
      </c>
      <c r="AF109" s="82">
        <f t="shared" si="91"/>
        <v>0</v>
      </c>
      <c r="AG109" s="82">
        <f t="shared" si="91"/>
        <v>0</v>
      </c>
      <c r="AH109" s="82">
        <f t="shared" si="91"/>
        <v>0</v>
      </c>
      <c r="AI109" s="82">
        <f t="shared" si="91"/>
        <v>24158.33</v>
      </c>
      <c r="AJ109" s="82">
        <f>P109-Q109</f>
        <v>10150</v>
      </c>
      <c r="AK109" s="82">
        <f>AK110</f>
        <v>0</v>
      </c>
      <c r="AL109" s="79">
        <f>ROUND((Q109*100%/P109*100),2)</f>
        <v>0</v>
      </c>
      <c r="AM109" s="82">
        <f>AM110</f>
        <v>0</v>
      </c>
      <c r="AN109" s="82">
        <f>AN110</f>
        <v>0</v>
      </c>
      <c r="AO109" s="411" t="s">
        <v>306</v>
      </c>
    </row>
    <row r="110" spans="1:41" s="292" customFormat="1" ht="17.25" customHeight="1">
      <c r="A110" s="877"/>
      <c r="B110" s="42" t="s">
        <v>206</v>
      </c>
      <c r="C110" s="320"/>
      <c r="D110" s="320"/>
      <c r="E110" s="320"/>
      <c r="F110" s="320"/>
      <c r="G110" s="320"/>
      <c r="H110" s="321"/>
      <c r="I110" s="877"/>
      <c r="J110" s="75"/>
      <c r="K110" s="47"/>
      <c r="L110" s="47">
        <v>28990</v>
      </c>
      <c r="M110" s="47">
        <v>0</v>
      </c>
      <c r="N110" s="47">
        <v>10150</v>
      </c>
      <c r="O110" s="47">
        <v>0</v>
      </c>
      <c r="P110" s="47">
        <f>N110</f>
        <v>10150</v>
      </c>
      <c r="Q110" s="47">
        <v>0</v>
      </c>
      <c r="R110" s="47">
        <v>0</v>
      </c>
      <c r="S110" s="47">
        <v>0</v>
      </c>
      <c r="T110" s="47">
        <f t="shared" ref="T110:Y110" si="92">T119</f>
        <v>0</v>
      </c>
      <c r="U110" s="47">
        <f t="shared" si="92"/>
        <v>0</v>
      </c>
      <c r="V110" s="47">
        <f t="shared" si="92"/>
        <v>0</v>
      </c>
      <c r="W110" s="47">
        <f t="shared" si="92"/>
        <v>0</v>
      </c>
      <c r="X110" s="47">
        <f t="shared" si="92"/>
        <v>0</v>
      </c>
      <c r="Y110" s="47">
        <f t="shared" si="92"/>
        <v>0</v>
      </c>
      <c r="Z110" s="47">
        <f t="shared" si="91"/>
        <v>24158.33</v>
      </c>
      <c r="AA110" s="47">
        <f t="shared" si="91"/>
        <v>0</v>
      </c>
      <c r="AB110" s="47">
        <f t="shared" si="91"/>
        <v>0</v>
      </c>
      <c r="AC110" s="47">
        <f t="shared" si="91"/>
        <v>0</v>
      </c>
      <c r="AD110" s="47">
        <f>AD111</f>
        <v>24158.33</v>
      </c>
      <c r="AE110" s="47">
        <f>AE119+AI110</f>
        <v>24158.33</v>
      </c>
      <c r="AF110" s="47">
        <f>AF119</f>
        <v>0</v>
      </c>
      <c r="AG110" s="47">
        <f>AG119</f>
        <v>0</v>
      </c>
      <c r="AH110" s="47">
        <f>AH119</f>
        <v>0</v>
      </c>
      <c r="AI110" s="47">
        <v>24158.33</v>
      </c>
      <c r="AJ110" s="47">
        <v>0</v>
      </c>
      <c r="AK110" s="47">
        <v>0</v>
      </c>
      <c r="AL110" s="47">
        <v>0</v>
      </c>
      <c r="AM110" s="47">
        <v>0</v>
      </c>
      <c r="AN110" s="47">
        <v>0</v>
      </c>
      <c r="AO110" s="403"/>
    </row>
    <row r="111" spans="1:41" s="273" customFormat="1" ht="17.25" hidden="1" customHeight="1">
      <c r="A111" s="373"/>
      <c r="B111" s="257" t="s">
        <v>300</v>
      </c>
      <c r="C111" s="371"/>
      <c r="D111" s="371"/>
      <c r="E111" s="371"/>
      <c r="F111" s="371"/>
      <c r="G111" s="371"/>
      <c r="H111" s="372"/>
      <c r="I111" s="505"/>
      <c r="J111" s="263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>
        <f>SUM(AA111:AD111)</f>
        <v>24158.33</v>
      </c>
      <c r="AA111" s="99"/>
      <c r="AB111" s="99"/>
      <c r="AC111" s="99"/>
      <c r="AD111" s="99">
        <v>24158.33</v>
      </c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412"/>
    </row>
    <row r="112" spans="1:41" ht="54" customHeight="1">
      <c r="A112" s="833" t="s">
        <v>60</v>
      </c>
      <c r="B112" s="889" t="s">
        <v>45</v>
      </c>
      <c r="C112" s="890"/>
      <c r="D112" s="890"/>
      <c r="E112" s="890"/>
      <c r="F112" s="890"/>
      <c r="G112" s="890"/>
      <c r="H112" s="891"/>
      <c r="I112" s="15" t="s">
        <v>19</v>
      </c>
      <c r="J112" s="16">
        <v>0</v>
      </c>
      <c r="K112" s="16">
        <f t="shared" ref="K112" si="93">K115</f>
        <v>0</v>
      </c>
      <c r="L112" s="16">
        <f t="shared" ref="L112:L130" si="94">M112+N112+O112</f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  <c r="Z112" s="22">
        <v>0</v>
      </c>
      <c r="AA112" s="22">
        <v>0</v>
      </c>
      <c r="AB112" s="22">
        <v>0</v>
      </c>
      <c r="AC112" s="22">
        <v>0</v>
      </c>
      <c r="AD112" s="22">
        <v>0</v>
      </c>
      <c r="AE112" s="22">
        <v>0</v>
      </c>
      <c r="AF112" s="22">
        <v>0</v>
      </c>
      <c r="AG112" s="22">
        <v>0</v>
      </c>
      <c r="AH112" s="22">
        <v>0</v>
      </c>
      <c r="AI112" s="22">
        <v>0</v>
      </c>
      <c r="AJ112" s="22">
        <v>0</v>
      </c>
      <c r="AK112" s="22">
        <v>0</v>
      </c>
      <c r="AL112" s="22">
        <v>0</v>
      </c>
      <c r="AM112" s="22">
        <v>0</v>
      </c>
      <c r="AN112" s="22">
        <v>0</v>
      </c>
      <c r="AO112" s="404"/>
    </row>
    <row r="113" spans="1:41" ht="42.75" customHeight="1">
      <c r="A113" s="834"/>
      <c r="B113" s="892"/>
      <c r="C113" s="893"/>
      <c r="D113" s="893"/>
      <c r="E113" s="893"/>
      <c r="F113" s="893"/>
      <c r="G113" s="893"/>
      <c r="H113" s="894"/>
      <c r="I113" s="15" t="s">
        <v>20</v>
      </c>
      <c r="J113" s="16">
        <f t="shared" ref="J113" si="95">J116</f>
        <v>4106.3500000000004</v>
      </c>
      <c r="K113" s="16">
        <v>0</v>
      </c>
      <c r="L113" s="16">
        <f>L116</f>
        <v>6022.96</v>
      </c>
      <c r="M113" s="16">
        <f>M116</f>
        <v>0</v>
      </c>
      <c r="N113" s="22">
        <f t="shared" ref="N113:AN113" si="96">N116</f>
        <v>980</v>
      </c>
      <c r="O113" s="16">
        <f t="shared" si="96"/>
        <v>0</v>
      </c>
      <c r="P113" s="22">
        <f t="shared" si="96"/>
        <v>980</v>
      </c>
      <c r="Q113" s="22">
        <f t="shared" si="96"/>
        <v>20</v>
      </c>
      <c r="R113" s="22">
        <f t="shared" si="96"/>
        <v>20</v>
      </c>
      <c r="S113" s="22">
        <f t="shared" si="96"/>
        <v>20</v>
      </c>
      <c r="T113" s="22">
        <f t="shared" si="96"/>
        <v>0</v>
      </c>
      <c r="U113" s="22">
        <f t="shared" si="96"/>
        <v>0</v>
      </c>
      <c r="V113" s="22">
        <f t="shared" si="96"/>
        <v>0</v>
      </c>
      <c r="W113" s="22">
        <f t="shared" si="96"/>
        <v>0</v>
      </c>
      <c r="X113" s="22">
        <f t="shared" si="96"/>
        <v>0</v>
      </c>
      <c r="Y113" s="22">
        <f t="shared" si="96"/>
        <v>0</v>
      </c>
      <c r="Z113" s="22">
        <f t="shared" si="96"/>
        <v>1000</v>
      </c>
      <c r="AA113" s="22">
        <f t="shared" si="96"/>
        <v>1000</v>
      </c>
      <c r="AB113" s="22">
        <f t="shared" si="96"/>
        <v>0</v>
      </c>
      <c r="AC113" s="22">
        <f t="shared" si="96"/>
        <v>0</v>
      </c>
      <c r="AD113" s="22">
        <f t="shared" si="96"/>
        <v>0</v>
      </c>
      <c r="AE113" s="22">
        <f t="shared" si="96"/>
        <v>0</v>
      </c>
      <c r="AF113" s="22">
        <f t="shared" si="96"/>
        <v>0</v>
      </c>
      <c r="AG113" s="22">
        <f t="shared" si="96"/>
        <v>0</v>
      </c>
      <c r="AH113" s="22">
        <f t="shared" si="96"/>
        <v>0</v>
      </c>
      <c r="AI113" s="22">
        <f t="shared" si="96"/>
        <v>0</v>
      </c>
      <c r="AJ113" s="22">
        <f t="shared" si="96"/>
        <v>960</v>
      </c>
      <c r="AK113" s="22">
        <f t="shared" si="96"/>
        <v>960</v>
      </c>
      <c r="AL113" s="22">
        <f t="shared" si="96"/>
        <v>2.04</v>
      </c>
      <c r="AM113" s="22">
        <f t="shared" si="96"/>
        <v>0</v>
      </c>
      <c r="AN113" s="22">
        <f t="shared" si="96"/>
        <v>0</v>
      </c>
      <c r="AO113" s="404"/>
    </row>
    <row r="114" spans="1:41" ht="25.5">
      <c r="A114" s="834"/>
      <c r="B114" s="892"/>
      <c r="C114" s="893"/>
      <c r="D114" s="893"/>
      <c r="E114" s="893"/>
      <c r="F114" s="893"/>
      <c r="G114" s="893"/>
      <c r="H114" s="894"/>
      <c r="I114" s="15" t="s">
        <v>10</v>
      </c>
      <c r="J114" s="16">
        <v>0</v>
      </c>
      <c r="K114" s="16">
        <v>0</v>
      </c>
      <c r="L114" s="16">
        <f t="shared" si="94"/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  <c r="Z114" s="22">
        <v>0</v>
      </c>
      <c r="AA114" s="22">
        <v>0</v>
      </c>
      <c r="AB114" s="22">
        <v>0</v>
      </c>
      <c r="AC114" s="22">
        <v>0</v>
      </c>
      <c r="AD114" s="22">
        <v>0</v>
      </c>
      <c r="AE114" s="22">
        <v>0</v>
      </c>
      <c r="AF114" s="22"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v>0</v>
      </c>
      <c r="AL114" s="22">
        <v>0</v>
      </c>
      <c r="AM114" s="22">
        <v>0</v>
      </c>
      <c r="AN114" s="22">
        <v>0</v>
      </c>
      <c r="AO114" s="404"/>
    </row>
    <row r="115" spans="1:41" ht="35.25" customHeight="1">
      <c r="A115" s="835"/>
      <c r="B115" s="895"/>
      <c r="C115" s="896"/>
      <c r="D115" s="896"/>
      <c r="E115" s="896"/>
      <c r="F115" s="896"/>
      <c r="G115" s="896"/>
      <c r="H115" s="897"/>
      <c r="I115" s="15" t="s">
        <v>9</v>
      </c>
      <c r="J115" s="16">
        <v>0</v>
      </c>
      <c r="K115" s="16"/>
      <c r="L115" s="16">
        <f t="shared" si="94"/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  <c r="Z115" s="22">
        <v>0</v>
      </c>
      <c r="AA115" s="22">
        <v>0</v>
      </c>
      <c r="AB115" s="22">
        <v>0</v>
      </c>
      <c r="AC115" s="22">
        <v>0</v>
      </c>
      <c r="AD115" s="22">
        <v>0</v>
      </c>
      <c r="AE115" s="22">
        <v>0</v>
      </c>
      <c r="AF115" s="22">
        <v>0</v>
      </c>
      <c r="AG115" s="22">
        <v>0</v>
      </c>
      <c r="AH115" s="22">
        <v>0</v>
      </c>
      <c r="AI115" s="22">
        <v>0</v>
      </c>
      <c r="AJ115" s="22">
        <v>0</v>
      </c>
      <c r="AK115" s="22">
        <v>0</v>
      </c>
      <c r="AL115" s="22">
        <v>0</v>
      </c>
      <c r="AM115" s="22">
        <v>0</v>
      </c>
      <c r="AN115" s="22">
        <v>0</v>
      </c>
      <c r="AO115" s="404"/>
    </row>
    <row r="116" spans="1:41" ht="28.5" customHeight="1">
      <c r="A116" s="812" t="s">
        <v>61</v>
      </c>
      <c r="B116" s="78" t="s">
        <v>88</v>
      </c>
      <c r="C116" s="46"/>
      <c r="D116" s="46"/>
      <c r="E116" s="46"/>
      <c r="F116" s="46"/>
      <c r="G116" s="46"/>
      <c r="H116" s="46"/>
      <c r="I116" s="884" t="s">
        <v>20</v>
      </c>
      <c r="J116" s="809">
        <v>4106.3500000000004</v>
      </c>
      <c r="K116" s="16">
        <v>0</v>
      </c>
      <c r="L116" s="82">
        <f>L117+L120</f>
        <v>6022.96</v>
      </c>
      <c r="M116" s="82">
        <f>M117+M120</f>
        <v>0</v>
      </c>
      <c r="N116" s="82">
        <f t="shared" ref="N116:O116" si="97">N117+N120</f>
        <v>980</v>
      </c>
      <c r="O116" s="82">
        <f t="shared" si="97"/>
        <v>0</v>
      </c>
      <c r="P116" s="82">
        <f>P117+P120</f>
        <v>980</v>
      </c>
      <c r="Q116" s="82">
        <f t="shared" ref="Q116:AN116" si="98">Q117+Q120</f>
        <v>20</v>
      </c>
      <c r="R116" s="82">
        <f t="shared" si="98"/>
        <v>20</v>
      </c>
      <c r="S116" s="82">
        <f t="shared" si="98"/>
        <v>20</v>
      </c>
      <c r="T116" s="82">
        <f t="shared" si="98"/>
        <v>0</v>
      </c>
      <c r="U116" s="82">
        <f t="shared" si="98"/>
        <v>0</v>
      </c>
      <c r="V116" s="82">
        <f t="shared" si="98"/>
        <v>0</v>
      </c>
      <c r="W116" s="82">
        <f t="shared" si="98"/>
        <v>0</v>
      </c>
      <c r="X116" s="82">
        <f t="shared" si="98"/>
        <v>0</v>
      </c>
      <c r="Y116" s="82">
        <f t="shared" si="98"/>
        <v>0</v>
      </c>
      <c r="Z116" s="82">
        <f t="shared" si="98"/>
        <v>1000</v>
      </c>
      <c r="AA116" s="82">
        <f>AA117+AA120</f>
        <v>1000</v>
      </c>
      <c r="AB116" s="82">
        <f>AB117+AB120</f>
        <v>0</v>
      </c>
      <c r="AC116" s="82">
        <f t="shared" ref="AC116:AD116" si="99">AC117+AC120</f>
        <v>0</v>
      </c>
      <c r="AD116" s="82">
        <f t="shared" si="99"/>
        <v>0</v>
      </c>
      <c r="AE116" s="82">
        <f t="shared" si="98"/>
        <v>0</v>
      </c>
      <c r="AF116" s="82">
        <f t="shared" si="98"/>
        <v>0</v>
      </c>
      <c r="AG116" s="82">
        <f t="shared" si="98"/>
        <v>0</v>
      </c>
      <c r="AH116" s="82">
        <f t="shared" si="98"/>
        <v>0</v>
      </c>
      <c r="AI116" s="82">
        <f t="shared" si="98"/>
        <v>0</v>
      </c>
      <c r="AJ116" s="82">
        <f>P116-Q116</f>
        <v>960</v>
      </c>
      <c r="AK116" s="82">
        <f>AJ116</f>
        <v>960</v>
      </c>
      <c r="AL116" s="79">
        <f>ROUND((Q116*100%/P116*100),2)</f>
        <v>2.04</v>
      </c>
      <c r="AM116" s="82">
        <f t="shared" si="98"/>
        <v>0</v>
      </c>
      <c r="AN116" s="82">
        <f t="shared" si="98"/>
        <v>0</v>
      </c>
      <c r="AO116" s="411" t="s">
        <v>264</v>
      </c>
    </row>
    <row r="117" spans="1:41">
      <c r="A117" s="813"/>
      <c r="B117" s="23" t="s">
        <v>15</v>
      </c>
      <c r="C117" s="46"/>
      <c r="D117" s="46"/>
      <c r="E117" s="46"/>
      <c r="F117" s="46"/>
      <c r="G117" s="570">
        <v>2019</v>
      </c>
      <c r="H117" s="570">
        <v>2019</v>
      </c>
      <c r="I117" s="888"/>
      <c r="J117" s="810"/>
      <c r="K117" s="22"/>
      <c r="L117" s="22">
        <v>1000</v>
      </c>
      <c r="M117" s="47">
        <v>0</v>
      </c>
      <c r="N117" s="47">
        <v>980</v>
      </c>
      <c r="O117" s="47">
        <v>0</v>
      </c>
      <c r="P117" s="47">
        <f>N117</f>
        <v>980</v>
      </c>
      <c r="Q117" s="47">
        <f t="shared" ref="Q117:Z117" si="100">Q118+Q119</f>
        <v>20</v>
      </c>
      <c r="R117" s="47">
        <f t="shared" si="100"/>
        <v>20</v>
      </c>
      <c r="S117" s="47">
        <f t="shared" si="100"/>
        <v>20</v>
      </c>
      <c r="T117" s="47">
        <f t="shared" si="100"/>
        <v>0</v>
      </c>
      <c r="U117" s="47">
        <f t="shared" si="100"/>
        <v>0</v>
      </c>
      <c r="V117" s="47">
        <f t="shared" si="100"/>
        <v>0</v>
      </c>
      <c r="W117" s="47">
        <f t="shared" si="100"/>
        <v>0</v>
      </c>
      <c r="X117" s="47">
        <f t="shared" si="100"/>
        <v>0</v>
      </c>
      <c r="Y117" s="47">
        <f t="shared" si="100"/>
        <v>0</v>
      </c>
      <c r="Z117" s="47">
        <f t="shared" si="100"/>
        <v>1000</v>
      </c>
      <c r="AA117" s="47">
        <f>AA118+AA119</f>
        <v>1000</v>
      </c>
      <c r="AB117" s="47">
        <f>AB118+AB119</f>
        <v>0</v>
      </c>
      <c r="AC117" s="47">
        <f t="shared" ref="AC117:AD117" si="101">AC118+AC119</f>
        <v>0</v>
      </c>
      <c r="AD117" s="47">
        <f t="shared" si="101"/>
        <v>0</v>
      </c>
      <c r="AE117" s="47">
        <v>0</v>
      </c>
      <c r="AF117" s="47">
        <v>0</v>
      </c>
      <c r="AG117" s="47">
        <v>0</v>
      </c>
      <c r="AH117" s="47">
        <v>0</v>
      </c>
      <c r="AI117" s="47">
        <v>0</v>
      </c>
      <c r="AJ117" s="47">
        <v>0</v>
      </c>
      <c r="AK117" s="47">
        <v>0</v>
      </c>
      <c r="AL117" s="47">
        <v>0</v>
      </c>
      <c r="AM117" s="47">
        <v>0</v>
      </c>
      <c r="AN117" s="47">
        <v>0</v>
      </c>
      <c r="AO117" s="403"/>
    </row>
    <row r="118" spans="1:41" s="100" customFormat="1" hidden="1">
      <c r="A118" s="813"/>
      <c r="B118" s="456" t="s">
        <v>259</v>
      </c>
      <c r="C118" s="457"/>
      <c r="D118" s="457"/>
      <c r="E118" s="457"/>
      <c r="F118" s="457"/>
      <c r="G118" s="267"/>
      <c r="H118" s="267"/>
      <c r="I118" s="888"/>
      <c r="J118" s="810"/>
      <c r="K118" s="178"/>
      <c r="L118" s="178"/>
      <c r="M118" s="99"/>
      <c r="N118" s="99"/>
      <c r="O118" s="99"/>
      <c r="P118" s="99">
        <v>0</v>
      </c>
      <c r="Q118" s="99">
        <v>0</v>
      </c>
      <c r="R118" s="99">
        <v>0</v>
      </c>
      <c r="S118" s="99">
        <v>0</v>
      </c>
      <c r="T118" s="99"/>
      <c r="U118" s="99"/>
      <c r="V118" s="99"/>
      <c r="W118" s="99"/>
      <c r="X118" s="99"/>
      <c r="Y118" s="99"/>
      <c r="Z118" s="99">
        <f>AA118</f>
        <v>980</v>
      </c>
      <c r="AA118" s="99">
        <v>980</v>
      </c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412"/>
    </row>
    <row r="119" spans="1:41" s="100" customFormat="1" hidden="1">
      <c r="A119" s="813"/>
      <c r="B119" s="456" t="s">
        <v>260</v>
      </c>
      <c r="C119" s="457"/>
      <c r="D119" s="457"/>
      <c r="E119" s="457"/>
      <c r="F119" s="457"/>
      <c r="G119" s="267"/>
      <c r="H119" s="267"/>
      <c r="I119" s="888"/>
      <c r="J119" s="810"/>
      <c r="K119" s="178"/>
      <c r="L119" s="178"/>
      <c r="M119" s="99"/>
      <c r="N119" s="99"/>
      <c r="O119" s="99"/>
      <c r="P119" s="99"/>
      <c r="Q119" s="99">
        <f>S119</f>
        <v>20</v>
      </c>
      <c r="R119" s="99">
        <f>S119</f>
        <v>20</v>
      </c>
      <c r="S119" s="99">
        <v>20</v>
      </c>
      <c r="T119" s="99"/>
      <c r="U119" s="99"/>
      <c r="V119" s="99"/>
      <c r="W119" s="99"/>
      <c r="X119" s="99"/>
      <c r="Y119" s="99"/>
      <c r="Z119" s="99">
        <f>AA119</f>
        <v>20</v>
      </c>
      <c r="AA119" s="99">
        <v>20</v>
      </c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412"/>
    </row>
    <row r="120" spans="1:41">
      <c r="A120" s="814"/>
      <c r="B120" s="23" t="s">
        <v>16</v>
      </c>
      <c r="C120" s="46"/>
      <c r="D120" s="46"/>
      <c r="E120" s="46"/>
      <c r="F120" s="46"/>
      <c r="G120" s="570">
        <v>2020</v>
      </c>
      <c r="H120" s="570">
        <v>2021</v>
      </c>
      <c r="I120" s="885"/>
      <c r="J120" s="811"/>
      <c r="K120" s="22"/>
      <c r="L120" s="22">
        <v>5022.96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178">
        <v>0</v>
      </c>
      <c r="Y120" s="178">
        <v>0</v>
      </c>
      <c r="Z120" s="22">
        <v>0</v>
      </c>
      <c r="AA120" s="22">
        <v>0</v>
      </c>
      <c r="AB120" s="22">
        <v>0</v>
      </c>
      <c r="AC120" s="22">
        <v>0</v>
      </c>
      <c r="AD120" s="22">
        <v>0</v>
      </c>
      <c r="AE120" s="22">
        <v>0</v>
      </c>
      <c r="AF120" s="22">
        <v>0</v>
      </c>
      <c r="AG120" s="22">
        <v>0</v>
      </c>
      <c r="AH120" s="22">
        <v>0</v>
      </c>
      <c r="AI120" s="22">
        <v>0</v>
      </c>
      <c r="AJ120" s="22">
        <v>0</v>
      </c>
      <c r="AK120" s="22">
        <v>0</v>
      </c>
      <c r="AL120" s="22">
        <v>0</v>
      </c>
      <c r="AM120" s="22">
        <v>0</v>
      </c>
      <c r="AN120" s="22">
        <v>0</v>
      </c>
      <c r="AO120" s="404"/>
    </row>
    <row r="121" spans="1:41" ht="15.75">
      <c r="A121" s="331" t="s">
        <v>13</v>
      </c>
      <c r="B121" s="596" t="s">
        <v>7</v>
      </c>
      <c r="C121" s="597"/>
      <c r="D121" s="597"/>
      <c r="E121" s="597"/>
      <c r="F121" s="597"/>
      <c r="G121" s="597"/>
      <c r="H121" s="597"/>
      <c r="I121" s="597"/>
      <c r="J121" s="597"/>
      <c r="K121" s="597"/>
      <c r="L121" s="598"/>
      <c r="M121" s="598"/>
      <c r="N121" s="598"/>
      <c r="O121" s="598"/>
      <c r="P121" s="598"/>
      <c r="Q121" s="598"/>
      <c r="R121" s="598"/>
      <c r="S121" s="598"/>
      <c r="T121" s="598"/>
      <c r="U121" s="598"/>
      <c r="V121" s="598"/>
      <c r="W121" s="598"/>
      <c r="X121" s="368"/>
      <c r="Y121" s="368"/>
      <c r="Z121" s="598"/>
      <c r="AA121" s="598"/>
      <c r="AB121" s="598"/>
      <c r="AC121" s="598"/>
      <c r="AD121" s="598"/>
      <c r="AE121" s="598"/>
      <c r="AF121" s="598"/>
      <c r="AG121" s="598"/>
      <c r="AH121" s="598"/>
      <c r="AI121" s="598"/>
      <c r="AJ121" s="598"/>
      <c r="AK121" s="598"/>
      <c r="AL121" s="598"/>
      <c r="AM121" s="598"/>
      <c r="AN121" s="598"/>
      <c r="AO121" s="414"/>
    </row>
    <row r="122" spans="1:41" s="390" customFormat="1" ht="13.5">
      <c r="A122" s="948"/>
      <c r="B122" s="949"/>
      <c r="C122" s="949"/>
      <c r="D122" s="949"/>
      <c r="E122" s="949"/>
      <c r="F122" s="949"/>
      <c r="G122" s="949"/>
      <c r="H122" s="950"/>
      <c r="I122" s="387" t="s">
        <v>21</v>
      </c>
      <c r="J122" s="388">
        <f t="shared" ref="J122:AN122" si="102">J123+J124+J125+J126</f>
        <v>165965.11999999997</v>
      </c>
      <c r="K122" s="388">
        <f t="shared" si="102"/>
        <v>25354.1</v>
      </c>
      <c r="L122" s="388">
        <f t="shared" si="102"/>
        <v>1042119.19</v>
      </c>
      <c r="M122" s="388">
        <f t="shared" si="102"/>
        <v>571026.48</v>
      </c>
      <c r="N122" s="389">
        <f t="shared" si="102"/>
        <v>616839.18000000005</v>
      </c>
      <c r="O122" s="388">
        <f t="shared" si="102"/>
        <v>391632.88</v>
      </c>
      <c r="P122" s="389">
        <f t="shared" si="102"/>
        <v>616839.18000000005</v>
      </c>
      <c r="Q122" s="389">
        <f>Q123+Q124+Q125+Q126</f>
        <v>66193.066999999995</v>
      </c>
      <c r="R122" s="389">
        <f t="shared" si="102"/>
        <v>15298.060000000001</v>
      </c>
      <c r="S122" s="389">
        <f t="shared" si="102"/>
        <v>15298.060000000001</v>
      </c>
      <c r="T122" s="389">
        <f t="shared" si="102"/>
        <v>22929.636999999999</v>
      </c>
      <c r="U122" s="389">
        <f t="shared" si="102"/>
        <v>20292.455999999998</v>
      </c>
      <c r="V122" s="389">
        <f t="shared" si="102"/>
        <v>4419.8019999999997</v>
      </c>
      <c r="W122" s="389">
        <f t="shared" si="102"/>
        <v>24539.931999999997</v>
      </c>
      <c r="X122" s="389">
        <f t="shared" si="102"/>
        <v>1031</v>
      </c>
      <c r="Y122" s="389">
        <f t="shared" si="102"/>
        <v>6062.6190000000006</v>
      </c>
      <c r="Z122" s="389">
        <f t="shared" si="102"/>
        <v>39873.67</v>
      </c>
      <c r="AA122" s="389">
        <f t="shared" si="102"/>
        <v>3947.02</v>
      </c>
      <c r="AB122" s="389">
        <f t="shared" si="102"/>
        <v>32629.109</v>
      </c>
      <c r="AC122" s="389">
        <f t="shared" si="102"/>
        <v>1504.922</v>
      </c>
      <c r="AD122" s="389">
        <f t="shared" si="102"/>
        <v>1792.6189999999999</v>
      </c>
      <c r="AE122" s="389">
        <f t="shared" si="102"/>
        <v>100666.13</v>
      </c>
      <c r="AF122" s="389">
        <f t="shared" si="102"/>
        <v>0</v>
      </c>
      <c r="AG122" s="389">
        <f t="shared" si="102"/>
        <v>26166.241999999998</v>
      </c>
      <c r="AH122" s="389">
        <f t="shared" si="102"/>
        <v>74499.888000000006</v>
      </c>
      <c r="AI122" s="389">
        <f t="shared" si="102"/>
        <v>0</v>
      </c>
      <c r="AJ122" s="389">
        <f t="shared" si="102"/>
        <v>49537.081000000006</v>
      </c>
      <c r="AK122" s="389">
        <f t="shared" si="102"/>
        <v>49537.081000000006</v>
      </c>
      <c r="AL122" s="389">
        <f t="shared" si="102"/>
        <v>232.17</v>
      </c>
      <c r="AM122" s="389">
        <f t="shared" si="102"/>
        <v>0</v>
      </c>
      <c r="AN122" s="389">
        <f t="shared" si="102"/>
        <v>0</v>
      </c>
      <c r="AO122" s="415"/>
    </row>
    <row r="123" spans="1:41" s="390" customFormat="1" ht="58.5" customHeight="1">
      <c r="A123" s="951"/>
      <c r="B123" s="952"/>
      <c r="C123" s="952"/>
      <c r="D123" s="952"/>
      <c r="E123" s="952"/>
      <c r="F123" s="952"/>
      <c r="G123" s="952"/>
      <c r="H123" s="953"/>
      <c r="I123" s="23" t="s">
        <v>19</v>
      </c>
      <c r="J123" s="73">
        <f t="shared" ref="J123:AN126" si="103">J127+J160+J184</f>
        <v>152888.53999999998</v>
      </c>
      <c r="K123" s="73">
        <f t="shared" si="103"/>
        <v>25354.1</v>
      </c>
      <c r="L123" s="3">
        <f>L127+L160+L184</f>
        <v>193023.18</v>
      </c>
      <c r="M123" s="3">
        <f t="shared" si="103"/>
        <v>42443.12</v>
      </c>
      <c r="N123" s="47">
        <f t="shared" si="103"/>
        <v>35331.160000000003</v>
      </c>
      <c r="O123" s="3">
        <f t="shared" si="103"/>
        <v>39893.15</v>
      </c>
      <c r="P123" s="47">
        <f>P127+P160+P184</f>
        <v>35331.160000000003</v>
      </c>
      <c r="Q123" s="47">
        <f>Q127+Q160+Q184</f>
        <v>51890.073999999993</v>
      </c>
      <c r="R123" s="47">
        <f t="shared" si="103"/>
        <v>12237.61</v>
      </c>
      <c r="S123" s="47">
        <f t="shared" si="103"/>
        <v>12237.61</v>
      </c>
      <c r="T123" s="47">
        <f t="shared" si="103"/>
        <v>17138.514999999999</v>
      </c>
      <c r="U123" s="47">
        <f t="shared" si="103"/>
        <v>14501.333999999999</v>
      </c>
      <c r="V123" s="47">
        <f t="shared" si="103"/>
        <v>0</v>
      </c>
      <c r="W123" s="47">
        <f t="shared" si="103"/>
        <v>20120.129999999997</v>
      </c>
      <c r="X123" s="47">
        <f t="shared" si="103"/>
        <v>31</v>
      </c>
      <c r="Y123" s="47">
        <f t="shared" si="103"/>
        <v>5031</v>
      </c>
      <c r="Z123" s="47">
        <f t="shared" si="103"/>
        <v>29272.482</v>
      </c>
      <c r="AA123" s="47">
        <f t="shared" si="103"/>
        <v>1971.25</v>
      </c>
      <c r="AB123" s="47">
        <f t="shared" si="103"/>
        <v>27270.232</v>
      </c>
      <c r="AC123" s="47">
        <f t="shared" si="103"/>
        <v>0</v>
      </c>
      <c r="AD123" s="47">
        <f t="shared" si="103"/>
        <v>31</v>
      </c>
      <c r="AE123" s="47">
        <f t="shared" si="103"/>
        <v>74499.888000000006</v>
      </c>
      <c r="AF123" s="47">
        <f t="shared" si="103"/>
        <v>0</v>
      </c>
      <c r="AG123" s="47">
        <f t="shared" si="103"/>
        <v>0</v>
      </c>
      <c r="AH123" s="47">
        <f t="shared" si="103"/>
        <v>74499.888000000006</v>
      </c>
      <c r="AI123" s="47">
        <f t="shared" si="103"/>
        <v>0</v>
      </c>
      <c r="AJ123" s="47">
        <f t="shared" si="103"/>
        <v>1968.92</v>
      </c>
      <c r="AK123" s="47">
        <f t="shared" si="103"/>
        <v>1968.92</v>
      </c>
      <c r="AL123" s="47">
        <f t="shared" si="103"/>
        <v>193.23</v>
      </c>
      <c r="AM123" s="47">
        <f t="shared" si="103"/>
        <v>0</v>
      </c>
      <c r="AN123" s="47">
        <f t="shared" si="103"/>
        <v>0</v>
      </c>
      <c r="AO123" s="403"/>
    </row>
    <row r="124" spans="1:41" s="390" customFormat="1" ht="45.75" customHeight="1">
      <c r="A124" s="951"/>
      <c r="B124" s="952"/>
      <c r="C124" s="952"/>
      <c r="D124" s="952"/>
      <c r="E124" s="952"/>
      <c r="F124" s="952"/>
      <c r="G124" s="952"/>
      <c r="H124" s="953"/>
      <c r="I124" s="15" t="s">
        <v>20</v>
      </c>
      <c r="J124" s="73">
        <f t="shared" si="103"/>
        <v>13076.579999999998</v>
      </c>
      <c r="K124" s="73">
        <f t="shared" si="103"/>
        <v>0</v>
      </c>
      <c r="L124" s="16">
        <f>L128+L161+L185+L193</f>
        <v>353562.91999999993</v>
      </c>
      <c r="M124" s="22">
        <f t="shared" ref="M124:AD125" si="104">M128+M161+M185+M193</f>
        <v>36205.620000000003</v>
      </c>
      <c r="N124" s="22">
        <f t="shared" si="104"/>
        <v>88280.380000000019</v>
      </c>
      <c r="O124" s="16">
        <f t="shared" si="104"/>
        <v>53996.09</v>
      </c>
      <c r="P124" s="47">
        <f t="shared" si="104"/>
        <v>88280.380000000019</v>
      </c>
      <c r="Q124" s="47">
        <f t="shared" si="104"/>
        <v>14302.993</v>
      </c>
      <c r="R124" s="22">
        <f t="shared" si="104"/>
        <v>3060.4500000000003</v>
      </c>
      <c r="S124" s="22">
        <f t="shared" si="104"/>
        <v>3060.4500000000003</v>
      </c>
      <c r="T124" s="22">
        <f t="shared" si="104"/>
        <v>5791.1220000000003</v>
      </c>
      <c r="U124" s="22">
        <f t="shared" si="104"/>
        <v>5791.1220000000003</v>
      </c>
      <c r="V124" s="22">
        <f t="shared" si="104"/>
        <v>4419.8019999999997</v>
      </c>
      <c r="W124" s="22">
        <f t="shared" si="104"/>
        <v>4419.8019999999997</v>
      </c>
      <c r="X124" s="22">
        <f t="shared" si="104"/>
        <v>1000</v>
      </c>
      <c r="Y124" s="22">
        <f t="shared" si="104"/>
        <v>1031.6190000000001</v>
      </c>
      <c r="Z124" s="22">
        <f t="shared" si="104"/>
        <v>10601.187999999998</v>
      </c>
      <c r="AA124" s="22">
        <f t="shared" si="104"/>
        <v>1975.77</v>
      </c>
      <c r="AB124" s="22">
        <f t="shared" si="104"/>
        <v>5358.8769999999995</v>
      </c>
      <c r="AC124" s="22">
        <f t="shared" si="104"/>
        <v>1504.922</v>
      </c>
      <c r="AD124" s="22">
        <f t="shared" si="104"/>
        <v>1761.6189999999999</v>
      </c>
      <c r="AE124" s="22">
        <f t="shared" si="103"/>
        <v>26166.241999999998</v>
      </c>
      <c r="AF124" s="22">
        <f t="shared" si="103"/>
        <v>0</v>
      </c>
      <c r="AG124" s="22">
        <f t="shared" si="103"/>
        <v>26166.241999999998</v>
      </c>
      <c r="AH124" s="22">
        <f t="shared" si="103"/>
        <v>0</v>
      </c>
      <c r="AI124" s="22">
        <f t="shared" si="103"/>
        <v>0</v>
      </c>
      <c r="AJ124" s="22">
        <f t="shared" si="103"/>
        <v>47568.161000000007</v>
      </c>
      <c r="AK124" s="22">
        <f t="shared" si="103"/>
        <v>47568.161000000007</v>
      </c>
      <c r="AL124" s="22">
        <f t="shared" si="103"/>
        <v>38.94</v>
      </c>
      <c r="AM124" s="22">
        <f t="shared" si="103"/>
        <v>0</v>
      </c>
      <c r="AN124" s="22">
        <f t="shared" si="103"/>
        <v>0</v>
      </c>
      <c r="AO124" s="404"/>
    </row>
    <row r="125" spans="1:41" s="390" customFormat="1" ht="28.5" customHeight="1">
      <c r="A125" s="951"/>
      <c r="B125" s="952"/>
      <c r="C125" s="952"/>
      <c r="D125" s="952"/>
      <c r="E125" s="952"/>
      <c r="F125" s="952"/>
      <c r="G125" s="952"/>
      <c r="H125" s="953"/>
      <c r="I125" s="15" t="s">
        <v>10</v>
      </c>
      <c r="J125" s="73">
        <f t="shared" si="103"/>
        <v>0</v>
      </c>
      <c r="K125" s="73">
        <f t="shared" si="103"/>
        <v>0</v>
      </c>
      <c r="L125" s="16">
        <f t="shared" ref="L125:M125" si="105">L129+L162+L186+L194</f>
        <v>495533.09</v>
      </c>
      <c r="M125" s="22">
        <f t="shared" si="105"/>
        <v>492377.74</v>
      </c>
      <c r="N125" s="22">
        <f>N129+N162+N186+N194</f>
        <v>493227.64</v>
      </c>
      <c r="O125" s="22">
        <f t="shared" si="104"/>
        <v>297742.64</v>
      </c>
      <c r="P125" s="22">
        <f>P129+P162+P186+P194</f>
        <v>493227.64</v>
      </c>
      <c r="Q125" s="22">
        <f t="shared" ref="Q125:AN126" si="106">Q129+Q162+Q186</f>
        <v>0</v>
      </c>
      <c r="R125" s="22">
        <f t="shared" si="106"/>
        <v>0</v>
      </c>
      <c r="S125" s="22">
        <f t="shared" si="106"/>
        <v>0</v>
      </c>
      <c r="T125" s="22">
        <f t="shared" si="106"/>
        <v>0</v>
      </c>
      <c r="U125" s="22">
        <f t="shared" si="106"/>
        <v>0</v>
      </c>
      <c r="V125" s="22">
        <f t="shared" si="106"/>
        <v>0</v>
      </c>
      <c r="W125" s="22">
        <f t="shared" si="106"/>
        <v>0</v>
      </c>
      <c r="X125" s="22">
        <f t="shared" si="106"/>
        <v>0</v>
      </c>
      <c r="Y125" s="22">
        <f t="shared" si="106"/>
        <v>0</v>
      </c>
      <c r="Z125" s="22">
        <f t="shared" si="106"/>
        <v>0</v>
      </c>
      <c r="AA125" s="22">
        <f t="shared" si="106"/>
        <v>0</v>
      </c>
      <c r="AB125" s="22">
        <f t="shared" si="106"/>
        <v>0</v>
      </c>
      <c r="AC125" s="22">
        <f t="shared" si="106"/>
        <v>0</v>
      </c>
      <c r="AD125" s="22">
        <f t="shared" si="106"/>
        <v>0</v>
      </c>
      <c r="AE125" s="22">
        <f t="shared" si="106"/>
        <v>0</v>
      </c>
      <c r="AF125" s="22">
        <f t="shared" si="103"/>
        <v>0</v>
      </c>
      <c r="AG125" s="22">
        <f t="shared" si="103"/>
        <v>0</v>
      </c>
      <c r="AH125" s="22">
        <f t="shared" si="103"/>
        <v>0</v>
      </c>
      <c r="AI125" s="22">
        <f t="shared" si="103"/>
        <v>0</v>
      </c>
      <c r="AJ125" s="22">
        <f t="shared" si="106"/>
        <v>0</v>
      </c>
      <c r="AK125" s="22">
        <f t="shared" si="106"/>
        <v>0</v>
      </c>
      <c r="AL125" s="22">
        <f t="shared" si="106"/>
        <v>0</v>
      </c>
      <c r="AM125" s="22">
        <f t="shared" si="106"/>
        <v>0</v>
      </c>
      <c r="AN125" s="22">
        <f t="shared" si="106"/>
        <v>0</v>
      </c>
      <c r="AO125" s="404"/>
    </row>
    <row r="126" spans="1:41" s="390" customFormat="1" ht="25.5" customHeight="1">
      <c r="A126" s="954"/>
      <c r="B126" s="955"/>
      <c r="C126" s="955"/>
      <c r="D126" s="955"/>
      <c r="E126" s="955"/>
      <c r="F126" s="955"/>
      <c r="G126" s="955"/>
      <c r="H126" s="956"/>
      <c r="I126" s="15" t="s">
        <v>9</v>
      </c>
      <c r="J126" s="73">
        <f t="shared" si="103"/>
        <v>0</v>
      </c>
      <c r="K126" s="73">
        <f t="shared" si="103"/>
        <v>0</v>
      </c>
      <c r="L126" s="16">
        <v>0</v>
      </c>
      <c r="M126" s="16">
        <f>M130+M163+M187</f>
        <v>0</v>
      </c>
      <c r="N126" s="22">
        <f>N130+N163+N187</f>
        <v>0</v>
      </c>
      <c r="O126" s="16">
        <f>O130+O163+O187</f>
        <v>1</v>
      </c>
      <c r="P126" s="47">
        <f>P130+P163+P187</f>
        <v>0</v>
      </c>
      <c r="Q126" s="22">
        <f t="shared" si="106"/>
        <v>0</v>
      </c>
      <c r="R126" s="22">
        <f t="shared" si="106"/>
        <v>0</v>
      </c>
      <c r="S126" s="22">
        <f t="shared" si="106"/>
        <v>0</v>
      </c>
      <c r="T126" s="22">
        <f t="shared" si="106"/>
        <v>0</v>
      </c>
      <c r="U126" s="22">
        <f t="shared" si="106"/>
        <v>0</v>
      </c>
      <c r="V126" s="22">
        <f t="shared" si="106"/>
        <v>0</v>
      </c>
      <c r="W126" s="22">
        <f t="shared" si="106"/>
        <v>0</v>
      </c>
      <c r="X126" s="22">
        <f t="shared" si="106"/>
        <v>0</v>
      </c>
      <c r="Y126" s="22">
        <f t="shared" si="106"/>
        <v>0</v>
      </c>
      <c r="Z126" s="22">
        <f t="shared" si="106"/>
        <v>0</v>
      </c>
      <c r="AA126" s="22">
        <f t="shared" si="106"/>
        <v>0</v>
      </c>
      <c r="AB126" s="22">
        <f t="shared" si="106"/>
        <v>0</v>
      </c>
      <c r="AC126" s="22">
        <f t="shared" si="106"/>
        <v>0</v>
      </c>
      <c r="AD126" s="22">
        <f t="shared" si="106"/>
        <v>0</v>
      </c>
      <c r="AE126" s="22">
        <f t="shared" si="106"/>
        <v>0</v>
      </c>
      <c r="AF126" s="22">
        <f t="shared" si="103"/>
        <v>0</v>
      </c>
      <c r="AG126" s="22">
        <f t="shared" si="103"/>
        <v>0</v>
      </c>
      <c r="AH126" s="22">
        <f t="shared" si="103"/>
        <v>0</v>
      </c>
      <c r="AI126" s="22">
        <f t="shared" si="103"/>
        <v>0</v>
      </c>
      <c r="AJ126" s="22">
        <f t="shared" si="106"/>
        <v>0</v>
      </c>
      <c r="AK126" s="22">
        <f t="shared" si="106"/>
        <v>0</v>
      </c>
      <c r="AL126" s="22">
        <f t="shared" si="106"/>
        <v>0</v>
      </c>
      <c r="AM126" s="22">
        <f t="shared" si="106"/>
        <v>0</v>
      </c>
      <c r="AN126" s="22">
        <f t="shared" si="106"/>
        <v>0</v>
      </c>
      <c r="AO126" s="404"/>
    </row>
    <row r="127" spans="1:41" ht="51.75" customHeight="1">
      <c r="A127" s="986" t="s">
        <v>27</v>
      </c>
      <c r="B127" s="921" t="s">
        <v>219</v>
      </c>
      <c r="C127" s="922"/>
      <c r="D127" s="922"/>
      <c r="E127" s="922"/>
      <c r="F127" s="922"/>
      <c r="G127" s="922"/>
      <c r="H127" s="923"/>
      <c r="I127" s="15" t="s">
        <v>19</v>
      </c>
      <c r="J127" s="16">
        <f>J131+J133+J136</f>
        <v>152888.53999999998</v>
      </c>
      <c r="K127" s="16">
        <f>K131+K133+K136</f>
        <v>25354.1</v>
      </c>
      <c r="L127" s="16">
        <f>L131+L133+L136+L145+L149+L152</f>
        <v>193023.18</v>
      </c>
      <c r="M127" s="16">
        <f t="shared" ref="M127" si="107">M131+M133+M136+M145+M149+M152</f>
        <v>42443.12</v>
      </c>
      <c r="N127" s="22">
        <f>N131+N133+N136+N145+N149+N152</f>
        <v>35331.160000000003</v>
      </c>
      <c r="O127" s="16">
        <f t="shared" ref="O127" si="108">O131+O133+O136+O145+O149+O151</f>
        <v>39892.15</v>
      </c>
      <c r="P127" s="22">
        <f>P131+P133+P136+P145+P149+P152</f>
        <v>35331.160000000003</v>
      </c>
      <c r="Q127" s="22">
        <f>Q131+Q133+Q136+Q145+Q149+Q151</f>
        <v>51890.073999999993</v>
      </c>
      <c r="R127" s="22">
        <f t="shared" ref="R127:Z127" si="109">R131+R133+R136+R145+R149+R151</f>
        <v>12237.61</v>
      </c>
      <c r="S127" s="22">
        <f t="shared" si="109"/>
        <v>12237.61</v>
      </c>
      <c r="T127" s="22">
        <f t="shared" si="109"/>
        <v>17138.514999999999</v>
      </c>
      <c r="U127" s="22">
        <f t="shared" si="109"/>
        <v>14501.333999999999</v>
      </c>
      <c r="V127" s="22">
        <f t="shared" si="109"/>
        <v>0</v>
      </c>
      <c r="W127" s="22">
        <f t="shared" si="109"/>
        <v>20120.129999999997</v>
      </c>
      <c r="X127" s="22">
        <f t="shared" si="109"/>
        <v>31</v>
      </c>
      <c r="Y127" s="22">
        <f t="shared" si="109"/>
        <v>5031</v>
      </c>
      <c r="Z127" s="22">
        <f t="shared" si="109"/>
        <v>29272.482</v>
      </c>
      <c r="AA127" s="22">
        <f>AA131+AA133+AA136+AA145+AA149+AA151</f>
        <v>1971.25</v>
      </c>
      <c r="AB127" s="22">
        <f>AB131+AB133+AB136+AB145+AB149+AB151</f>
        <v>27270.232</v>
      </c>
      <c r="AC127" s="22">
        <f t="shared" ref="AC127:AD127" si="110">AC131+AC133+AC136+AC145+AC149+AC151</f>
        <v>0</v>
      </c>
      <c r="AD127" s="22">
        <f t="shared" si="110"/>
        <v>31</v>
      </c>
      <c r="AE127" s="22">
        <f t="shared" ref="AE127:AN127" si="111">AE131+AE133+AE136</f>
        <v>74499.888000000006</v>
      </c>
      <c r="AF127" s="22">
        <f t="shared" si="111"/>
        <v>0</v>
      </c>
      <c r="AG127" s="22">
        <f t="shared" si="111"/>
        <v>0</v>
      </c>
      <c r="AH127" s="22">
        <f t="shared" si="111"/>
        <v>74499.888000000006</v>
      </c>
      <c r="AI127" s="22">
        <f t="shared" si="111"/>
        <v>0</v>
      </c>
      <c r="AJ127" s="22">
        <f t="shared" si="111"/>
        <v>1968.92</v>
      </c>
      <c r="AK127" s="22">
        <f t="shared" si="111"/>
        <v>1968.92</v>
      </c>
      <c r="AL127" s="22">
        <f t="shared" si="111"/>
        <v>193.23</v>
      </c>
      <c r="AM127" s="22">
        <f t="shared" si="111"/>
        <v>0</v>
      </c>
      <c r="AN127" s="22">
        <f t="shared" si="111"/>
        <v>0</v>
      </c>
      <c r="AO127" s="404"/>
    </row>
    <row r="128" spans="1:41" ht="47.25" customHeight="1">
      <c r="A128" s="987"/>
      <c r="B128" s="924"/>
      <c r="C128" s="925"/>
      <c r="D128" s="925"/>
      <c r="E128" s="925"/>
      <c r="F128" s="925"/>
      <c r="G128" s="925"/>
      <c r="H128" s="926"/>
      <c r="I128" s="15" t="s">
        <v>20</v>
      </c>
      <c r="J128" s="16">
        <v>0</v>
      </c>
      <c r="K128" s="16">
        <v>0</v>
      </c>
      <c r="L128" s="16">
        <f t="shared" si="94"/>
        <v>0</v>
      </c>
      <c r="M128" s="16">
        <v>0</v>
      </c>
      <c r="N128" s="22">
        <v>0</v>
      </c>
      <c r="O128" s="16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0</v>
      </c>
      <c r="Y128" s="22">
        <v>0</v>
      </c>
      <c r="Z128" s="22">
        <v>0</v>
      </c>
      <c r="AA128" s="22">
        <v>0</v>
      </c>
      <c r="AB128" s="22">
        <v>0</v>
      </c>
      <c r="AC128" s="22">
        <v>0</v>
      </c>
      <c r="AD128" s="22">
        <v>0</v>
      </c>
      <c r="AE128" s="22">
        <v>0</v>
      </c>
      <c r="AF128" s="22">
        <v>0</v>
      </c>
      <c r="AG128" s="22">
        <v>0</v>
      </c>
      <c r="AH128" s="22">
        <v>0</v>
      </c>
      <c r="AI128" s="22">
        <v>0</v>
      </c>
      <c r="AJ128" s="22">
        <v>0</v>
      </c>
      <c r="AK128" s="22">
        <v>0</v>
      </c>
      <c r="AL128" s="22">
        <v>0</v>
      </c>
      <c r="AM128" s="22">
        <v>0</v>
      </c>
      <c r="AN128" s="22">
        <v>0</v>
      </c>
      <c r="AO128" s="404"/>
    </row>
    <row r="129" spans="1:41" ht="28.5" customHeight="1">
      <c r="A129" s="987"/>
      <c r="B129" s="924"/>
      <c r="C129" s="925"/>
      <c r="D129" s="925"/>
      <c r="E129" s="925"/>
      <c r="F129" s="925"/>
      <c r="G129" s="925"/>
      <c r="H129" s="926"/>
      <c r="I129" s="15" t="s">
        <v>10</v>
      </c>
      <c r="J129" s="16">
        <v>0</v>
      </c>
      <c r="K129" s="16">
        <v>0</v>
      </c>
      <c r="L129" s="16">
        <f>L158</f>
        <v>195485</v>
      </c>
      <c r="M129" s="16">
        <f t="shared" ref="M129:N129" si="112">M158</f>
        <v>195485</v>
      </c>
      <c r="N129" s="22">
        <f t="shared" si="112"/>
        <v>195485</v>
      </c>
      <c r="O129" s="16">
        <v>0</v>
      </c>
      <c r="P129" s="22">
        <f>P158</f>
        <v>195485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  <c r="V129" s="22">
        <v>0</v>
      </c>
      <c r="W129" s="22">
        <v>0</v>
      </c>
      <c r="X129" s="22">
        <v>0</v>
      </c>
      <c r="Y129" s="22">
        <v>0</v>
      </c>
      <c r="Z129" s="22">
        <v>0</v>
      </c>
      <c r="AA129" s="22">
        <v>0</v>
      </c>
      <c r="AB129" s="22">
        <v>0</v>
      </c>
      <c r="AC129" s="22">
        <v>0</v>
      </c>
      <c r="AD129" s="22">
        <v>0</v>
      </c>
      <c r="AE129" s="22">
        <v>0</v>
      </c>
      <c r="AF129" s="22">
        <v>0</v>
      </c>
      <c r="AG129" s="22">
        <v>0</v>
      </c>
      <c r="AH129" s="22">
        <v>0</v>
      </c>
      <c r="AI129" s="22">
        <v>0</v>
      </c>
      <c r="AJ129" s="22">
        <v>0</v>
      </c>
      <c r="AK129" s="22">
        <v>0</v>
      </c>
      <c r="AL129" s="22">
        <v>0</v>
      </c>
      <c r="AM129" s="22">
        <v>0</v>
      </c>
      <c r="AN129" s="22">
        <v>0</v>
      </c>
      <c r="AO129" s="404"/>
    </row>
    <row r="130" spans="1:41" ht="25.5" customHeight="1">
      <c r="A130" s="988"/>
      <c r="B130" s="927"/>
      <c r="C130" s="928"/>
      <c r="D130" s="928"/>
      <c r="E130" s="928"/>
      <c r="F130" s="928"/>
      <c r="G130" s="928"/>
      <c r="H130" s="929"/>
      <c r="I130" s="15" t="s">
        <v>9</v>
      </c>
      <c r="J130" s="16">
        <v>0</v>
      </c>
      <c r="K130" s="16">
        <v>0</v>
      </c>
      <c r="L130" s="16">
        <f t="shared" si="94"/>
        <v>0</v>
      </c>
      <c r="M130" s="16">
        <v>0</v>
      </c>
      <c r="N130" s="22">
        <v>0</v>
      </c>
      <c r="O130" s="16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0</v>
      </c>
      <c r="X130" s="22">
        <v>0</v>
      </c>
      <c r="Y130" s="22">
        <v>0</v>
      </c>
      <c r="Z130" s="22">
        <v>0</v>
      </c>
      <c r="AA130" s="22">
        <v>0</v>
      </c>
      <c r="AB130" s="22">
        <v>0</v>
      </c>
      <c r="AC130" s="22">
        <v>0</v>
      </c>
      <c r="AD130" s="22">
        <v>0</v>
      </c>
      <c r="AE130" s="22">
        <v>0</v>
      </c>
      <c r="AF130" s="22">
        <v>0</v>
      </c>
      <c r="AG130" s="22">
        <v>0</v>
      </c>
      <c r="AH130" s="22">
        <v>0</v>
      </c>
      <c r="AI130" s="22">
        <v>0</v>
      </c>
      <c r="AJ130" s="22">
        <v>0</v>
      </c>
      <c r="AK130" s="22">
        <v>0</v>
      </c>
      <c r="AL130" s="22">
        <v>0</v>
      </c>
      <c r="AM130" s="22">
        <v>0</v>
      </c>
      <c r="AN130" s="22">
        <v>0</v>
      </c>
      <c r="AO130" s="404"/>
    </row>
    <row r="131" spans="1:41" ht="52.5" customHeight="1">
      <c r="A131" s="828" t="s">
        <v>34</v>
      </c>
      <c r="B131" s="80" t="s">
        <v>38</v>
      </c>
      <c r="C131" s="935"/>
      <c r="D131" s="935"/>
      <c r="E131" s="935"/>
      <c r="F131" s="898">
        <v>220000</v>
      </c>
      <c r="G131" s="932">
        <v>2018</v>
      </c>
      <c r="H131" s="932">
        <v>2021</v>
      </c>
      <c r="I131" s="884" t="s">
        <v>19</v>
      </c>
      <c r="J131" s="882">
        <v>66036</v>
      </c>
      <c r="K131" s="882">
        <v>16509</v>
      </c>
      <c r="L131" s="85">
        <f>L132</f>
        <v>67541.3</v>
      </c>
      <c r="M131" s="85">
        <f>M132</f>
        <v>16509</v>
      </c>
      <c r="N131" s="85">
        <f t="shared" ref="N131:O131" si="113">N132</f>
        <v>800</v>
      </c>
      <c r="O131" s="85">
        <f t="shared" si="113"/>
        <v>6409</v>
      </c>
      <c r="P131" s="85">
        <f t="shared" ref="P131:P137" si="114">N131</f>
        <v>800</v>
      </c>
      <c r="Q131" s="85">
        <f t="shared" ref="Q131:AN131" si="115">Q132</f>
        <v>0</v>
      </c>
      <c r="R131" s="85">
        <f t="shared" si="115"/>
        <v>0</v>
      </c>
      <c r="S131" s="85">
        <f t="shared" si="115"/>
        <v>0</v>
      </c>
      <c r="T131" s="85">
        <f t="shared" si="115"/>
        <v>0</v>
      </c>
      <c r="U131" s="85">
        <f t="shared" si="115"/>
        <v>0</v>
      </c>
      <c r="V131" s="85">
        <f t="shared" si="115"/>
        <v>0</v>
      </c>
      <c r="W131" s="85">
        <f t="shared" si="115"/>
        <v>0</v>
      </c>
      <c r="X131" s="85">
        <f t="shared" si="115"/>
        <v>0</v>
      </c>
      <c r="Y131" s="85">
        <f t="shared" si="115"/>
        <v>0</v>
      </c>
      <c r="Z131" s="85">
        <f t="shared" si="115"/>
        <v>0</v>
      </c>
      <c r="AA131" s="85">
        <f t="shared" si="115"/>
        <v>0</v>
      </c>
      <c r="AB131" s="85">
        <f t="shared" si="115"/>
        <v>0</v>
      </c>
      <c r="AC131" s="85">
        <f t="shared" si="115"/>
        <v>0</v>
      </c>
      <c r="AD131" s="85">
        <f t="shared" si="115"/>
        <v>0</v>
      </c>
      <c r="AE131" s="85">
        <f t="shared" si="115"/>
        <v>0</v>
      </c>
      <c r="AF131" s="85">
        <f t="shared" si="115"/>
        <v>0</v>
      </c>
      <c r="AG131" s="85">
        <f t="shared" si="115"/>
        <v>0</v>
      </c>
      <c r="AH131" s="85">
        <f t="shared" si="115"/>
        <v>0</v>
      </c>
      <c r="AI131" s="85">
        <f t="shared" si="115"/>
        <v>0</v>
      </c>
      <c r="AJ131" s="82">
        <f>P131-Q131</f>
        <v>800</v>
      </c>
      <c r="AK131" s="82">
        <f>AJ131</f>
        <v>800</v>
      </c>
      <c r="AL131" s="79">
        <f>ROUND((Q131*100%/P131*100),2)</f>
        <v>0</v>
      </c>
      <c r="AM131" s="85">
        <f t="shared" si="115"/>
        <v>0</v>
      </c>
      <c r="AN131" s="85">
        <f t="shared" si="115"/>
        <v>0</v>
      </c>
      <c r="AO131" s="434" t="s">
        <v>250</v>
      </c>
    </row>
    <row r="132" spans="1:41" ht="18" customHeight="1">
      <c r="A132" s="887"/>
      <c r="B132" s="563" t="s">
        <v>39</v>
      </c>
      <c r="C132" s="936"/>
      <c r="D132" s="936"/>
      <c r="E132" s="936"/>
      <c r="F132" s="931"/>
      <c r="G132" s="933"/>
      <c r="H132" s="933"/>
      <c r="I132" s="885"/>
      <c r="J132" s="883"/>
      <c r="K132" s="883"/>
      <c r="L132" s="75">
        <v>67541.3</v>
      </c>
      <c r="M132" s="86">
        <v>16509</v>
      </c>
      <c r="N132" s="86">
        <v>800</v>
      </c>
      <c r="O132" s="86">
        <v>6409</v>
      </c>
      <c r="P132" s="86">
        <f t="shared" si="114"/>
        <v>800</v>
      </c>
      <c r="Q132" s="86">
        <v>0</v>
      </c>
      <c r="R132" s="86">
        <v>0</v>
      </c>
      <c r="S132" s="86">
        <v>0</v>
      </c>
      <c r="T132" s="86">
        <v>0</v>
      </c>
      <c r="U132" s="86">
        <v>0</v>
      </c>
      <c r="V132" s="86">
        <v>0</v>
      </c>
      <c r="W132" s="86">
        <v>0</v>
      </c>
      <c r="X132" s="86">
        <v>0</v>
      </c>
      <c r="Y132" s="86">
        <v>0</v>
      </c>
      <c r="Z132" s="86">
        <v>0</v>
      </c>
      <c r="AA132" s="86">
        <v>0</v>
      </c>
      <c r="AB132" s="86">
        <v>0</v>
      </c>
      <c r="AC132" s="86">
        <v>0</v>
      </c>
      <c r="AD132" s="86">
        <v>0</v>
      </c>
      <c r="AE132" s="86">
        <v>0</v>
      </c>
      <c r="AF132" s="86">
        <v>0</v>
      </c>
      <c r="AG132" s="86">
        <v>0</v>
      </c>
      <c r="AH132" s="86">
        <v>0</v>
      </c>
      <c r="AI132" s="86">
        <v>0</v>
      </c>
      <c r="AJ132" s="86">
        <v>0</v>
      </c>
      <c r="AK132" s="86">
        <v>0</v>
      </c>
      <c r="AL132" s="86">
        <v>0</v>
      </c>
      <c r="AM132" s="86">
        <v>0</v>
      </c>
      <c r="AN132" s="86">
        <v>0</v>
      </c>
      <c r="AO132" s="416"/>
    </row>
    <row r="133" spans="1:41" ht="27.75" customHeight="1">
      <c r="A133" s="828" t="s">
        <v>42</v>
      </c>
      <c r="B133" s="80" t="s">
        <v>210</v>
      </c>
      <c r="C133" s="48"/>
      <c r="D133" s="48"/>
      <c r="E133" s="48"/>
      <c r="F133" s="898">
        <v>2400</v>
      </c>
      <c r="G133" s="48"/>
      <c r="H133" s="48"/>
      <c r="I133" s="837" t="s">
        <v>19</v>
      </c>
      <c r="J133" s="24">
        <v>12351.86</v>
      </c>
      <c r="K133" s="24">
        <f>K134+K135</f>
        <v>8845.1</v>
      </c>
      <c r="L133" s="82">
        <f>L134+L135</f>
        <v>25182.28</v>
      </c>
      <c r="M133" s="82">
        <f>M135+M134</f>
        <v>1753.38</v>
      </c>
      <c r="N133" s="82">
        <f t="shared" ref="N133:O133" si="116">N135+N134</f>
        <v>1168.92</v>
      </c>
      <c r="O133" s="82">
        <f t="shared" si="116"/>
        <v>997.45</v>
      </c>
      <c r="P133" s="82">
        <f t="shared" si="114"/>
        <v>1168.92</v>
      </c>
      <c r="Q133" s="82">
        <f t="shared" ref="Q133:AN133" si="117">Q135+Q134</f>
        <v>0</v>
      </c>
      <c r="R133" s="82">
        <f t="shared" si="117"/>
        <v>0</v>
      </c>
      <c r="S133" s="82">
        <f t="shared" si="117"/>
        <v>0</v>
      </c>
      <c r="T133" s="82">
        <f t="shared" si="117"/>
        <v>0</v>
      </c>
      <c r="U133" s="82">
        <f t="shared" si="117"/>
        <v>0</v>
      </c>
      <c r="V133" s="82">
        <f t="shared" si="117"/>
        <v>0</v>
      </c>
      <c r="W133" s="82">
        <f t="shared" si="117"/>
        <v>0</v>
      </c>
      <c r="X133" s="82">
        <f t="shared" si="117"/>
        <v>0</v>
      </c>
      <c r="Y133" s="82">
        <f t="shared" si="117"/>
        <v>0</v>
      </c>
      <c r="Z133" s="82">
        <f t="shared" si="117"/>
        <v>0</v>
      </c>
      <c r="AA133" s="82">
        <f t="shared" si="117"/>
        <v>0</v>
      </c>
      <c r="AB133" s="82">
        <f t="shared" si="117"/>
        <v>0</v>
      </c>
      <c r="AC133" s="82">
        <f t="shared" si="117"/>
        <v>0</v>
      </c>
      <c r="AD133" s="82">
        <f t="shared" si="117"/>
        <v>0</v>
      </c>
      <c r="AE133" s="82">
        <f t="shared" si="117"/>
        <v>0</v>
      </c>
      <c r="AF133" s="82">
        <f t="shared" si="117"/>
        <v>0</v>
      </c>
      <c r="AG133" s="82">
        <f t="shared" si="117"/>
        <v>0</v>
      </c>
      <c r="AH133" s="82">
        <f t="shared" si="117"/>
        <v>0</v>
      </c>
      <c r="AI133" s="82">
        <f t="shared" si="117"/>
        <v>0</v>
      </c>
      <c r="AJ133" s="82">
        <f>P133-Q133</f>
        <v>1168.92</v>
      </c>
      <c r="AK133" s="82">
        <f>AJ133</f>
        <v>1168.92</v>
      </c>
      <c r="AL133" s="79">
        <f>ROUND((Q133*100%/P133*100),2)</f>
        <v>0</v>
      </c>
      <c r="AM133" s="82">
        <f t="shared" si="117"/>
        <v>0</v>
      </c>
      <c r="AN133" s="82">
        <f t="shared" si="117"/>
        <v>0</v>
      </c>
      <c r="AO133" s="417" t="s">
        <v>247</v>
      </c>
    </row>
    <row r="134" spans="1:41" ht="16.5" customHeight="1">
      <c r="A134" s="886"/>
      <c r="B134" s="1" t="s">
        <v>15</v>
      </c>
      <c r="C134" s="48"/>
      <c r="D134" s="48"/>
      <c r="E134" s="48"/>
      <c r="F134" s="899"/>
      <c r="G134" s="586">
        <v>2018</v>
      </c>
      <c r="H134" s="586">
        <v>2018</v>
      </c>
      <c r="I134" s="838"/>
      <c r="J134" s="27">
        <v>1815.76</v>
      </c>
      <c r="K134" s="27">
        <v>1815.76</v>
      </c>
      <c r="L134" s="22">
        <v>2458.14</v>
      </c>
      <c r="M134" s="22">
        <v>0</v>
      </c>
      <c r="N134" s="22">
        <v>412.99</v>
      </c>
      <c r="O134" s="22">
        <v>0</v>
      </c>
      <c r="P134" s="22">
        <f t="shared" si="114"/>
        <v>412.99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  <c r="V134" s="22">
        <v>0</v>
      </c>
      <c r="W134" s="22">
        <v>0</v>
      </c>
      <c r="X134" s="22">
        <v>0</v>
      </c>
      <c r="Y134" s="22">
        <v>0</v>
      </c>
      <c r="Z134" s="22">
        <v>0</v>
      </c>
      <c r="AA134" s="22">
        <v>0</v>
      </c>
      <c r="AB134" s="22">
        <v>0</v>
      </c>
      <c r="AC134" s="22">
        <v>0</v>
      </c>
      <c r="AD134" s="22">
        <v>0</v>
      </c>
      <c r="AE134" s="22">
        <v>0</v>
      </c>
      <c r="AF134" s="22">
        <v>0</v>
      </c>
      <c r="AG134" s="22">
        <v>0</v>
      </c>
      <c r="AH134" s="22">
        <v>0</v>
      </c>
      <c r="AI134" s="22">
        <v>0</v>
      </c>
      <c r="AJ134" s="22">
        <v>0</v>
      </c>
      <c r="AK134" s="22">
        <v>0</v>
      </c>
      <c r="AL134" s="22">
        <v>0</v>
      </c>
      <c r="AM134" s="22">
        <v>0</v>
      </c>
      <c r="AN134" s="22">
        <v>0</v>
      </c>
      <c r="AO134" s="418"/>
    </row>
    <row r="135" spans="1:41" ht="14.25" customHeight="1">
      <c r="A135" s="887"/>
      <c r="B135" s="1" t="s">
        <v>32</v>
      </c>
      <c r="C135" s="48"/>
      <c r="D135" s="48"/>
      <c r="E135" s="48"/>
      <c r="F135" s="900"/>
      <c r="G135" s="586">
        <v>2018</v>
      </c>
      <c r="H135" s="586">
        <v>2021</v>
      </c>
      <c r="I135" s="840"/>
      <c r="J135" s="27">
        <v>10536.1</v>
      </c>
      <c r="K135" s="27">
        <v>7029.34</v>
      </c>
      <c r="L135" s="22">
        <v>22724.14</v>
      </c>
      <c r="M135" s="22">
        <v>1753.38</v>
      </c>
      <c r="N135" s="22">
        <v>755.93</v>
      </c>
      <c r="O135" s="22">
        <v>997.45</v>
      </c>
      <c r="P135" s="22">
        <f t="shared" si="114"/>
        <v>755.93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  <c r="V135" s="22">
        <v>0</v>
      </c>
      <c r="W135" s="22">
        <v>0</v>
      </c>
      <c r="X135" s="22">
        <v>0</v>
      </c>
      <c r="Y135" s="22">
        <v>0</v>
      </c>
      <c r="Z135" s="22">
        <v>0</v>
      </c>
      <c r="AA135" s="22">
        <v>0</v>
      </c>
      <c r="AB135" s="22">
        <v>0</v>
      </c>
      <c r="AC135" s="22">
        <v>0</v>
      </c>
      <c r="AD135" s="22">
        <v>0</v>
      </c>
      <c r="AE135" s="22">
        <v>0</v>
      </c>
      <c r="AF135" s="22">
        <v>0</v>
      </c>
      <c r="AG135" s="22">
        <v>0</v>
      </c>
      <c r="AH135" s="22">
        <v>0</v>
      </c>
      <c r="AI135" s="22">
        <v>0</v>
      </c>
      <c r="AJ135" s="22">
        <v>0</v>
      </c>
      <c r="AK135" s="22">
        <v>0</v>
      </c>
      <c r="AL135" s="22">
        <v>0</v>
      </c>
      <c r="AM135" s="22">
        <v>0</v>
      </c>
      <c r="AN135" s="22">
        <v>0</v>
      </c>
      <c r="AO135" s="404"/>
    </row>
    <row r="136" spans="1:41" ht="45.75" customHeight="1">
      <c r="A136" s="832" t="s">
        <v>63</v>
      </c>
      <c r="B136" s="80" t="s">
        <v>66</v>
      </c>
      <c r="C136" s="901"/>
      <c r="D136" s="901"/>
      <c r="E136" s="901"/>
      <c r="F136" s="1010"/>
      <c r="G136" s="930">
        <v>2019</v>
      </c>
      <c r="H136" s="915">
        <v>2021</v>
      </c>
      <c r="I136" s="910" t="s">
        <v>19</v>
      </c>
      <c r="J136" s="911">
        <f>K136+L136</f>
        <v>74500.679999999993</v>
      </c>
      <c r="K136" s="957">
        <v>0</v>
      </c>
      <c r="L136" s="81">
        <f>L137</f>
        <v>74500.679999999993</v>
      </c>
      <c r="M136" s="81">
        <f>M137</f>
        <v>24180.74</v>
      </c>
      <c r="N136" s="85">
        <v>24180.74</v>
      </c>
      <c r="O136" s="85">
        <v>24180.73</v>
      </c>
      <c r="P136" s="85">
        <f t="shared" si="114"/>
        <v>24180.74</v>
      </c>
      <c r="Q136" s="85">
        <f>Q137</f>
        <v>46725.593999999997</v>
      </c>
      <c r="R136" s="85">
        <f t="shared" ref="R136:W136" si="118">R137</f>
        <v>12237.61</v>
      </c>
      <c r="S136" s="85">
        <f t="shared" si="118"/>
        <v>12237.61</v>
      </c>
      <c r="T136" s="85">
        <f t="shared" si="118"/>
        <v>16005.035</v>
      </c>
      <c r="U136" s="85">
        <f t="shared" si="118"/>
        <v>13367.853999999999</v>
      </c>
      <c r="V136" s="85">
        <f t="shared" si="118"/>
        <v>0</v>
      </c>
      <c r="W136" s="85">
        <f t="shared" si="118"/>
        <v>16120.13</v>
      </c>
      <c r="X136" s="85">
        <f>X137</f>
        <v>0</v>
      </c>
      <c r="Y136" s="85">
        <f>Y137</f>
        <v>5000</v>
      </c>
      <c r="Z136" s="85">
        <f>Z137</f>
        <v>21108</v>
      </c>
      <c r="AA136" s="85">
        <f>AA137</f>
        <v>1971.25</v>
      </c>
      <c r="AB136" s="85">
        <f>AB137</f>
        <v>19136.75</v>
      </c>
      <c r="AC136" s="85">
        <f t="shared" ref="AC136:AN136" si="119">AC137</f>
        <v>0</v>
      </c>
      <c r="AD136" s="85">
        <f t="shared" si="119"/>
        <v>0</v>
      </c>
      <c r="AE136" s="85">
        <f t="shared" si="119"/>
        <v>74499.888000000006</v>
      </c>
      <c r="AF136" s="85">
        <f t="shared" si="119"/>
        <v>0</v>
      </c>
      <c r="AG136" s="85">
        <f t="shared" si="119"/>
        <v>0</v>
      </c>
      <c r="AH136" s="85">
        <f t="shared" si="119"/>
        <v>74499.888000000006</v>
      </c>
      <c r="AI136" s="85">
        <f t="shared" si="119"/>
        <v>0</v>
      </c>
      <c r="AJ136" s="82">
        <v>0</v>
      </c>
      <c r="AK136" s="82">
        <f>AJ136</f>
        <v>0</v>
      </c>
      <c r="AL136" s="79">
        <f>ROUND((Q136*100%/P136*100),2)</f>
        <v>193.23</v>
      </c>
      <c r="AM136" s="85">
        <f t="shared" si="119"/>
        <v>0</v>
      </c>
      <c r="AN136" s="85">
        <f t="shared" si="119"/>
        <v>0</v>
      </c>
      <c r="AO136" s="434" t="s">
        <v>306</v>
      </c>
    </row>
    <row r="137" spans="1:41" ht="18" customHeight="1">
      <c r="A137" s="827"/>
      <c r="B137" s="1" t="s">
        <v>16</v>
      </c>
      <c r="C137" s="901"/>
      <c r="D137" s="901"/>
      <c r="E137" s="901"/>
      <c r="F137" s="1010"/>
      <c r="G137" s="930"/>
      <c r="H137" s="916"/>
      <c r="I137" s="910"/>
      <c r="J137" s="911"/>
      <c r="K137" s="958"/>
      <c r="L137" s="75">
        <v>74500.679999999993</v>
      </c>
      <c r="M137" s="86">
        <v>24180.74</v>
      </c>
      <c r="N137" s="86">
        <v>24180.74</v>
      </c>
      <c r="O137" s="86">
        <v>13819.52</v>
      </c>
      <c r="P137" s="86">
        <f t="shared" si="114"/>
        <v>24180.74</v>
      </c>
      <c r="Q137" s="86">
        <f>SUM(Q138:Q144)</f>
        <v>46725.593999999997</v>
      </c>
      <c r="R137" s="86">
        <f t="shared" ref="R137:W137" si="120">SUM(R138:R144)</f>
        <v>12237.61</v>
      </c>
      <c r="S137" s="86">
        <f t="shared" si="120"/>
        <v>12237.61</v>
      </c>
      <c r="T137" s="86">
        <f t="shared" si="120"/>
        <v>16005.035</v>
      </c>
      <c r="U137" s="86">
        <f t="shared" si="120"/>
        <v>13367.853999999999</v>
      </c>
      <c r="V137" s="86">
        <f t="shared" si="120"/>
        <v>0</v>
      </c>
      <c r="W137" s="86">
        <f t="shared" si="120"/>
        <v>16120.13</v>
      </c>
      <c r="X137" s="86">
        <v>0</v>
      </c>
      <c r="Y137" s="86">
        <f>SUM(Y138:Y144)</f>
        <v>5000</v>
      </c>
      <c r="Z137" s="86">
        <f>SUM(Z138:Z144)</f>
        <v>21108</v>
      </c>
      <c r="AA137" s="86">
        <f>SUM(AA138:AA144)</f>
        <v>1971.25</v>
      </c>
      <c r="AB137" s="86">
        <f>SUM(AB138:AB144)</f>
        <v>19136.75</v>
      </c>
      <c r="AC137" s="86">
        <f t="shared" ref="AC137:AD137" si="121">SUM(AC138:AC144)</f>
        <v>0</v>
      </c>
      <c r="AD137" s="86">
        <f t="shared" si="121"/>
        <v>0</v>
      </c>
      <c r="AE137" s="86">
        <f>SUM(AF137:AH137)</f>
        <v>74499.888000000006</v>
      </c>
      <c r="AF137" s="86">
        <f t="shared" ref="AF137:AG137" si="122">SUM(AF138:AF144)</f>
        <v>0</v>
      </c>
      <c r="AG137" s="86">
        <f t="shared" si="122"/>
        <v>0</v>
      </c>
      <c r="AH137" s="86">
        <v>74499.888000000006</v>
      </c>
      <c r="AI137" s="86">
        <v>0</v>
      </c>
      <c r="AJ137" s="86">
        <f t="shared" ref="AJ137:AN137" si="123">SUM(AJ138:AJ144)</f>
        <v>0</v>
      </c>
      <c r="AK137" s="86">
        <f t="shared" si="123"/>
        <v>0</v>
      </c>
      <c r="AL137" s="86">
        <f t="shared" si="123"/>
        <v>0</v>
      </c>
      <c r="AM137" s="86">
        <f t="shared" si="123"/>
        <v>0</v>
      </c>
      <c r="AN137" s="86">
        <f t="shared" si="123"/>
        <v>0</v>
      </c>
      <c r="AO137" s="416"/>
    </row>
    <row r="138" spans="1:41" s="100" customFormat="1" ht="18" hidden="1" customHeight="1">
      <c r="A138" s="332"/>
      <c r="B138" s="257" t="s">
        <v>154</v>
      </c>
      <c r="C138" s="258"/>
      <c r="D138" s="258"/>
      <c r="E138" s="258"/>
      <c r="F138" s="259"/>
      <c r="G138" s="260"/>
      <c r="H138" s="261"/>
      <c r="I138" s="107"/>
      <c r="J138" s="101"/>
      <c r="K138" s="262"/>
      <c r="L138" s="263"/>
      <c r="M138" s="264"/>
      <c r="N138" s="264"/>
      <c r="O138" s="264"/>
      <c r="P138" s="86"/>
      <c r="Q138" s="264">
        <f>S138+U138</f>
        <v>0</v>
      </c>
      <c r="R138" s="264">
        <f>S138</f>
        <v>0</v>
      </c>
      <c r="S138" s="264">
        <v>0</v>
      </c>
      <c r="T138" s="264">
        <v>0</v>
      </c>
      <c r="U138" s="264">
        <v>0</v>
      </c>
      <c r="V138" s="264"/>
      <c r="W138" s="264"/>
      <c r="X138" s="264"/>
      <c r="Y138" s="264"/>
      <c r="Z138" s="264">
        <v>0</v>
      </c>
      <c r="AA138" s="264"/>
      <c r="AB138" s="264"/>
      <c r="AC138" s="264"/>
      <c r="AD138" s="264"/>
      <c r="AE138" s="264">
        <f>SUM(AF138:AF138)</f>
        <v>0</v>
      </c>
      <c r="AF138" s="264"/>
      <c r="AG138" s="264"/>
      <c r="AH138" s="264"/>
      <c r="AI138" s="264"/>
      <c r="AJ138" s="264"/>
      <c r="AK138" s="264"/>
      <c r="AL138" s="264"/>
      <c r="AM138" s="264"/>
      <c r="AN138" s="264"/>
      <c r="AO138" s="419"/>
    </row>
    <row r="139" spans="1:41" s="100" customFormat="1" ht="18" hidden="1" customHeight="1">
      <c r="A139" s="332"/>
      <c r="B139" s="257" t="s">
        <v>161</v>
      </c>
      <c r="C139" s="258"/>
      <c r="D139" s="258"/>
      <c r="E139" s="258"/>
      <c r="F139" s="259"/>
      <c r="G139" s="260"/>
      <c r="H139" s="261"/>
      <c r="I139" s="107"/>
      <c r="J139" s="101"/>
      <c r="K139" s="262"/>
      <c r="L139" s="263"/>
      <c r="M139" s="264"/>
      <c r="N139" s="264"/>
      <c r="O139" s="264"/>
      <c r="P139" s="86"/>
      <c r="Q139" s="264">
        <f>S139+U139+W139</f>
        <v>0</v>
      </c>
      <c r="R139" s="264"/>
      <c r="S139" s="264"/>
      <c r="T139" s="264"/>
      <c r="U139" s="264"/>
      <c r="V139" s="264">
        <v>0</v>
      </c>
      <c r="W139" s="264">
        <v>0</v>
      </c>
      <c r="X139" s="264"/>
      <c r="Y139" s="264"/>
      <c r="Z139" s="264">
        <v>0</v>
      </c>
      <c r="AA139" s="264">
        <v>0</v>
      </c>
      <c r="AB139" s="264"/>
      <c r="AC139" s="264"/>
      <c r="AD139" s="264"/>
      <c r="AE139" s="264">
        <f>SUM(AF139:AF139)</f>
        <v>0</v>
      </c>
      <c r="AF139" s="264"/>
      <c r="AG139" s="264"/>
      <c r="AH139" s="264"/>
      <c r="AI139" s="264"/>
      <c r="AJ139" s="264"/>
      <c r="AK139" s="264"/>
      <c r="AL139" s="264"/>
      <c r="AM139" s="264"/>
      <c r="AN139" s="264"/>
      <c r="AO139" s="419"/>
    </row>
    <row r="140" spans="1:41" s="100" customFormat="1" ht="26.25" hidden="1" customHeight="1">
      <c r="A140" s="332"/>
      <c r="B140" s="257" t="s">
        <v>234</v>
      </c>
      <c r="C140" s="258"/>
      <c r="D140" s="258"/>
      <c r="E140" s="258"/>
      <c r="F140" s="259"/>
      <c r="G140" s="260"/>
      <c r="H140" s="261"/>
      <c r="I140" s="107"/>
      <c r="J140" s="101"/>
      <c r="K140" s="262"/>
      <c r="L140" s="263"/>
      <c r="M140" s="264"/>
      <c r="N140" s="264"/>
      <c r="O140" s="264"/>
      <c r="P140" s="86"/>
      <c r="Q140" s="264">
        <f>S140+U140+W140+Y140</f>
        <v>0</v>
      </c>
      <c r="R140" s="264"/>
      <c r="S140" s="264"/>
      <c r="T140" s="264"/>
      <c r="U140" s="264"/>
      <c r="V140" s="264"/>
      <c r="W140" s="264"/>
      <c r="X140" s="264">
        <v>0</v>
      </c>
      <c r="Y140" s="264">
        <v>0</v>
      </c>
      <c r="Z140" s="264">
        <v>0</v>
      </c>
      <c r="AA140" s="264">
        <v>0</v>
      </c>
      <c r="AB140" s="264"/>
      <c r="AC140" s="264"/>
      <c r="AD140" s="264"/>
      <c r="AE140" s="264">
        <f>SUM(AF140:AF140)</f>
        <v>0</v>
      </c>
      <c r="AF140" s="264"/>
      <c r="AG140" s="264"/>
      <c r="AH140" s="264"/>
      <c r="AI140" s="264"/>
      <c r="AJ140" s="264"/>
      <c r="AK140" s="264"/>
      <c r="AL140" s="264"/>
      <c r="AM140" s="264"/>
      <c r="AN140" s="264"/>
      <c r="AO140" s="419"/>
    </row>
    <row r="141" spans="1:41" s="100" customFormat="1" ht="18" hidden="1" customHeight="1">
      <c r="A141" s="332"/>
      <c r="B141" s="257" t="s">
        <v>235</v>
      </c>
      <c r="C141" s="258"/>
      <c r="D141" s="258"/>
      <c r="E141" s="258"/>
      <c r="F141" s="259"/>
      <c r="G141" s="260"/>
      <c r="H141" s="261"/>
      <c r="I141" s="107"/>
      <c r="J141" s="101"/>
      <c r="K141" s="262"/>
      <c r="L141" s="263"/>
      <c r="M141" s="264"/>
      <c r="N141" s="264"/>
      <c r="O141" s="264"/>
      <c r="P141" s="86"/>
      <c r="Q141" s="264">
        <f>S141+U141+W141+Y141</f>
        <v>46543.63</v>
      </c>
      <c r="R141" s="264">
        <f>S141</f>
        <v>12237.61</v>
      </c>
      <c r="S141" s="264">
        <v>12237.61</v>
      </c>
      <c r="T141" s="264">
        <v>15823.071</v>
      </c>
      <c r="U141" s="264">
        <v>13185.89</v>
      </c>
      <c r="V141" s="264"/>
      <c r="W141" s="264">
        <v>16120.13</v>
      </c>
      <c r="X141" s="264">
        <v>0</v>
      </c>
      <c r="Y141" s="264">
        <v>5000</v>
      </c>
      <c r="Z141" s="264">
        <f>AA141+AB141</f>
        <v>21008.04</v>
      </c>
      <c r="AA141" s="264">
        <v>1971.25</v>
      </c>
      <c r="AB141" s="264">
        <v>19036.79</v>
      </c>
      <c r="AC141" s="264">
        <v>0</v>
      </c>
      <c r="AD141" s="264"/>
      <c r="AE141" s="264">
        <f>SUM(AF141:AF141)</f>
        <v>0</v>
      </c>
      <c r="AF141" s="264"/>
      <c r="AG141" s="264"/>
      <c r="AH141" s="264"/>
      <c r="AI141" s="264"/>
      <c r="AJ141" s="264"/>
      <c r="AK141" s="264"/>
      <c r="AL141" s="264"/>
      <c r="AM141" s="264"/>
      <c r="AN141" s="264"/>
      <c r="AO141" s="419"/>
    </row>
    <row r="142" spans="1:41" s="100" customFormat="1" ht="18" hidden="1" customHeight="1">
      <c r="A142" s="332"/>
      <c r="B142" s="257" t="s">
        <v>236</v>
      </c>
      <c r="C142" s="258"/>
      <c r="D142" s="258"/>
      <c r="E142" s="258"/>
      <c r="F142" s="259"/>
      <c r="G142" s="260"/>
      <c r="H142" s="261"/>
      <c r="I142" s="107"/>
      <c r="J142" s="101"/>
      <c r="K142" s="262"/>
      <c r="L142" s="263"/>
      <c r="M142" s="264"/>
      <c r="N142" s="264"/>
      <c r="O142" s="264"/>
      <c r="P142" s="86"/>
      <c r="Q142" s="264">
        <f t="shared" ref="Q142:Q144" si="124">S142+U142+W142+Y142</f>
        <v>82</v>
      </c>
      <c r="R142" s="264"/>
      <c r="S142" s="264"/>
      <c r="T142" s="264">
        <v>82</v>
      </c>
      <c r="U142" s="264">
        <v>82</v>
      </c>
      <c r="V142" s="264"/>
      <c r="W142" s="264"/>
      <c r="X142" s="264">
        <v>0</v>
      </c>
      <c r="Y142" s="264">
        <v>0</v>
      </c>
      <c r="Z142" s="264">
        <f t="shared" ref="Z142:Z143" si="125">AA142+AB142</f>
        <v>0</v>
      </c>
      <c r="AA142" s="264">
        <v>0</v>
      </c>
      <c r="AB142" s="264"/>
      <c r="AC142" s="264"/>
      <c r="AD142" s="264"/>
      <c r="AE142" s="264">
        <f>SUM(AF142:AF142)</f>
        <v>0</v>
      </c>
      <c r="AF142" s="264"/>
      <c r="AG142" s="264"/>
      <c r="AH142" s="264"/>
      <c r="AI142" s="264"/>
      <c r="AJ142" s="264"/>
      <c r="AK142" s="264"/>
      <c r="AL142" s="264"/>
      <c r="AM142" s="264"/>
      <c r="AN142" s="264"/>
      <c r="AO142" s="419"/>
    </row>
    <row r="143" spans="1:41" s="100" customFormat="1" ht="18" hidden="1" customHeight="1">
      <c r="A143" s="332"/>
      <c r="B143" s="257" t="s">
        <v>267</v>
      </c>
      <c r="C143" s="258"/>
      <c r="D143" s="258"/>
      <c r="E143" s="258"/>
      <c r="F143" s="259"/>
      <c r="G143" s="260"/>
      <c r="H143" s="261"/>
      <c r="I143" s="107"/>
      <c r="J143" s="101"/>
      <c r="K143" s="262"/>
      <c r="L143" s="263"/>
      <c r="M143" s="264"/>
      <c r="N143" s="264"/>
      <c r="O143" s="264"/>
      <c r="P143" s="86"/>
      <c r="Q143" s="264">
        <v>99.963999999999999</v>
      </c>
      <c r="R143" s="264"/>
      <c r="S143" s="264"/>
      <c r="T143" s="264">
        <v>99.963999999999999</v>
      </c>
      <c r="U143" s="264">
        <v>99.963999999999999</v>
      </c>
      <c r="V143" s="264"/>
      <c r="W143" s="264"/>
      <c r="X143" s="264"/>
      <c r="Y143" s="264"/>
      <c r="Z143" s="264">
        <f t="shared" si="125"/>
        <v>99.96</v>
      </c>
      <c r="AA143" s="264"/>
      <c r="AB143" s="264">
        <v>99.96</v>
      </c>
      <c r="AC143" s="264"/>
      <c r="AD143" s="264"/>
      <c r="AE143" s="264"/>
      <c r="AF143" s="264"/>
      <c r="AG143" s="264"/>
      <c r="AH143" s="264"/>
      <c r="AI143" s="264"/>
      <c r="AJ143" s="264"/>
      <c r="AK143" s="264"/>
      <c r="AL143" s="264"/>
      <c r="AM143" s="264"/>
      <c r="AN143" s="264"/>
      <c r="AO143" s="419"/>
    </row>
    <row r="144" spans="1:41" s="100" customFormat="1" ht="18" hidden="1" customHeight="1">
      <c r="A144" s="332"/>
      <c r="B144" s="257" t="s">
        <v>155</v>
      </c>
      <c r="C144" s="258"/>
      <c r="D144" s="258"/>
      <c r="E144" s="258"/>
      <c r="F144" s="259"/>
      <c r="G144" s="260"/>
      <c r="H144" s="261"/>
      <c r="I144" s="107"/>
      <c r="J144" s="101"/>
      <c r="K144" s="262"/>
      <c r="L144" s="263"/>
      <c r="M144" s="264"/>
      <c r="N144" s="264"/>
      <c r="O144" s="264"/>
      <c r="P144" s="86"/>
      <c r="Q144" s="264">
        <f t="shared" si="124"/>
        <v>0</v>
      </c>
      <c r="R144" s="264">
        <f>S144</f>
        <v>0</v>
      </c>
      <c r="S144" s="264">
        <v>0</v>
      </c>
      <c r="T144" s="264">
        <v>0</v>
      </c>
      <c r="U144" s="264">
        <v>0</v>
      </c>
      <c r="V144" s="264"/>
      <c r="W144" s="264"/>
      <c r="X144" s="264">
        <v>0</v>
      </c>
      <c r="Y144" s="264">
        <v>0</v>
      </c>
      <c r="Z144" s="264">
        <v>0</v>
      </c>
      <c r="AA144" s="264">
        <v>0</v>
      </c>
      <c r="AB144" s="264"/>
      <c r="AC144" s="264"/>
      <c r="AD144" s="264"/>
      <c r="AE144" s="264">
        <f>SUM(AF144:AF144)</f>
        <v>0</v>
      </c>
      <c r="AF144" s="264"/>
      <c r="AG144" s="264"/>
      <c r="AH144" s="264"/>
      <c r="AI144" s="264"/>
      <c r="AJ144" s="264"/>
      <c r="AK144" s="264"/>
      <c r="AL144" s="264"/>
      <c r="AM144" s="264"/>
      <c r="AN144" s="264"/>
      <c r="AO144" s="419"/>
    </row>
    <row r="145" spans="1:41" s="326" customFormat="1" ht="52.5" customHeight="1">
      <c r="A145" s="832" t="s">
        <v>172</v>
      </c>
      <c r="B145" s="83" t="s">
        <v>173</v>
      </c>
      <c r="C145" s="338"/>
      <c r="D145" s="338"/>
      <c r="E145" s="338"/>
      <c r="F145" s="322"/>
      <c r="G145" s="339"/>
      <c r="H145" s="340"/>
      <c r="I145" s="820" t="s">
        <v>19</v>
      </c>
      <c r="J145" s="336"/>
      <c r="K145" s="337"/>
      <c r="L145" s="291">
        <f>L146</f>
        <v>7644.31</v>
      </c>
      <c r="M145" s="291">
        <f>M146</f>
        <v>0</v>
      </c>
      <c r="N145" s="291">
        <f t="shared" ref="N145:AN145" si="126">N146</f>
        <v>377.26</v>
      </c>
      <c r="O145" s="291">
        <f t="shared" si="126"/>
        <v>0</v>
      </c>
      <c r="P145" s="291">
        <f t="shared" si="126"/>
        <v>377.26</v>
      </c>
      <c r="Q145" s="291">
        <f t="shared" si="126"/>
        <v>0</v>
      </c>
      <c r="R145" s="291">
        <f t="shared" si="126"/>
        <v>0</v>
      </c>
      <c r="S145" s="291">
        <f t="shared" si="126"/>
        <v>0</v>
      </c>
      <c r="T145" s="291">
        <f t="shared" si="126"/>
        <v>0</v>
      </c>
      <c r="U145" s="291">
        <f t="shared" si="126"/>
        <v>0</v>
      </c>
      <c r="V145" s="291">
        <f t="shared" si="126"/>
        <v>0</v>
      </c>
      <c r="W145" s="291">
        <f t="shared" si="126"/>
        <v>0</v>
      </c>
      <c r="X145" s="291">
        <f t="shared" si="126"/>
        <v>0</v>
      </c>
      <c r="Y145" s="291">
        <f t="shared" si="126"/>
        <v>0</v>
      </c>
      <c r="Z145" s="291">
        <f t="shared" si="126"/>
        <v>0</v>
      </c>
      <c r="AA145" s="291">
        <f t="shared" si="126"/>
        <v>0</v>
      </c>
      <c r="AB145" s="291">
        <f t="shared" si="126"/>
        <v>0</v>
      </c>
      <c r="AC145" s="291">
        <f t="shared" si="126"/>
        <v>0</v>
      </c>
      <c r="AD145" s="291">
        <f t="shared" si="126"/>
        <v>0</v>
      </c>
      <c r="AE145" s="291">
        <f t="shared" si="126"/>
        <v>0</v>
      </c>
      <c r="AF145" s="291">
        <f t="shared" si="126"/>
        <v>0</v>
      </c>
      <c r="AG145" s="291">
        <f t="shared" si="126"/>
        <v>0</v>
      </c>
      <c r="AH145" s="291">
        <f t="shared" si="126"/>
        <v>0</v>
      </c>
      <c r="AI145" s="291">
        <f t="shared" si="126"/>
        <v>0</v>
      </c>
      <c r="AJ145" s="291">
        <f t="shared" si="126"/>
        <v>0</v>
      </c>
      <c r="AK145" s="291">
        <f t="shared" si="126"/>
        <v>0</v>
      </c>
      <c r="AL145" s="291">
        <f t="shared" si="126"/>
        <v>0</v>
      </c>
      <c r="AM145" s="291">
        <f t="shared" si="126"/>
        <v>0</v>
      </c>
      <c r="AN145" s="291">
        <f t="shared" si="126"/>
        <v>0</v>
      </c>
      <c r="AO145" s="434" t="s">
        <v>249</v>
      </c>
    </row>
    <row r="146" spans="1:41" ht="18" customHeight="1">
      <c r="A146" s="827"/>
      <c r="B146" s="42" t="s">
        <v>15</v>
      </c>
      <c r="C146" s="342"/>
      <c r="D146" s="342"/>
      <c r="E146" s="342"/>
      <c r="F146" s="319"/>
      <c r="G146" s="343"/>
      <c r="H146" s="344"/>
      <c r="I146" s="821"/>
      <c r="J146" s="583"/>
      <c r="K146" s="345"/>
      <c r="L146" s="75">
        <v>7644.31</v>
      </c>
      <c r="M146" s="86">
        <v>0</v>
      </c>
      <c r="N146" s="86">
        <v>377.26</v>
      </c>
      <c r="O146" s="86">
        <v>0</v>
      </c>
      <c r="P146" s="86">
        <f>N146</f>
        <v>377.26</v>
      </c>
      <c r="Q146" s="86">
        <f>SUM(Q147:Q148)</f>
        <v>0</v>
      </c>
      <c r="R146" s="86">
        <v>0</v>
      </c>
      <c r="S146" s="86">
        <v>0</v>
      </c>
      <c r="T146" s="86">
        <f>SUM(T147:T148)</f>
        <v>0</v>
      </c>
      <c r="U146" s="86">
        <f>SUM(U147:U148)</f>
        <v>0</v>
      </c>
      <c r="V146" s="86">
        <f t="shared" ref="V146:AD146" si="127">SUM(V147:V148)</f>
        <v>0</v>
      </c>
      <c r="W146" s="86">
        <f t="shared" si="127"/>
        <v>0</v>
      </c>
      <c r="X146" s="86">
        <f t="shared" si="127"/>
        <v>0</v>
      </c>
      <c r="Y146" s="86">
        <f t="shared" si="127"/>
        <v>0</v>
      </c>
      <c r="Z146" s="86">
        <f t="shared" si="127"/>
        <v>0</v>
      </c>
      <c r="AA146" s="86">
        <f t="shared" si="127"/>
        <v>0</v>
      </c>
      <c r="AB146" s="86">
        <f t="shared" si="127"/>
        <v>0</v>
      </c>
      <c r="AC146" s="86">
        <f t="shared" si="127"/>
        <v>0</v>
      </c>
      <c r="AD146" s="86">
        <f t="shared" si="127"/>
        <v>0</v>
      </c>
      <c r="AE146" s="86">
        <v>0</v>
      </c>
      <c r="AF146" s="86">
        <v>0</v>
      </c>
      <c r="AG146" s="86">
        <v>0</v>
      </c>
      <c r="AH146" s="86">
        <v>0</v>
      </c>
      <c r="AI146" s="86">
        <v>0</v>
      </c>
      <c r="AJ146" s="86">
        <v>0</v>
      </c>
      <c r="AK146" s="86">
        <v>0</v>
      </c>
      <c r="AL146" s="86">
        <v>0</v>
      </c>
      <c r="AM146" s="86">
        <v>0</v>
      </c>
      <c r="AN146" s="86">
        <v>0</v>
      </c>
      <c r="AO146" s="416"/>
    </row>
    <row r="147" spans="1:41" s="100" customFormat="1" ht="18" hidden="1" customHeight="1">
      <c r="A147" s="374"/>
      <c r="B147" s="257" t="s">
        <v>237</v>
      </c>
      <c r="C147" s="258"/>
      <c r="D147" s="258"/>
      <c r="E147" s="258"/>
      <c r="F147" s="259"/>
      <c r="G147" s="260"/>
      <c r="H147" s="261"/>
      <c r="I147" s="375"/>
      <c r="J147" s="101"/>
      <c r="K147" s="262"/>
      <c r="L147" s="263"/>
      <c r="M147" s="264"/>
      <c r="N147" s="264"/>
      <c r="O147" s="264"/>
      <c r="P147" s="86"/>
      <c r="Q147" s="264"/>
      <c r="R147" s="264"/>
      <c r="S147" s="264"/>
      <c r="T147" s="264"/>
      <c r="U147" s="264"/>
      <c r="V147" s="264"/>
      <c r="W147" s="264"/>
      <c r="X147" s="86"/>
      <c r="Y147" s="86"/>
      <c r="Z147" s="264"/>
      <c r="AA147" s="264"/>
      <c r="AB147" s="264"/>
      <c r="AC147" s="264"/>
      <c r="AD147" s="264"/>
      <c r="AE147" s="264"/>
      <c r="AF147" s="264"/>
      <c r="AG147" s="264"/>
      <c r="AH147" s="264"/>
      <c r="AI147" s="264"/>
      <c r="AJ147" s="264"/>
      <c r="AK147" s="264"/>
      <c r="AL147" s="264"/>
      <c r="AM147" s="264"/>
      <c r="AN147" s="264"/>
      <c r="AO147" s="419"/>
    </row>
    <row r="148" spans="1:41" s="100" customFormat="1" ht="18" hidden="1" customHeight="1">
      <c r="A148" s="374"/>
      <c r="B148" s="257" t="s">
        <v>271</v>
      </c>
      <c r="C148" s="258"/>
      <c r="D148" s="258"/>
      <c r="E148" s="258"/>
      <c r="F148" s="259"/>
      <c r="G148" s="260"/>
      <c r="H148" s="261"/>
      <c r="I148" s="375"/>
      <c r="J148" s="101"/>
      <c r="K148" s="262"/>
      <c r="L148" s="263"/>
      <c r="M148" s="264"/>
      <c r="N148" s="264"/>
      <c r="O148" s="264"/>
      <c r="P148" s="86">
        <f>Q148</f>
        <v>0</v>
      </c>
      <c r="Q148" s="264">
        <f>S148+U148</f>
        <v>0</v>
      </c>
      <c r="R148" s="264"/>
      <c r="S148" s="264"/>
      <c r="T148" s="264">
        <v>0</v>
      </c>
      <c r="U148" s="264">
        <v>0</v>
      </c>
      <c r="V148" s="264"/>
      <c r="W148" s="264"/>
      <c r="X148" s="86"/>
      <c r="Y148" s="86"/>
      <c r="Z148" s="264">
        <f>SUM(AA148:AB148)</f>
        <v>0</v>
      </c>
      <c r="AA148" s="264"/>
      <c r="AB148" s="264">
        <v>0</v>
      </c>
      <c r="AC148" s="264"/>
      <c r="AD148" s="264"/>
      <c r="AE148" s="264"/>
      <c r="AF148" s="264"/>
      <c r="AG148" s="264"/>
      <c r="AH148" s="264"/>
      <c r="AI148" s="264"/>
      <c r="AJ148" s="264"/>
      <c r="AK148" s="264"/>
      <c r="AL148" s="264"/>
      <c r="AM148" s="264"/>
      <c r="AN148" s="264"/>
      <c r="AO148" s="419"/>
    </row>
    <row r="149" spans="1:41" s="326" customFormat="1" ht="35.25" customHeight="1">
      <c r="A149" s="832" t="s">
        <v>174</v>
      </c>
      <c r="B149" s="83" t="s">
        <v>175</v>
      </c>
      <c r="C149" s="338"/>
      <c r="D149" s="338"/>
      <c r="E149" s="338"/>
      <c r="F149" s="322"/>
      <c r="G149" s="339"/>
      <c r="H149" s="340"/>
      <c r="I149" s="820" t="s">
        <v>19</v>
      </c>
      <c r="J149" s="336"/>
      <c r="K149" s="337"/>
      <c r="L149" s="291">
        <f>L150</f>
        <v>8790.08</v>
      </c>
      <c r="M149" s="291">
        <f>M150</f>
        <v>0</v>
      </c>
      <c r="N149" s="291">
        <f t="shared" ref="N149:AN149" si="128">N150</f>
        <v>612.4</v>
      </c>
      <c r="O149" s="291">
        <f t="shared" si="128"/>
        <v>7188.28</v>
      </c>
      <c r="P149" s="291">
        <f t="shared" si="128"/>
        <v>612.4</v>
      </c>
      <c r="Q149" s="291">
        <f t="shared" si="128"/>
        <v>0</v>
      </c>
      <c r="R149" s="291">
        <f t="shared" si="128"/>
        <v>0</v>
      </c>
      <c r="S149" s="291">
        <f t="shared" si="128"/>
        <v>0</v>
      </c>
      <c r="T149" s="291">
        <f t="shared" si="128"/>
        <v>0</v>
      </c>
      <c r="U149" s="291">
        <f t="shared" si="128"/>
        <v>0</v>
      </c>
      <c r="V149" s="291">
        <f t="shared" si="128"/>
        <v>0</v>
      </c>
      <c r="W149" s="291">
        <f t="shared" si="128"/>
        <v>0</v>
      </c>
      <c r="X149" s="291">
        <f t="shared" si="128"/>
        <v>0</v>
      </c>
      <c r="Y149" s="291">
        <f t="shared" si="128"/>
        <v>0</v>
      </c>
      <c r="Z149" s="291">
        <f t="shared" si="128"/>
        <v>0</v>
      </c>
      <c r="AA149" s="291">
        <f>AA150</f>
        <v>0</v>
      </c>
      <c r="AB149" s="291">
        <f>AB150</f>
        <v>0</v>
      </c>
      <c r="AC149" s="291">
        <f t="shared" ref="AC149:AD149" si="129">AC150</f>
        <v>0</v>
      </c>
      <c r="AD149" s="291">
        <f t="shared" si="129"/>
        <v>0</v>
      </c>
      <c r="AE149" s="291">
        <f t="shared" si="128"/>
        <v>0</v>
      </c>
      <c r="AF149" s="291">
        <f t="shared" si="128"/>
        <v>0</v>
      </c>
      <c r="AG149" s="291">
        <f t="shared" si="128"/>
        <v>0</v>
      </c>
      <c r="AH149" s="291">
        <f t="shared" si="128"/>
        <v>0</v>
      </c>
      <c r="AI149" s="291">
        <f t="shared" si="128"/>
        <v>0</v>
      </c>
      <c r="AJ149" s="291">
        <f t="shared" si="128"/>
        <v>0</v>
      </c>
      <c r="AK149" s="291">
        <f t="shared" si="128"/>
        <v>0</v>
      </c>
      <c r="AL149" s="291">
        <f t="shared" si="128"/>
        <v>0</v>
      </c>
      <c r="AM149" s="291">
        <f t="shared" si="128"/>
        <v>0</v>
      </c>
      <c r="AN149" s="291">
        <f t="shared" si="128"/>
        <v>0</v>
      </c>
      <c r="AO149" s="434" t="s">
        <v>249</v>
      </c>
    </row>
    <row r="150" spans="1:41" ht="18" customHeight="1">
      <c r="A150" s="827"/>
      <c r="B150" s="42" t="s">
        <v>15</v>
      </c>
      <c r="C150" s="342"/>
      <c r="D150" s="342"/>
      <c r="E150" s="342"/>
      <c r="F150" s="319"/>
      <c r="G150" s="343"/>
      <c r="H150" s="344"/>
      <c r="I150" s="821"/>
      <c r="J150" s="583"/>
      <c r="K150" s="345"/>
      <c r="L150" s="75">
        <v>8790.08</v>
      </c>
      <c r="M150" s="86">
        <v>0</v>
      </c>
      <c r="N150" s="86">
        <v>612.4</v>
      </c>
      <c r="O150" s="86">
        <v>7188.28</v>
      </c>
      <c r="P150" s="86">
        <f>N150</f>
        <v>612.4</v>
      </c>
      <c r="Q150" s="86">
        <v>0</v>
      </c>
      <c r="R150" s="86">
        <v>0</v>
      </c>
      <c r="S150" s="86">
        <v>0</v>
      </c>
      <c r="T150" s="86">
        <v>0</v>
      </c>
      <c r="U150" s="86">
        <v>0</v>
      </c>
      <c r="V150" s="86">
        <v>0</v>
      </c>
      <c r="W150" s="86">
        <v>0</v>
      </c>
      <c r="X150" s="86">
        <v>0</v>
      </c>
      <c r="Y150" s="86">
        <v>0</v>
      </c>
      <c r="Z150" s="86">
        <v>0</v>
      </c>
      <c r="AA150" s="86">
        <v>0</v>
      </c>
      <c r="AB150" s="86">
        <v>0</v>
      </c>
      <c r="AC150" s="86">
        <v>0</v>
      </c>
      <c r="AD150" s="86">
        <v>0</v>
      </c>
      <c r="AE150" s="86">
        <v>0</v>
      </c>
      <c r="AF150" s="86">
        <v>0</v>
      </c>
      <c r="AG150" s="86">
        <v>0</v>
      </c>
      <c r="AH150" s="86">
        <v>0</v>
      </c>
      <c r="AI150" s="86">
        <v>0</v>
      </c>
      <c r="AJ150" s="86">
        <v>0</v>
      </c>
      <c r="AK150" s="86">
        <v>0</v>
      </c>
      <c r="AL150" s="86">
        <v>0</v>
      </c>
      <c r="AM150" s="86">
        <v>0</v>
      </c>
      <c r="AN150" s="86">
        <v>0</v>
      </c>
      <c r="AO150" s="416"/>
    </row>
    <row r="151" spans="1:41" s="326" customFormat="1" ht="54.75" customHeight="1">
      <c r="A151" s="832" t="s">
        <v>176</v>
      </c>
      <c r="B151" s="83" t="s">
        <v>177</v>
      </c>
      <c r="C151" s="338"/>
      <c r="D151" s="338"/>
      <c r="E151" s="338"/>
      <c r="F151" s="322"/>
      <c r="G151" s="339"/>
      <c r="H151" s="340"/>
      <c r="I151" s="820" t="s">
        <v>19</v>
      </c>
      <c r="J151" s="336"/>
      <c r="K151" s="337"/>
      <c r="L151" s="291">
        <f>L152+L158</f>
        <v>204849.53</v>
      </c>
      <c r="M151" s="291">
        <f t="shared" ref="M151:N151" si="130">M152+M158</f>
        <v>195485</v>
      </c>
      <c r="N151" s="291">
        <f t="shared" si="130"/>
        <v>203676.84</v>
      </c>
      <c r="O151" s="291">
        <f t="shared" ref="O151:AN151" si="131">O152</f>
        <v>1116.69</v>
      </c>
      <c r="P151" s="291">
        <f>P152+P158</f>
        <v>203676.84</v>
      </c>
      <c r="Q151" s="291">
        <f t="shared" si="131"/>
        <v>5164.4799999999996</v>
      </c>
      <c r="R151" s="291">
        <f t="shared" si="131"/>
        <v>0</v>
      </c>
      <c r="S151" s="291">
        <f t="shared" si="131"/>
        <v>0</v>
      </c>
      <c r="T151" s="291">
        <f t="shared" si="131"/>
        <v>1133.48</v>
      </c>
      <c r="U151" s="291">
        <f t="shared" si="131"/>
        <v>1133.48</v>
      </c>
      <c r="V151" s="291">
        <f t="shared" si="131"/>
        <v>0</v>
      </c>
      <c r="W151" s="291">
        <f t="shared" si="131"/>
        <v>4000</v>
      </c>
      <c r="X151" s="291">
        <f t="shared" si="131"/>
        <v>31</v>
      </c>
      <c r="Y151" s="291">
        <f t="shared" si="131"/>
        <v>31</v>
      </c>
      <c r="Z151" s="291">
        <f t="shared" si="131"/>
        <v>8164.482</v>
      </c>
      <c r="AA151" s="291">
        <f t="shared" si="131"/>
        <v>0</v>
      </c>
      <c r="AB151" s="291">
        <f t="shared" si="131"/>
        <v>8133.482</v>
      </c>
      <c r="AC151" s="291">
        <f t="shared" si="131"/>
        <v>0</v>
      </c>
      <c r="AD151" s="291">
        <f t="shared" si="131"/>
        <v>31</v>
      </c>
      <c r="AE151" s="291">
        <f t="shared" si="131"/>
        <v>0</v>
      </c>
      <c r="AF151" s="291">
        <f t="shared" si="131"/>
        <v>0</v>
      </c>
      <c r="AG151" s="291">
        <f t="shared" si="131"/>
        <v>0</v>
      </c>
      <c r="AH151" s="291">
        <f t="shared" si="131"/>
        <v>0</v>
      </c>
      <c r="AI151" s="291">
        <f t="shared" si="131"/>
        <v>0</v>
      </c>
      <c r="AJ151" s="291">
        <f t="shared" si="131"/>
        <v>0</v>
      </c>
      <c r="AK151" s="291">
        <f t="shared" si="131"/>
        <v>0</v>
      </c>
      <c r="AL151" s="291">
        <f t="shared" si="131"/>
        <v>0</v>
      </c>
      <c r="AM151" s="291">
        <f t="shared" si="131"/>
        <v>0</v>
      </c>
      <c r="AN151" s="291">
        <f t="shared" si="131"/>
        <v>0</v>
      </c>
      <c r="AO151" s="435" t="s">
        <v>264</v>
      </c>
    </row>
    <row r="152" spans="1:41" ht="18" customHeight="1">
      <c r="A152" s="827"/>
      <c r="B152" s="42" t="s">
        <v>15</v>
      </c>
      <c r="C152" s="342"/>
      <c r="D152" s="342"/>
      <c r="E152" s="342"/>
      <c r="F152" s="319"/>
      <c r="G152" s="343"/>
      <c r="H152" s="344"/>
      <c r="I152" s="821"/>
      <c r="J152" s="583"/>
      <c r="K152" s="345"/>
      <c r="L152" s="75">
        <v>9364.5300000000007</v>
      </c>
      <c r="M152" s="86">
        <v>0</v>
      </c>
      <c r="N152" s="86">
        <v>8191.84</v>
      </c>
      <c r="O152" s="86">
        <v>1116.69</v>
      </c>
      <c r="P152" s="86">
        <f>N152</f>
        <v>8191.84</v>
      </c>
      <c r="Q152" s="86">
        <f>SUM(Q153:Q157)</f>
        <v>5164.4799999999996</v>
      </c>
      <c r="R152" s="86">
        <v>0</v>
      </c>
      <c r="S152" s="86">
        <v>0</v>
      </c>
      <c r="T152" s="86">
        <f>SUM(T153:T157)</f>
        <v>1133.48</v>
      </c>
      <c r="U152" s="86">
        <f>SUM(U153:U155)</f>
        <v>1133.48</v>
      </c>
      <c r="V152" s="86">
        <f t="shared" ref="V152:AI152" si="132">SUM(V153:V155)</f>
        <v>0</v>
      </c>
      <c r="W152" s="86">
        <f t="shared" si="132"/>
        <v>4000</v>
      </c>
      <c r="X152" s="86">
        <f>SUM(X153:X157)</f>
        <v>31</v>
      </c>
      <c r="Y152" s="86">
        <f>SUM(Y153:Y157)</f>
        <v>31</v>
      </c>
      <c r="Z152" s="86">
        <f>SUM(Z153:Z157)</f>
        <v>8164.482</v>
      </c>
      <c r="AA152" s="86">
        <f t="shared" si="132"/>
        <v>0</v>
      </c>
      <c r="AB152" s="86">
        <f t="shared" si="132"/>
        <v>8133.482</v>
      </c>
      <c r="AC152" s="86">
        <f t="shared" si="132"/>
        <v>0</v>
      </c>
      <c r="AD152" s="86">
        <f>SUM(AD153:AD157)</f>
        <v>31</v>
      </c>
      <c r="AE152" s="86">
        <f t="shared" si="132"/>
        <v>0</v>
      </c>
      <c r="AF152" s="86">
        <f t="shared" si="132"/>
        <v>0</v>
      </c>
      <c r="AG152" s="86">
        <f t="shared" si="132"/>
        <v>0</v>
      </c>
      <c r="AH152" s="86">
        <f t="shared" si="132"/>
        <v>0</v>
      </c>
      <c r="AI152" s="86">
        <f t="shared" si="132"/>
        <v>0</v>
      </c>
      <c r="AJ152" s="86">
        <v>0</v>
      </c>
      <c r="AK152" s="86">
        <v>0</v>
      </c>
      <c r="AL152" s="86">
        <v>0</v>
      </c>
      <c r="AM152" s="86">
        <v>0</v>
      </c>
      <c r="AN152" s="86">
        <v>0</v>
      </c>
      <c r="AO152" s="416"/>
    </row>
    <row r="153" spans="1:41" s="100" customFormat="1" ht="18" hidden="1" customHeight="1">
      <c r="A153" s="332"/>
      <c r="B153" s="257" t="s">
        <v>238</v>
      </c>
      <c r="C153" s="258"/>
      <c r="D153" s="258"/>
      <c r="E153" s="258"/>
      <c r="F153" s="259"/>
      <c r="G153" s="260"/>
      <c r="H153" s="261"/>
      <c r="I153" s="376"/>
      <c r="J153" s="101"/>
      <c r="K153" s="262"/>
      <c r="L153" s="263"/>
      <c r="M153" s="264"/>
      <c r="N153" s="264"/>
      <c r="O153" s="264"/>
      <c r="P153" s="86"/>
      <c r="Q153" s="264">
        <f>Y153</f>
        <v>0</v>
      </c>
      <c r="R153" s="264"/>
      <c r="S153" s="264"/>
      <c r="T153" s="264"/>
      <c r="U153" s="264"/>
      <c r="V153" s="264"/>
      <c r="W153" s="264"/>
      <c r="X153" s="264">
        <f>Y153</f>
        <v>0</v>
      </c>
      <c r="Y153" s="86"/>
      <c r="Z153" s="264"/>
      <c r="AA153" s="264"/>
      <c r="AB153" s="264"/>
      <c r="AC153" s="264"/>
      <c r="AD153" s="264"/>
      <c r="AE153" s="264"/>
      <c r="AF153" s="264"/>
      <c r="AG153" s="264"/>
      <c r="AH153" s="264"/>
      <c r="AI153" s="264"/>
      <c r="AJ153" s="264"/>
      <c r="AK153" s="264"/>
      <c r="AL153" s="264"/>
      <c r="AM153" s="264"/>
      <c r="AN153" s="264"/>
      <c r="AO153" s="419"/>
    </row>
    <row r="154" spans="1:41" s="100" customFormat="1" ht="18" hidden="1" customHeight="1">
      <c r="A154" s="332"/>
      <c r="B154" s="257" t="s">
        <v>270</v>
      </c>
      <c r="C154" s="258"/>
      <c r="D154" s="258"/>
      <c r="E154" s="258"/>
      <c r="F154" s="259"/>
      <c r="G154" s="260"/>
      <c r="H154" s="261"/>
      <c r="I154" s="376"/>
      <c r="J154" s="101"/>
      <c r="K154" s="262"/>
      <c r="L154" s="263"/>
      <c r="M154" s="264"/>
      <c r="N154" s="264"/>
      <c r="O154" s="264"/>
      <c r="P154" s="264">
        <v>8077.482</v>
      </c>
      <c r="Q154" s="264">
        <f>S154+U154+W154</f>
        <v>5077.4799999999996</v>
      </c>
      <c r="R154" s="264"/>
      <c r="S154" s="264"/>
      <c r="T154" s="264">
        <f>U154</f>
        <v>1077.48</v>
      </c>
      <c r="U154" s="264">
        <v>1077.48</v>
      </c>
      <c r="V154" s="264"/>
      <c r="W154" s="264">
        <v>4000</v>
      </c>
      <c r="X154" s="264"/>
      <c r="Y154" s="264"/>
      <c r="Z154" s="264">
        <f>SUM(AA154:AB154)</f>
        <v>8077.482</v>
      </c>
      <c r="AA154" s="264"/>
      <c r="AB154" s="264">
        <v>8077.482</v>
      </c>
      <c r="AC154" s="264"/>
      <c r="AD154" s="264"/>
      <c r="AE154" s="264"/>
      <c r="AF154" s="264"/>
      <c r="AG154" s="264"/>
      <c r="AH154" s="264"/>
      <c r="AI154" s="264"/>
      <c r="AJ154" s="264"/>
      <c r="AK154" s="264"/>
      <c r="AL154" s="264"/>
      <c r="AM154" s="264"/>
      <c r="AN154" s="264"/>
      <c r="AO154" s="419"/>
    </row>
    <row r="155" spans="1:41" s="100" customFormat="1" ht="18" hidden="1" customHeight="1">
      <c r="A155" s="332"/>
      <c r="B155" s="257" t="s">
        <v>271</v>
      </c>
      <c r="C155" s="258"/>
      <c r="D155" s="258"/>
      <c r="E155" s="258"/>
      <c r="F155" s="259"/>
      <c r="G155" s="260"/>
      <c r="H155" s="261"/>
      <c r="I155" s="376"/>
      <c r="J155" s="101"/>
      <c r="K155" s="262"/>
      <c r="L155" s="263"/>
      <c r="M155" s="264"/>
      <c r="N155" s="264"/>
      <c r="O155" s="264"/>
      <c r="P155" s="264">
        <v>56</v>
      </c>
      <c r="Q155" s="264">
        <v>56</v>
      </c>
      <c r="R155" s="264">
        <v>0</v>
      </c>
      <c r="S155" s="264">
        <v>0</v>
      </c>
      <c r="T155" s="264">
        <v>56</v>
      </c>
      <c r="U155" s="264">
        <v>56</v>
      </c>
      <c r="V155" s="264"/>
      <c r="W155" s="264"/>
      <c r="X155" s="264"/>
      <c r="Y155" s="264"/>
      <c r="Z155" s="264">
        <f>SUM(AA155:AB155)</f>
        <v>56</v>
      </c>
      <c r="AA155" s="264"/>
      <c r="AB155" s="264">
        <v>56</v>
      </c>
      <c r="AC155" s="264"/>
      <c r="AD155" s="264"/>
      <c r="AE155" s="264"/>
      <c r="AF155" s="264"/>
      <c r="AG155" s="264"/>
      <c r="AH155" s="264"/>
      <c r="AI155" s="264"/>
      <c r="AJ155" s="264"/>
      <c r="AK155" s="264"/>
      <c r="AL155" s="264"/>
      <c r="AM155" s="264"/>
      <c r="AN155" s="264"/>
      <c r="AO155" s="419"/>
    </row>
    <row r="156" spans="1:41" s="100" customFormat="1" ht="18" hidden="1" customHeight="1">
      <c r="A156" s="332"/>
      <c r="B156" s="257" t="s">
        <v>302</v>
      </c>
      <c r="C156" s="258"/>
      <c r="D156" s="258"/>
      <c r="E156" s="258"/>
      <c r="F156" s="259"/>
      <c r="G156" s="260"/>
      <c r="H156" s="261"/>
      <c r="I156" s="376"/>
      <c r="J156" s="101"/>
      <c r="K156" s="262"/>
      <c r="L156" s="263"/>
      <c r="M156" s="264"/>
      <c r="N156" s="264"/>
      <c r="O156" s="264"/>
      <c r="P156" s="264"/>
      <c r="Q156" s="264">
        <f>Y156</f>
        <v>8</v>
      </c>
      <c r="R156" s="264"/>
      <c r="S156" s="264"/>
      <c r="T156" s="264"/>
      <c r="U156" s="264"/>
      <c r="V156" s="264"/>
      <c r="W156" s="264"/>
      <c r="X156" s="264">
        <f>Y156</f>
        <v>8</v>
      </c>
      <c r="Y156" s="264">
        <v>8</v>
      </c>
      <c r="Z156" s="264">
        <f>SUM(AA156:AD156)</f>
        <v>8</v>
      </c>
      <c r="AA156" s="264"/>
      <c r="AB156" s="264"/>
      <c r="AC156" s="264"/>
      <c r="AD156" s="264">
        <v>8</v>
      </c>
      <c r="AE156" s="264"/>
      <c r="AF156" s="264"/>
      <c r="AG156" s="264"/>
      <c r="AH156" s="264"/>
      <c r="AI156" s="264"/>
      <c r="AJ156" s="264"/>
      <c r="AK156" s="264"/>
      <c r="AL156" s="264"/>
      <c r="AM156" s="264"/>
      <c r="AN156" s="264"/>
      <c r="AO156" s="419"/>
    </row>
    <row r="157" spans="1:41" s="100" customFormat="1" ht="18" hidden="1" customHeight="1">
      <c r="A157" s="332"/>
      <c r="B157" s="257" t="s">
        <v>303</v>
      </c>
      <c r="C157" s="258"/>
      <c r="D157" s="258"/>
      <c r="E157" s="258"/>
      <c r="F157" s="259"/>
      <c r="G157" s="260"/>
      <c r="H157" s="261"/>
      <c r="I157" s="376"/>
      <c r="J157" s="101"/>
      <c r="K157" s="262"/>
      <c r="L157" s="263"/>
      <c r="M157" s="264"/>
      <c r="N157" s="264"/>
      <c r="O157" s="264"/>
      <c r="P157" s="264"/>
      <c r="Q157" s="264">
        <f>Y157</f>
        <v>23</v>
      </c>
      <c r="R157" s="264"/>
      <c r="S157" s="264"/>
      <c r="T157" s="264"/>
      <c r="U157" s="264"/>
      <c r="V157" s="264"/>
      <c r="W157" s="264"/>
      <c r="X157" s="264">
        <f>Y157</f>
        <v>23</v>
      </c>
      <c r="Y157" s="264">
        <v>23</v>
      </c>
      <c r="Z157" s="264">
        <f>SUM(AA157:AD157)</f>
        <v>23</v>
      </c>
      <c r="AA157" s="264"/>
      <c r="AB157" s="264"/>
      <c r="AC157" s="264"/>
      <c r="AD157" s="264">
        <v>23</v>
      </c>
      <c r="AE157" s="264"/>
      <c r="AF157" s="264"/>
      <c r="AG157" s="264"/>
      <c r="AH157" s="264"/>
      <c r="AI157" s="264"/>
      <c r="AJ157" s="264"/>
      <c r="AK157" s="264"/>
      <c r="AL157" s="264"/>
      <c r="AM157" s="264"/>
      <c r="AN157" s="264"/>
      <c r="AO157" s="419"/>
    </row>
    <row r="158" spans="1:41" ht="27" customHeight="1">
      <c r="A158" s="576"/>
      <c r="B158" s="42" t="s">
        <v>16</v>
      </c>
      <c r="C158" s="342"/>
      <c r="D158" s="342"/>
      <c r="E158" s="342"/>
      <c r="F158" s="319"/>
      <c r="G158" s="343"/>
      <c r="H158" s="344"/>
      <c r="I158" s="577" t="s">
        <v>10</v>
      </c>
      <c r="J158" s="583"/>
      <c r="K158" s="345"/>
      <c r="L158" s="75">
        <v>195485</v>
      </c>
      <c r="M158" s="75">
        <v>195485</v>
      </c>
      <c r="N158" s="75">
        <v>195485</v>
      </c>
      <c r="O158" s="75">
        <v>195485</v>
      </c>
      <c r="P158" s="75">
        <v>195485</v>
      </c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416"/>
    </row>
    <row r="159" spans="1:41" s="100" customFormat="1" ht="18" customHeight="1">
      <c r="A159" s="332"/>
      <c r="B159" s="257"/>
      <c r="C159" s="258"/>
      <c r="D159" s="258"/>
      <c r="E159" s="258"/>
      <c r="F159" s="259"/>
      <c r="G159" s="260"/>
      <c r="H159" s="261"/>
      <c r="I159" s="376"/>
      <c r="J159" s="101"/>
      <c r="K159" s="262"/>
      <c r="L159" s="263"/>
      <c r="M159" s="264"/>
      <c r="N159" s="264"/>
      <c r="O159" s="264"/>
      <c r="P159" s="86"/>
      <c r="Q159" s="264"/>
      <c r="R159" s="264"/>
      <c r="S159" s="264"/>
      <c r="T159" s="264"/>
      <c r="U159" s="264"/>
      <c r="V159" s="264"/>
      <c r="W159" s="264"/>
      <c r="X159" s="86"/>
      <c r="Y159" s="86"/>
      <c r="Z159" s="264"/>
      <c r="AA159" s="264"/>
      <c r="AB159" s="264"/>
      <c r="AC159" s="264"/>
      <c r="AD159" s="264"/>
      <c r="AE159" s="264"/>
      <c r="AF159" s="264"/>
      <c r="AG159" s="264"/>
      <c r="AH159" s="264"/>
      <c r="AI159" s="264"/>
      <c r="AJ159" s="264"/>
      <c r="AK159" s="264"/>
      <c r="AL159" s="264"/>
      <c r="AM159" s="264"/>
      <c r="AN159" s="264"/>
      <c r="AO159" s="419"/>
    </row>
    <row r="160" spans="1:41" ht="43.5" customHeight="1">
      <c r="A160" s="881" t="s">
        <v>24</v>
      </c>
      <c r="B160" s="889" t="s">
        <v>211</v>
      </c>
      <c r="C160" s="890"/>
      <c r="D160" s="890"/>
      <c r="E160" s="890"/>
      <c r="F160" s="890"/>
      <c r="G160" s="890"/>
      <c r="H160" s="891"/>
      <c r="I160" s="23" t="s">
        <v>19</v>
      </c>
      <c r="J160" s="583">
        <v>0</v>
      </c>
      <c r="K160" s="583">
        <v>0</v>
      </c>
      <c r="L160" s="22">
        <v>0</v>
      </c>
      <c r="M160" s="47">
        <v>0</v>
      </c>
      <c r="N160" s="47">
        <v>0</v>
      </c>
      <c r="O160" s="47">
        <v>1</v>
      </c>
      <c r="P160" s="47">
        <v>0</v>
      </c>
      <c r="Q160" s="47">
        <v>0</v>
      </c>
      <c r="R160" s="47">
        <v>0</v>
      </c>
      <c r="S160" s="47">
        <v>0</v>
      </c>
      <c r="T160" s="47">
        <v>0</v>
      </c>
      <c r="U160" s="47">
        <v>0</v>
      </c>
      <c r="V160" s="47">
        <v>0</v>
      </c>
      <c r="W160" s="47">
        <v>0</v>
      </c>
      <c r="X160" s="47">
        <v>0</v>
      </c>
      <c r="Y160" s="47">
        <v>0</v>
      </c>
      <c r="Z160" s="47">
        <v>0</v>
      </c>
      <c r="AA160" s="47">
        <v>0</v>
      </c>
      <c r="AB160" s="47">
        <v>0</v>
      </c>
      <c r="AC160" s="47">
        <v>0</v>
      </c>
      <c r="AD160" s="47">
        <v>0</v>
      </c>
      <c r="AE160" s="47">
        <v>0</v>
      </c>
      <c r="AF160" s="47">
        <v>0</v>
      </c>
      <c r="AG160" s="47">
        <v>0</v>
      </c>
      <c r="AH160" s="47">
        <v>0</v>
      </c>
      <c r="AI160" s="47">
        <v>0</v>
      </c>
      <c r="AJ160" s="47">
        <v>0</v>
      </c>
      <c r="AK160" s="47">
        <v>0</v>
      </c>
      <c r="AL160" s="47">
        <v>0</v>
      </c>
      <c r="AM160" s="47">
        <v>0</v>
      </c>
      <c r="AN160" s="47">
        <v>0</v>
      </c>
      <c r="AO160" s="403"/>
    </row>
    <row r="161" spans="1:41" ht="41.25" customHeight="1">
      <c r="A161" s="881"/>
      <c r="B161" s="892"/>
      <c r="C161" s="893"/>
      <c r="D161" s="893"/>
      <c r="E161" s="893"/>
      <c r="F161" s="893"/>
      <c r="G161" s="893"/>
      <c r="H161" s="894"/>
      <c r="I161" s="23" t="s">
        <v>20</v>
      </c>
      <c r="J161" s="583">
        <f>J164</f>
        <v>6379.79</v>
      </c>
      <c r="K161" s="583">
        <f>K164</f>
        <v>0</v>
      </c>
      <c r="L161" s="47">
        <f t="shared" ref="L161:P161" si="133">L164+L168+L174</f>
        <v>13097.62</v>
      </c>
      <c r="M161" s="47">
        <f t="shared" si="133"/>
        <v>4269.0300000000007</v>
      </c>
      <c r="N161" s="47">
        <f t="shared" si="133"/>
        <v>5370.84</v>
      </c>
      <c r="O161" s="47">
        <f t="shared" si="133"/>
        <v>3372.5</v>
      </c>
      <c r="P161" s="47">
        <f t="shared" si="133"/>
        <v>5370.84</v>
      </c>
      <c r="Q161" s="47">
        <f>Q164+Q168+Q174</f>
        <v>0</v>
      </c>
      <c r="R161" s="47">
        <f t="shared" ref="R161:AJ161" si="134">R164+R168+R174</f>
        <v>0</v>
      </c>
      <c r="S161" s="47">
        <f t="shared" si="134"/>
        <v>0</v>
      </c>
      <c r="T161" s="47">
        <f t="shared" si="134"/>
        <v>0</v>
      </c>
      <c r="U161" s="47">
        <f t="shared" si="134"/>
        <v>0</v>
      </c>
      <c r="V161" s="47">
        <f t="shared" si="134"/>
        <v>0</v>
      </c>
      <c r="W161" s="47">
        <f t="shared" si="134"/>
        <v>0</v>
      </c>
      <c r="X161" s="47">
        <f t="shared" si="134"/>
        <v>0</v>
      </c>
      <c r="Y161" s="47">
        <f t="shared" si="134"/>
        <v>0</v>
      </c>
      <c r="Z161" s="47">
        <f t="shared" si="134"/>
        <v>0</v>
      </c>
      <c r="AA161" s="47">
        <f t="shared" si="134"/>
        <v>0</v>
      </c>
      <c r="AB161" s="47">
        <f t="shared" si="134"/>
        <v>0</v>
      </c>
      <c r="AC161" s="47">
        <f t="shared" si="134"/>
        <v>0</v>
      </c>
      <c r="AD161" s="47">
        <f t="shared" si="134"/>
        <v>0</v>
      </c>
      <c r="AE161" s="47">
        <f t="shared" si="134"/>
        <v>0</v>
      </c>
      <c r="AF161" s="47">
        <f t="shared" si="134"/>
        <v>0</v>
      </c>
      <c r="AG161" s="47">
        <f t="shared" si="134"/>
        <v>0</v>
      </c>
      <c r="AH161" s="47">
        <f t="shared" si="134"/>
        <v>0</v>
      </c>
      <c r="AI161" s="47">
        <f t="shared" si="134"/>
        <v>0</v>
      </c>
      <c r="AJ161" s="47">
        <f t="shared" si="134"/>
        <v>5370.84</v>
      </c>
      <c r="AK161" s="47">
        <f t="shared" ref="AK161:AN161" si="135">AK164</f>
        <v>5370.84</v>
      </c>
      <c r="AL161" s="47">
        <f t="shared" si="135"/>
        <v>0</v>
      </c>
      <c r="AM161" s="47">
        <f t="shared" si="135"/>
        <v>0</v>
      </c>
      <c r="AN161" s="47">
        <f t="shared" si="135"/>
        <v>0</v>
      </c>
      <c r="AO161" s="403"/>
    </row>
    <row r="162" spans="1:41" ht="38.25" customHeight="1">
      <c r="A162" s="881"/>
      <c r="B162" s="892"/>
      <c r="C162" s="893"/>
      <c r="D162" s="893"/>
      <c r="E162" s="893"/>
      <c r="F162" s="893"/>
      <c r="G162" s="893"/>
      <c r="H162" s="894"/>
      <c r="I162" s="15" t="s">
        <v>10</v>
      </c>
      <c r="J162" s="583">
        <v>0</v>
      </c>
      <c r="K162" s="583">
        <v>0</v>
      </c>
      <c r="L162" s="22">
        <f>L180+L182</f>
        <v>2305.4499999999998</v>
      </c>
      <c r="M162" s="22">
        <f>M180+M182</f>
        <v>1650.1</v>
      </c>
      <c r="N162" s="22">
        <f t="shared" ref="N162:AI162" si="136">N180+N182</f>
        <v>0</v>
      </c>
      <c r="O162" s="22">
        <f t="shared" si="136"/>
        <v>0</v>
      </c>
      <c r="P162" s="22">
        <f t="shared" si="136"/>
        <v>0</v>
      </c>
      <c r="Q162" s="22">
        <f t="shared" si="136"/>
        <v>0</v>
      </c>
      <c r="R162" s="22">
        <f t="shared" si="136"/>
        <v>0</v>
      </c>
      <c r="S162" s="22">
        <f t="shared" si="136"/>
        <v>0</v>
      </c>
      <c r="T162" s="22">
        <f t="shared" si="136"/>
        <v>0</v>
      </c>
      <c r="U162" s="22">
        <f t="shared" si="136"/>
        <v>0</v>
      </c>
      <c r="V162" s="22">
        <f t="shared" si="136"/>
        <v>0</v>
      </c>
      <c r="W162" s="22">
        <f t="shared" si="136"/>
        <v>0</v>
      </c>
      <c r="X162" s="22">
        <f t="shared" si="136"/>
        <v>0</v>
      </c>
      <c r="Y162" s="22">
        <f t="shared" si="136"/>
        <v>0</v>
      </c>
      <c r="Z162" s="22">
        <f t="shared" si="136"/>
        <v>0</v>
      </c>
      <c r="AA162" s="22">
        <f t="shared" si="136"/>
        <v>0</v>
      </c>
      <c r="AB162" s="22">
        <f t="shared" si="136"/>
        <v>0</v>
      </c>
      <c r="AC162" s="22">
        <f t="shared" si="136"/>
        <v>0</v>
      </c>
      <c r="AD162" s="22">
        <f t="shared" si="136"/>
        <v>0</v>
      </c>
      <c r="AE162" s="22">
        <f t="shared" si="136"/>
        <v>0</v>
      </c>
      <c r="AF162" s="22">
        <f t="shared" si="136"/>
        <v>0</v>
      </c>
      <c r="AG162" s="22">
        <f t="shared" si="136"/>
        <v>0</v>
      </c>
      <c r="AH162" s="22">
        <f t="shared" si="136"/>
        <v>0</v>
      </c>
      <c r="AI162" s="22">
        <f t="shared" si="136"/>
        <v>0</v>
      </c>
      <c r="AJ162" s="22">
        <v>0</v>
      </c>
      <c r="AK162" s="22">
        <v>0</v>
      </c>
      <c r="AL162" s="22">
        <v>0</v>
      </c>
      <c r="AM162" s="22">
        <v>0</v>
      </c>
      <c r="AN162" s="22">
        <v>0</v>
      </c>
      <c r="AO162" s="404"/>
    </row>
    <row r="163" spans="1:41" ht="25.5">
      <c r="A163" s="881"/>
      <c r="B163" s="895"/>
      <c r="C163" s="896"/>
      <c r="D163" s="896"/>
      <c r="E163" s="896"/>
      <c r="F163" s="896"/>
      <c r="G163" s="896"/>
      <c r="H163" s="897"/>
      <c r="I163" s="15" t="s">
        <v>9</v>
      </c>
      <c r="J163" s="583">
        <v>0</v>
      </c>
      <c r="K163" s="583">
        <v>0</v>
      </c>
      <c r="L163" s="22">
        <v>0</v>
      </c>
      <c r="M163" s="22">
        <v>0</v>
      </c>
      <c r="N163" s="22">
        <v>0</v>
      </c>
      <c r="O163" s="22">
        <v>1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  <c r="V163" s="22">
        <v>0</v>
      </c>
      <c r="W163" s="22">
        <v>0</v>
      </c>
      <c r="X163" s="22">
        <v>0</v>
      </c>
      <c r="Y163" s="22">
        <v>0</v>
      </c>
      <c r="Z163" s="22">
        <v>0</v>
      </c>
      <c r="AA163" s="22">
        <v>0</v>
      </c>
      <c r="AB163" s="22">
        <v>0</v>
      </c>
      <c r="AC163" s="22">
        <v>0</v>
      </c>
      <c r="AD163" s="22">
        <v>0</v>
      </c>
      <c r="AE163" s="22">
        <v>0</v>
      </c>
      <c r="AF163" s="22">
        <v>0</v>
      </c>
      <c r="AG163" s="22">
        <v>0</v>
      </c>
      <c r="AH163" s="22">
        <v>0</v>
      </c>
      <c r="AI163" s="22">
        <v>0</v>
      </c>
      <c r="AJ163" s="22">
        <v>0</v>
      </c>
      <c r="AK163" s="22">
        <v>0</v>
      </c>
      <c r="AL163" s="22">
        <v>0</v>
      </c>
      <c r="AM163" s="22">
        <v>0</v>
      </c>
      <c r="AN163" s="22">
        <v>0</v>
      </c>
      <c r="AO163" s="404"/>
    </row>
    <row r="164" spans="1:41" ht="27" customHeight="1">
      <c r="A164" s="825" t="s">
        <v>30</v>
      </c>
      <c r="B164" s="80" t="s">
        <v>178</v>
      </c>
      <c r="C164" s="815">
        <v>300</v>
      </c>
      <c r="D164" s="815">
        <v>570</v>
      </c>
      <c r="E164" s="815"/>
      <c r="F164" s="815"/>
      <c r="G164" s="562"/>
      <c r="H164" s="562"/>
      <c r="I164" s="837" t="s">
        <v>20</v>
      </c>
      <c r="J164" s="912">
        <v>6379.79</v>
      </c>
      <c r="K164" s="3">
        <v>0</v>
      </c>
      <c r="L164" s="82">
        <f t="shared" ref="L164:AI164" si="137">L165+L167</f>
        <v>5597.58</v>
      </c>
      <c r="M164" s="82">
        <f t="shared" si="137"/>
        <v>0</v>
      </c>
      <c r="N164" s="82">
        <f t="shared" si="137"/>
        <v>5370.84</v>
      </c>
      <c r="O164" s="82">
        <f t="shared" si="137"/>
        <v>3372.5</v>
      </c>
      <c r="P164" s="82">
        <f t="shared" si="137"/>
        <v>5370.84</v>
      </c>
      <c r="Q164" s="82">
        <f t="shared" si="137"/>
        <v>0</v>
      </c>
      <c r="R164" s="82">
        <f t="shared" si="137"/>
        <v>0</v>
      </c>
      <c r="S164" s="82">
        <f t="shared" si="137"/>
        <v>0</v>
      </c>
      <c r="T164" s="82">
        <f t="shared" si="137"/>
        <v>0</v>
      </c>
      <c r="U164" s="82">
        <f t="shared" si="137"/>
        <v>0</v>
      </c>
      <c r="V164" s="82">
        <f t="shared" si="137"/>
        <v>0</v>
      </c>
      <c r="W164" s="82">
        <f t="shared" si="137"/>
        <v>0</v>
      </c>
      <c r="X164" s="82">
        <f t="shared" si="137"/>
        <v>0</v>
      </c>
      <c r="Y164" s="82">
        <f t="shared" si="137"/>
        <v>0</v>
      </c>
      <c r="Z164" s="82">
        <f t="shared" si="137"/>
        <v>0</v>
      </c>
      <c r="AA164" s="82">
        <f t="shared" si="137"/>
        <v>0</v>
      </c>
      <c r="AB164" s="82">
        <f t="shared" si="137"/>
        <v>0</v>
      </c>
      <c r="AC164" s="82">
        <f t="shared" si="137"/>
        <v>0</v>
      </c>
      <c r="AD164" s="82">
        <f t="shared" si="137"/>
        <v>0</v>
      </c>
      <c r="AE164" s="82">
        <f t="shared" si="137"/>
        <v>0</v>
      </c>
      <c r="AF164" s="82">
        <f t="shared" si="137"/>
        <v>0</v>
      </c>
      <c r="AG164" s="82">
        <f t="shared" si="137"/>
        <v>0</v>
      </c>
      <c r="AH164" s="82">
        <f t="shared" si="137"/>
        <v>0</v>
      </c>
      <c r="AI164" s="82">
        <f t="shared" si="137"/>
        <v>0</v>
      </c>
      <c r="AJ164" s="82">
        <f>P164-Q164</f>
        <v>5370.84</v>
      </c>
      <c r="AK164" s="82">
        <f>AJ164</f>
        <v>5370.84</v>
      </c>
      <c r="AL164" s="79">
        <f>ROUND((Q164*100%/P164*100),2)</f>
        <v>0</v>
      </c>
      <c r="AM164" s="82">
        <f>AM165+AM167</f>
        <v>0</v>
      </c>
      <c r="AN164" s="82">
        <f>AN165+AN167</f>
        <v>0</v>
      </c>
      <c r="AO164" s="411" t="s">
        <v>251</v>
      </c>
    </row>
    <row r="165" spans="1:41">
      <c r="A165" s="826"/>
      <c r="B165" s="1" t="s">
        <v>15</v>
      </c>
      <c r="C165" s="816"/>
      <c r="D165" s="816"/>
      <c r="E165" s="816"/>
      <c r="F165" s="816"/>
      <c r="G165" s="586">
        <v>2019</v>
      </c>
      <c r="H165" s="586">
        <v>2019</v>
      </c>
      <c r="I165" s="838"/>
      <c r="J165" s="913"/>
      <c r="K165" s="3"/>
      <c r="L165" s="47">
        <v>5597.58</v>
      </c>
      <c r="M165" s="50">
        <v>0</v>
      </c>
      <c r="N165" s="50">
        <v>5370.84</v>
      </c>
      <c r="O165" s="50">
        <v>0</v>
      </c>
      <c r="P165" s="460">
        <f>N165</f>
        <v>5370.84</v>
      </c>
      <c r="Q165" s="50">
        <f>SUM(Q166)</f>
        <v>0</v>
      </c>
      <c r="R165" s="50">
        <f t="shared" ref="R165:AN165" si="138">SUM(R166)</f>
        <v>0</v>
      </c>
      <c r="S165" s="50">
        <f t="shared" si="138"/>
        <v>0</v>
      </c>
      <c r="T165" s="50">
        <f t="shared" si="138"/>
        <v>0</v>
      </c>
      <c r="U165" s="50">
        <f t="shared" si="138"/>
        <v>0</v>
      </c>
      <c r="V165" s="50">
        <f t="shared" si="138"/>
        <v>0</v>
      </c>
      <c r="W165" s="50">
        <f t="shared" si="138"/>
        <v>0</v>
      </c>
      <c r="X165" s="50">
        <f t="shared" si="138"/>
        <v>0</v>
      </c>
      <c r="Y165" s="50">
        <f t="shared" si="138"/>
        <v>0</v>
      </c>
      <c r="Z165" s="50">
        <f t="shared" si="138"/>
        <v>0</v>
      </c>
      <c r="AA165" s="50">
        <f t="shared" si="138"/>
        <v>0</v>
      </c>
      <c r="AB165" s="50">
        <f t="shared" si="138"/>
        <v>0</v>
      </c>
      <c r="AC165" s="50">
        <f t="shared" si="138"/>
        <v>0</v>
      </c>
      <c r="AD165" s="50">
        <f t="shared" si="138"/>
        <v>0</v>
      </c>
      <c r="AE165" s="50">
        <f>SUM(AE166)</f>
        <v>0</v>
      </c>
      <c r="AF165" s="50">
        <f t="shared" ref="AF165:AI165" si="139">SUM(AF166)</f>
        <v>0</v>
      </c>
      <c r="AG165" s="50">
        <f t="shared" si="139"/>
        <v>0</v>
      </c>
      <c r="AH165" s="50">
        <f t="shared" si="139"/>
        <v>0</v>
      </c>
      <c r="AI165" s="50">
        <f t="shared" si="139"/>
        <v>0</v>
      </c>
      <c r="AJ165" s="50">
        <f t="shared" si="138"/>
        <v>0</v>
      </c>
      <c r="AK165" s="50">
        <f t="shared" si="138"/>
        <v>0</v>
      </c>
      <c r="AL165" s="50">
        <f t="shared" si="138"/>
        <v>0</v>
      </c>
      <c r="AM165" s="50">
        <f t="shared" si="138"/>
        <v>0</v>
      </c>
      <c r="AN165" s="50">
        <f t="shared" si="138"/>
        <v>0</v>
      </c>
      <c r="AO165" s="420"/>
    </row>
    <row r="166" spans="1:41" s="273" customFormat="1">
      <c r="A166" s="826"/>
      <c r="B166" s="95"/>
      <c r="C166" s="816"/>
      <c r="D166" s="816"/>
      <c r="E166" s="816"/>
      <c r="F166" s="816"/>
      <c r="G166" s="107"/>
      <c r="H166" s="107"/>
      <c r="I166" s="838"/>
      <c r="J166" s="913"/>
      <c r="K166" s="98"/>
      <c r="L166" s="99"/>
      <c r="M166" s="268"/>
      <c r="N166" s="268"/>
      <c r="O166" s="268"/>
      <c r="P166" s="50"/>
      <c r="Q166" s="268"/>
      <c r="R166" s="268"/>
      <c r="S166" s="268"/>
      <c r="T166" s="268"/>
      <c r="U166" s="268"/>
      <c r="V166" s="268"/>
      <c r="W166" s="268"/>
      <c r="X166" s="268"/>
      <c r="Y166" s="268"/>
      <c r="Z166" s="268"/>
      <c r="AA166" s="268"/>
      <c r="AB166" s="268"/>
      <c r="AC166" s="268"/>
      <c r="AD166" s="268"/>
      <c r="AE166" s="268">
        <f>SUM(AF166:AF166)</f>
        <v>0</v>
      </c>
      <c r="AF166" s="268"/>
      <c r="AG166" s="268"/>
      <c r="AH166" s="268"/>
      <c r="AI166" s="268"/>
      <c r="AJ166" s="268"/>
      <c r="AK166" s="268"/>
      <c r="AL166" s="268"/>
      <c r="AM166" s="268"/>
      <c r="AN166" s="268"/>
      <c r="AO166" s="421"/>
    </row>
    <row r="167" spans="1:41" ht="15.75" customHeight="1">
      <c r="A167" s="827"/>
      <c r="B167" s="562" t="s">
        <v>16</v>
      </c>
      <c r="C167" s="900"/>
      <c r="D167" s="900"/>
      <c r="E167" s="900"/>
      <c r="F167" s="900"/>
      <c r="G167" s="586">
        <v>2021</v>
      </c>
      <c r="H167" s="586">
        <v>2021</v>
      </c>
      <c r="I167" s="840"/>
      <c r="J167" s="914"/>
      <c r="K167" s="3"/>
      <c r="L167" s="47">
        <v>0</v>
      </c>
      <c r="M167" s="50">
        <v>0</v>
      </c>
      <c r="N167" s="50">
        <v>0</v>
      </c>
      <c r="O167" s="50">
        <v>3372.5</v>
      </c>
      <c r="P167" s="50">
        <v>0</v>
      </c>
      <c r="Q167" s="50">
        <v>0</v>
      </c>
      <c r="R167" s="50">
        <v>0</v>
      </c>
      <c r="S167" s="50">
        <v>0</v>
      </c>
      <c r="T167" s="50">
        <v>0</v>
      </c>
      <c r="U167" s="50">
        <v>0</v>
      </c>
      <c r="V167" s="50">
        <v>0</v>
      </c>
      <c r="W167" s="50">
        <v>0</v>
      </c>
      <c r="X167" s="50">
        <v>0</v>
      </c>
      <c r="Y167" s="50">
        <v>0</v>
      </c>
      <c r="Z167" s="50">
        <v>0</v>
      </c>
      <c r="AA167" s="50">
        <v>0</v>
      </c>
      <c r="AB167" s="50">
        <v>0</v>
      </c>
      <c r="AC167" s="50">
        <v>0</v>
      </c>
      <c r="AD167" s="50">
        <v>0</v>
      </c>
      <c r="AE167" s="50">
        <v>0</v>
      </c>
      <c r="AF167" s="50">
        <v>0</v>
      </c>
      <c r="AG167" s="50">
        <v>0</v>
      </c>
      <c r="AH167" s="50">
        <v>0</v>
      </c>
      <c r="AI167" s="50">
        <v>0</v>
      </c>
      <c r="AJ167" s="50">
        <v>0</v>
      </c>
      <c r="AK167" s="50">
        <v>0</v>
      </c>
      <c r="AL167" s="50">
        <v>0</v>
      </c>
      <c r="AM167" s="50">
        <v>0</v>
      </c>
      <c r="AN167" s="50">
        <v>0</v>
      </c>
      <c r="AO167" s="420"/>
    </row>
    <row r="168" spans="1:41" ht="53.25" customHeight="1">
      <c r="A168" s="825" t="s">
        <v>179</v>
      </c>
      <c r="B168" s="80" t="s">
        <v>180</v>
      </c>
      <c r="C168" s="143"/>
      <c r="D168" s="143"/>
      <c r="E168" s="143"/>
      <c r="F168" s="143"/>
      <c r="G168" s="562"/>
      <c r="H168" s="562"/>
      <c r="I168" s="837" t="s">
        <v>20</v>
      </c>
      <c r="J168" s="588"/>
      <c r="K168" s="3"/>
      <c r="L168" s="82">
        <f>L169</f>
        <v>3750.02</v>
      </c>
      <c r="M168" s="82">
        <f>M169</f>
        <v>1639</v>
      </c>
      <c r="N168" s="82">
        <f t="shared" ref="N168:AN168" si="140">N169</f>
        <v>0</v>
      </c>
      <c r="O168" s="82">
        <f t="shared" si="140"/>
        <v>0</v>
      </c>
      <c r="P168" s="82">
        <f t="shared" si="140"/>
        <v>0</v>
      </c>
      <c r="Q168" s="82">
        <f t="shared" si="140"/>
        <v>0</v>
      </c>
      <c r="R168" s="82">
        <f t="shared" si="140"/>
        <v>0</v>
      </c>
      <c r="S168" s="82">
        <f t="shared" si="140"/>
        <v>0</v>
      </c>
      <c r="T168" s="82">
        <f t="shared" si="140"/>
        <v>0</v>
      </c>
      <c r="U168" s="82">
        <f t="shared" si="140"/>
        <v>0</v>
      </c>
      <c r="V168" s="82">
        <f t="shared" si="140"/>
        <v>0</v>
      </c>
      <c r="W168" s="82">
        <f t="shared" si="140"/>
        <v>0</v>
      </c>
      <c r="X168" s="82">
        <f t="shared" si="140"/>
        <v>0</v>
      </c>
      <c r="Y168" s="82">
        <f t="shared" si="140"/>
        <v>0</v>
      </c>
      <c r="Z168" s="82">
        <f t="shared" si="140"/>
        <v>0</v>
      </c>
      <c r="AA168" s="82">
        <f t="shared" si="140"/>
        <v>0</v>
      </c>
      <c r="AB168" s="82">
        <f t="shared" si="140"/>
        <v>0</v>
      </c>
      <c r="AC168" s="82">
        <f t="shared" si="140"/>
        <v>0</v>
      </c>
      <c r="AD168" s="82">
        <f t="shared" si="140"/>
        <v>0</v>
      </c>
      <c r="AE168" s="82">
        <f t="shared" si="140"/>
        <v>0</v>
      </c>
      <c r="AF168" s="82">
        <f t="shared" si="140"/>
        <v>0</v>
      </c>
      <c r="AG168" s="82">
        <f t="shared" si="140"/>
        <v>0</v>
      </c>
      <c r="AH168" s="82">
        <f t="shared" si="140"/>
        <v>0</v>
      </c>
      <c r="AI168" s="82">
        <f t="shared" si="140"/>
        <v>0</v>
      </c>
      <c r="AJ168" s="82">
        <f t="shared" si="140"/>
        <v>0</v>
      </c>
      <c r="AK168" s="82">
        <f t="shared" si="140"/>
        <v>0</v>
      </c>
      <c r="AL168" s="82">
        <f t="shared" si="140"/>
        <v>0</v>
      </c>
      <c r="AM168" s="82">
        <f t="shared" si="140"/>
        <v>0</v>
      </c>
      <c r="AN168" s="82">
        <f t="shared" si="140"/>
        <v>0</v>
      </c>
      <c r="AO168" s="411" t="s">
        <v>264</v>
      </c>
    </row>
    <row r="169" spans="1:41" ht="15.75" customHeight="1">
      <c r="A169" s="827"/>
      <c r="B169" s="42" t="s">
        <v>15</v>
      </c>
      <c r="C169" s="143"/>
      <c r="D169" s="143"/>
      <c r="E169" s="143"/>
      <c r="F169" s="143"/>
      <c r="G169" s="320"/>
      <c r="H169" s="321"/>
      <c r="I169" s="840"/>
      <c r="J169" s="588"/>
      <c r="K169" s="325"/>
      <c r="L169" s="47">
        <v>3750.02</v>
      </c>
      <c r="M169" s="47">
        <v>1639</v>
      </c>
      <c r="N169" s="47">
        <v>0</v>
      </c>
      <c r="O169" s="47">
        <v>0</v>
      </c>
      <c r="P169" s="47">
        <v>0</v>
      </c>
      <c r="Q169" s="50">
        <f>SUM(Q170:Q173)</f>
        <v>0</v>
      </c>
      <c r="R169" s="50">
        <f t="shared" ref="R169:AI169" si="141">SUM(R170:R173)</f>
        <v>0</v>
      </c>
      <c r="S169" s="50">
        <f t="shared" si="141"/>
        <v>0</v>
      </c>
      <c r="T169" s="50">
        <f t="shared" si="141"/>
        <v>0</v>
      </c>
      <c r="U169" s="50">
        <f t="shared" si="141"/>
        <v>0</v>
      </c>
      <c r="V169" s="50">
        <f t="shared" si="141"/>
        <v>0</v>
      </c>
      <c r="W169" s="50">
        <f t="shared" si="141"/>
        <v>0</v>
      </c>
      <c r="X169" s="47">
        <v>0</v>
      </c>
      <c r="Y169" s="50">
        <f t="shared" si="141"/>
        <v>0</v>
      </c>
      <c r="Z169" s="50">
        <f t="shared" si="141"/>
        <v>0</v>
      </c>
      <c r="AA169" s="50">
        <f t="shared" si="141"/>
        <v>0</v>
      </c>
      <c r="AB169" s="50">
        <f t="shared" si="141"/>
        <v>0</v>
      </c>
      <c r="AC169" s="50">
        <f t="shared" si="141"/>
        <v>0</v>
      </c>
      <c r="AD169" s="50">
        <f t="shared" si="141"/>
        <v>0</v>
      </c>
      <c r="AE169" s="50">
        <f t="shared" si="141"/>
        <v>0</v>
      </c>
      <c r="AF169" s="50">
        <f t="shared" si="141"/>
        <v>0</v>
      </c>
      <c r="AG169" s="50">
        <f t="shared" si="141"/>
        <v>0</v>
      </c>
      <c r="AH169" s="50">
        <f t="shared" si="141"/>
        <v>0</v>
      </c>
      <c r="AI169" s="50">
        <f t="shared" si="141"/>
        <v>0</v>
      </c>
      <c r="AJ169" s="50">
        <f>SUM(AJ170:AJ173)</f>
        <v>0</v>
      </c>
      <c r="AK169" s="50">
        <f t="shared" ref="AK169:AN169" si="142">SUM(AK170:AK173)</f>
        <v>0</v>
      </c>
      <c r="AL169" s="50">
        <f t="shared" si="142"/>
        <v>0</v>
      </c>
      <c r="AM169" s="50">
        <f t="shared" si="142"/>
        <v>0</v>
      </c>
      <c r="AN169" s="50">
        <f t="shared" si="142"/>
        <v>0</v>
      </c>
      <c r="AO169" s="420"/>
    </row>
    <row r="170" spans="1:41" s="100" customFormat="1" ht="15.75" hidden="1" customHeight="1">
      <c r="A170" s="374"/>
      <c r="B170" s="257" t="s">
        <v>239</v>
      </c>
      <c r="C170" s="377"/>
      <c r="D170" s="377"/>
      <c r="E170" s="377"/>
      <c r="F170" s="377"/>
      <c r="G170" s="371"/>
      <c r="H170" s="372"/>
      <c r="I170" s="378"/>
      <c r="J170" s="379"/>
      <c r="K170" s="380"/>
      <c r="L170" s="99"/>
      <c r="M170" s="99"/>
      <c r="N170" s="99"/>
      <c r="O170" s="99"/>
      <c r="P170" s="47"/>
      <c r="Q170" s="268">
        <f>Y170</f>
        <v>0</v>
      </c>
      <c r="R170" s="268"/>
      <c r="S170" s="268"/>
      <c r="T170" s="268"/>
      <c r="U170" s="268"/>
      <c r="V170" s="268"/>
      <c r="W170" s="268"/>
      <c r="X170" s="268">
        <v>0</v>
      </c>
      <c r="Y170" s="268">
        <v>0</v>
      </c>
      <c r="Z170" s="268">
        <v>0</v>
      </c>
      <c r="AA170" s="268">
        <v>0</v>
      </c>
      <c r="AB170" s="268"/>
      <c r="AC170" s="268"/>
      <c r="AD170" s="268"/>
      <c r="AE170" s="268"/>
      <c r="AF170" s="268"/>
      <c r="AG170" s="268"/>
      <c r="AH170" s="268"/>
      <c r="AI170" s="268"/>
      <c r="AJ170" s="268"/>
      <c r="AK170" s="268"/>
      <c r="AL170" s="268"/>
      <c r="AM170" s="268"/>
      <c r="AN170" s="268"/>
      <c r="AO170" s="421"/>
    </row>
    <row r="171" spans="1:41" s="100" customFormat="1" ht="15.75" hidden="1" customHeight="1">
      <c r="A171" s="374"/>
      <c r="B171" s="257" t="s">
        <v>240</v>
      </c>
      <c r="C171" s="377"/>
      <c r="D171" s="377"/>
      <c r="E171" s="377"/>
      <c r="F171" s="377"/>
      <c r="G171" s="371"/>
      <c r="H171" s="372"/>
      <c r="I171" s="378"/>
      <c r="J171" s="379"/>
      <c r="K171" s="380"/>
      <c r="L171" s="99"/>
      <c r="M171" s="99"/>
      <c r="N171" s="99"/>
      <c r="O171" s="99"/>
      <c r="P171" s="47"/>
      <c r="Q171" s="268">
        <f t="shared" ref="Q171:Q173" si="143">Y171</f>
        <v>0</v>
      </c>
      <c r="R171" s="268"/>
      <c r="S171" s="268"/>
      <c r="T171" s="268"/>
      <c r="U171" s="268"/>
      <c r="V171" s="268"/>
      <c r="W171" s="268"/>
      <c r="X171" s="268">
        <v>0</v>
      </c>
      <c r="Y171" s="268">
        <v>0</v>
      </c>
      <c r="Z171" s="268">
        <v>0</v>
      </c>
      <c r="AA171" s="268">
        <v>0</v>
      </c>
      <c r="AB171" s="268"/>
      <c r="AC171" s="268"/>
      <c r="AD171" s="268"/>
      <c r="AE171" s="268"/>
      <c r="AF171" s="268"/>
      <c r="AG171" s="268"/>
      <c r="AH171" s="268"/>
      <c r="AI171" s="268"/>
      <c r="AJ171" s="268"/>
      <c r="AK171" s="268"/>
      <c r="AL171" s="268"/>
      <c r="AM171" s="268"/>
      <c r="AN171" s="268"/>
      <c r="AO171" s="421"/>
    </row>
    <row r="172" spans="1:41" s="100" customFormat="1" ht="15.75" hidden="1" customHeight="1">
      <c r="A172" s="374"/>
      <c r="B172" s="257" t="s">
        <v>241</v>
      </c>
      <c r="C172" s="377"/>
      <c r="D172" s="377"/>
      <c r="E172" s="377"/>
      <c r="F172" s="377"/>
      <c r="G172" s="371"/>
      <c r="H172" s="372"/>
      <c r="I172" s="378"/>
      <c r="J172" s="379"/>
      <c r="K172" s="380"/>
      <c r="L172" s="99"/>
      <c r="M172" s="99"/>
      <c r="N172" s="99"/>
      <c r="O172" s="99"/>
      <c r="P172" s="47"/>
      <c r="Q172" s="268">
        <f t="shared" si="143"/>
        <v>0</v>
      </c>
      <c r="R172" s="268"/>
      <c r="S172" s="268"/>
      <c r="T172" s="268"/>
      <c r="U172" s="268"/>
      <c r="V172" s="268"/>
      <c r="W172" s="268"/>
      <c r="X172" s="268">
        <v>0</v>
      </c>
      <c r="Y172" s="268">
        <v>0</v>
      </c>
      <c r="Z172" s="268">
        <v>0</v>
      </c>
      <c r="AA172" s="268">
        <v>0</v>
      </c>
      <c r="AB172" s="268"/>
      <c r="AC172" s="268"/>
      <c r="AD172" s="268"/>
      <c r="AE172" s="268"/>
      <c r="AF172" s="268"/>
      <c r="AG172" s="268"/>
      <c r="AH172" s="268"/>
      <c r="AI172" s="268"/>
      <c r="AJ172" s="268"/>
      <c r="AK172" s="268"/>
      <c r="AL172" s="268"/>
      <c r="AM172" s="268"/>
      <c r="AN172" s="268"/>
      <c r="AO172" s="421"/>
    </row>
    <row r="173" spans="1:41" s="100" customFormat="1" ht="15.75" hidden="1" customHeight="1">
      <c r="A173" s="374"/>
      <c r="B173" s="257" t="s">
        <v>242</v>
      </c>
      <c r="C173" s="377"/>
      <c r="D173" s="377"/>
      <c r="E173" s="377"/>
      <c r="F173" s="377"/>
      <c r="G173" s="371"/>
      <c r="H173" s="372"/>
      <c r="I173" s="378"/>
      <c r="J173" s="379"/>
      <c r="K173" s="380"/>
      <c r="L173" s="99"/>
      <c r="M173" s="99"/>
      <c r="N173" s="99"/>
      <c r="O173" s="99"/>
      <c r="P173" s="47"/>
      <c r="Q173" s="268">
        <f t="shared" si="143"/>
        <v>0</v>
      </c>
      <c r="R173" s="268"/>
      <c r="S173" s="268"/>
      <c r="T173" s="268"/>
      <c r="U173" s="268"/>
      <c r="V173" s="268"/>
      <c r="W173" s="268"/>
      <c r="X173" s="268">
        <v>0</v>
      </c>
      <c r="Y173" s="268">
        <v>0</v>
      </c>
      <c r="Z173" s="268">
        <v>0</v>
      </c>
      <c r="AA173" s="268">
        <v>0</v>
      </c>
      <c r="AB173" s="268"/>
      <c r="AC173" s="268"/>
      <c r="AD173" s="268"/>
      <c r="AE173" s="268"/>
      <c r="AF173" s="268"/>
      <c r="AG173" s="268"/>
      <c r="AH173" s="268"/>
      <c r="AI173" s="268"/>
      <c r="AJ173" s="268"/>
      <c r="AK173" s="268"/>
      <c r="AL173" s="268"/>
      <c r="AM173" s="268"/>
      <c r="AN173" s="268"/>
      <c r="AO173" s="421"/>
    </row>
    <row r="174" spans="1:41" ht="63" customHeight="1">
      <c r="A174" s="574" t="s">
        <v>181</v>
      </c>
      <c r="B174" s="80" t="s">
        <v>182</v>
      </c>
      <c r="C174" s="143"/>
      <c r="D174" s="143"/>
      <c r="E174" s="143"/>
      <c r="F174" s="143"/>
      <c r="G174" s="562"/>
      <c r="H174" s="562"/>
      <c r="I174" s="837" t="s">
        <v>20</v>
      </c>
      <c r="J174" s="588"/>
      <c r="K174" s="3"/>
      <c r="L174" s="82">
        <f>L175</f>
        <v>3750.02</v>
      </c>
      <c r="M174" s="82">
        <f>M175</f>
        <v>2630.03</v>
      </c>
      <c r="N174" s="82">
        <f t="shared" ref="N174:AN174" si="144">N175</f>
        <v>0</v>
      </c>
      <c r="O174" s="82">
        <f t="shared" si="144"/>
        <v>0</v>
      </c>
      <c r="P174" s="82">
        <f t="shared" si="144"/>
        <v>0</v>
      </c>
      <c r="Q174" s="82">
        <f t="shared" si="144"/>
        <v>0</v>
      </c>
      <c r="R174" s="82">
        <f t="shared" si="144"/>
        <v>0</v>
      </c>
      <c r="S174" s="82">
        <f t="shared" si="144"/>
        <v>0</v>
      </c>
      <c r="T174" s="82">
        <f t="shared" si="144"/>
        <v>0</v>
      </c>
      <c r="U174" s="82">
        <f t="shared" si="144"/>
        <v>0</v>
      </c>
      <c r="V174" s="82">
        <f t="shared" si="144"/>
        <v>0</v>
      </c>
      <c r="W174" s="82">
        <f t="shared" si="144"/>
        <v>0</v>
      </c>
      <c r="X174" s="82">
        <f t="shared" si="144"/>
        <v>0</v>
      </c>
      <c r="Y174" s="82">
        <f t="shared" si="144"/>
        <v>0</v>
      </c>
      <c r="Z174" s="82">
        <f t="shared" si="144"/>
        <v>0</v>
      </c>
      <c r="AA174" s="82">
        <f t="shared" si="144"/>
        <v>0</v>
      </c>
      <c r="AB174" s="82">
        <f t="shared" si="144"/>
        <v>0</v>
      </c>
      <c r="AC174" s="82">
        <f t="shared" si="144"/>
        <v>0</v>
      </c>
      <c r="AD174" s="82">
        <f t="shared" si="144"/>
        <v>0</v>
      </c>
      <c r="AE174" s="82">
        <f t="shared" si="144"/>
        <v>0</v>
      </c>
      <c r="AF174" s="82">
        <f t="shared" si="144"/>
        <v>0</v>
      </c>
      <c r="AG174" s="82">
        <f t="shared" si="144"/>
        <v>0</v>
      </c>
      <c r="AH174" s="82">
        <f t="shared" si="144"/>
        <v>0</v>
      </c>
      <c r="AI174" s="82">
        <f t="shared" si="144"/>
        <v>0</v>
      </c>
      <c r="AJ174" s="82">
        <f t="shared" si="144"/>
        <v>0</v>
      </c>
      <c r="AK174" s="82">
        <f t="shared" si="144"/>
        <v>0</v>
      </c>
      <c r="AL174" s="82">
        <f t="shared" si="144"/>
        <v>0</v>
      </c>
      <c r="AM174" s="82">
        <f t="shared" si="144"/>
        <v>0</v>
      </c>
      <c r="AN174" s="82">
        <f t="shared" si="144"/>
        <v>0</v>
      </c>
      <c r="AO174" s="411" t="s">
        <v>264</v>
      </c>
    </row>
    <row r="175" spans="1:41" ht="15.75" customHeight="1">
      <c r="A175" s="575"/>
      <c r="B175" s="42" t="s">
        <v>15</v>
      </c>
      <c r="C175" s="143"/>
      <c r="D175" s="143"/>
      <c r="E175" s="143"/>
      <c r="F175" s="143"/>
      <c r="G175" s="320"/>
      <c r="H175" s="321"/>
      <c r="I175" s="840"/>
      <c r="J175" s="588"/>
      <c r="K175" s="325"/>
      <c r="L175" s="47">
        <v>3750.02</v>
      </c>
      <c r="M175" s="47">
        <v>2630.03</v>
      </c>
      <c r="N175" s="47">
        <v>0</v>
      </c>
      <c r="O175" s="47">
        <v>0</v>
      </c>
      <c r="P175" s="47">
        <v>0</v>
      </c>
      <c r="Q175" s="50">
        <f>SUM(Q176:Q179)</f>
        <v>0</v>
      </c>
      <c r="R175" s="50">
        <f t="shared" ref="R175:W175" si="145">SUM(R176:R179)</f>
        <v>0</v>
      </c>
      <c r="S175" s="50">
        <f t="shared" si="145"/>
        <v>0</v>
      </c>
      <c r="T175" s="50">
        <f t="shared" si="145"/>
        <v>0</v>
      </c>
      <c r="U175" s="50">
        <f t="shared" si="145"/>
        <v>0</v>
      </c>
      <c r="V175" s="50">
        <f t="shared" si="145"/>
        <v>0</v>
      </c>
      <c r="W175" s="50">
        <f t="shared" si="145"/>
        <v>0</v>
      </c>
      <c r="X175" s="47">
        <v>0</v>
      </c>
      <c r="Y175" s="50">
        <f t="shared" ref="Y175:AI175" si="146">SUM(Y176:Y179)</f>
        <v>0</v>
      </c>
      <c r="Z175" s="50">
        <f t="shared" si="146"/>
        <v>0</v>
      </c>
      <c r="AA175" s="50">
        <f t="shared" si="146"/>
        <v>0</v>
      </c>
      <c r="AB175" s="50">
        <f t="shared" si="146"/>
        <v>0</v>
      </c>
      <c r="AC175" s="50">
        <f t="shared" si="146"/>
        <v>0</v>
      </c>
      <c r="AD175" s="50">
        <f t="shared" si="146"/>
        <v>0</v>
      </c>
      <c r="AE175" s="50">
        <f t="shared" si="146"/>
        <v>0</v>
      </c>
      <c r="AF175" s="50">
        <f t="shared" si="146"/>
        <v>0</v>
      </c>
      <c r="AG175" s="50">
        <f t="shared" si="146"/>
        <v>0</v>
      </c>
      <c r="AH175" s="50">
        <f t="shared" si="146"/>
        <v>0</v>
      </c>
      <c r="AI175" s="50">
        <f t="shared" si="146"/>
        <v>0</v>
      </c>
      <c r="AJ175" s="50">
        <v>0</v>
      </c>
      <c r="AK175" s="50">
        <v>0</v>
      </c>
      <c r="AL175" s="50">
        <v>0</v>
      </c>
      <c r="AM175" s="50">
        <v>0</v>
      </c>
      <c r="AN175" s="50">
        <v>0</v>
      </c>
      <c r="AO175" s="420"/>
    </row>
    <row r="176" spans="1:41" s="100" customFormat="1" ht="15.75" hidden="1" customHeight="1">
      <c r="A176" s="374"/>
      <c r="B176" s="257" t="s">
        <v>243</v>
      </c>
      <c r="C176" s="377"/>
      <c r="D176" s="377"/>
      <c r="E176" s="377"/>
      <c r="F176" s="377"/>
      <c r="G176" s="371"/>
      <c r="H176" s="372"/>
      <c r="I176" s="378"/>
      <c r="J176" s="379"/>
      <c r="K176" s="380"/>
      <c r="L176" s="99"/>
      <c r="M176" s="99"/>
      <c r="N176" s="99"/>
      <c r="O176" s="99"/>
      <c r="P176" s="47"/>
      <c r="Q176" s="268">
        <f>Y176</f>
        <v>0</v>
      </c>
      <c r="R176" s="268"/>
      <c r="S176" s="268"/>
      <c r="T176" s="268"/>
      <c r="U176" s="268"/>
      <c r="V176" s="268"/>
      <c r="W176" s="268"/>
      <c r="X176" s="268">
        <v>0</v>
      </c>
      <c r="Y176" s="268">
        <v>0</v>
      </c>
      <c r="Z176" s="268">
        <v>0</v>
      </c>
      <c r="AA176" s="268">
        <v>0</v>
      </c>
      <c r="AB176" s="268"/>
      <c r="AC176" s="268"/>
      <c r="AD176" s="268"/>
      <c r="AE176" s="268"/>
      <c r="AF176" s="268"/>
      <c r="AG176" s="268"/>
      <c r="AH176" s="268"/>
      <c r="AI176" s="268"/>
      <c r="AJ176" s="268"/>
      <c r="AK176" s="268"/>
      <c r="AL176" s="268"/>
      <c r="AM176" s="268"/>
      <c r="AN176" s="268"/>
      <c r="AO176" s="421"/>
    </row>
    <row r="177" spans="1:41" s="100" customFormat="1" ht="15.75" hidden="1" customHeight="1">
      <c r="A177" s="374"/>
      <c r="B177" s="257" t="s">
        <v>244</v>
      </c>
      <c r="C177" s="377"/>
      <c r="D177" s="377"/>
      <c r="E177" s="377"/>
      <c r="F177" s="377"/>
      <c r="G177" s="371"/>
      <c r="H177" s="372"/>
      <c r="I177" s="378"/>
      <c r="J177" s="379"/>
      <c r="K177" s="380"/>
      <c r="L177" s="99"/>
      <c r="M177" s="99"/>
      <c r="N177" s="99"/>
      <c r="O177" s="99"/>
      <c r="P177" s="47"/>
      <c r="Q177" s="268">
        <f t="shared" ref="Q177:Q179" si="147">Y177</f>
        <v>0</v>
      </c>
      <c r="R177" s="268"/>
      <c r="S177" s="268"/>
      <c r="T177" s="268"/>
      <c r="U177" s="268"/>
      <c r="V177" s="268"/>
      <c r="W177" s="268"/>
      <c r="X177" s="268">
        <v>0</v>
      </c>
      <c r="Y177" s="268">
        <v>0</v>
      </c>
      <c r="Z177" s="268">
        <v>0</v>
      </c>
      <c r="AA177" s="268">
        <v>0</v>
      </c>
      <c r="AB177" s="268"/>
      <c r="AC177" s="268"/>
      <c r="AD177" s="268"/>
      <c r="AE177" s="268"/>
      <c r="AF177" s="268"/>
      <c r="AG177" s="268"/>
      <c r="AH177" s="268"/>
      <c r="AI177" s="268"/>
      <c r="AJ177" s="268"/>
      <c r="AK177" s="268"/>
      <c r="AL177" s="268"/>
      <c r="AM177" s="268"/>
      <c r="AN177" s="268"/>
      <c r="AO177" s="421"/>
    </row>
    <row r="178" spans="1:41" s="100" customFormat="1" ht="15.75" hidden="1" customHeight="1">
      <c r="A178" s="374"/>
      <c r="B178" s="257" t="s">
        <v>239</v>
      </c>
      <c r="C178" s="377"/>
      <c r="D178" s="377"/>
      <c r="E178" s="377"/>
      <c r="F178" s="377"/>
      <c r="G178" s="371"/>
      <c r="H178" s="372"/>
      <c r="I178" s="378"/>
      <c r="J178" s="379"/>
      <c r="K178" s="380"/>
      <c r="L178" s="99"/>
      <c r="M178" s="99"/>
      <c r="N178" s="99"/>
      <c r="O178" s="99"/>
      <c r="P178" s="47"/>
      <c r="Q178" s="268">
        <f t="shared" si="147"/>
        <v>0</v>
      </c>
      <c r="R178" s="268"/>
      <c r="S178" s="268"/>
      <c r="T178" s="268"/>
      <c r="U178" s="268"/>
      <c r="V178" s="268"/>
      <c r="W178" s="268"/>
      <c r="X178" s="268">
        <v>0</v>
      </c>
      <c r="Y178" s="268">
        <v>0</v>
      </c>
      <c r="Z178" s="268">
        <v>0</v>
      </c>
      <c r="AA178" s="268">
        <v>0</v>
      </c>
      <c r="AB178" s="268"/>
      <c r="AC178" s="268"/>
      <c r="AD178" s="268"/>
      <c r="AE178" s="268"/>
      <c r="AF178" s="268"/>
      <c r="AG178" s="268"/>
      <c r="AH178" s="268"/>
      <c r="AI178" s="268"/>
      <c r="AJ178" s="268"/>
      <c r="AK178" s="268"/>
      <c r="AL178" s="268"/>
      <c r="AM178" s="268"/>
      <c r="AN178" s="268"/>
      <c r="AO178" s="421"/>
    </row>
    <row r="179" spans="1:41" s="100" customFormat="1" ht="15.75" hidden="1" customHeight="1">
      <c r="A179" s="374"/>
      <c r="B179" s="257" t="s">
        <v>242</v>
      </c>
      <c r="C179" s="377"/>
      <c r="D179" s="377"/>
      <c r="E179" s="377"/>
      <c r="F179" s="377"/>
      <c r="G179" s="371"/>
      <c r="H179" s="372"/>
      <c r="I179" s="378"/>
      <c r="J179" s="379"/>
      <c r="K179" s="380"/>
      <c r="L179" s="99"/>
      <c r="M179" s="99"/>
      <c r="N179" s="99"/>
      <c r="O179" s="99"/>
      <c r="P179" s="47"/>
      <c r="Q179" s="268">
        <f t="shared" si="147"/>
        <v>0</v>
      </c>
      <c r="R179" s="268"/>
      <c r="S179" s="268"/>
      <c r="T179" s="268"/>
      <c r="U179" s="268"/>
      <c r="V179" s="268"/>
      <c r="W179" s="268"/>
      <c r="X179" s="268">
        <v>0</v>
      </c>
      <c r="Y179" s="268">
        <v>0</v>
      </c>
      <c r="Z179" s="268">
        <v>0</v>
      </c>
      <c r="AA179" s="268">
        <v>0</v>
      </c>
      <c r="AB179" s="268"/>
      <c r="AC179" s="268"/>
      <c r="AD179" s="268"/>
      <c r="AE179" s="268"/>
      <c r="AF179" s="268"/>
      <c r="AG179" s="268"/>
      <c r="AH179" s="268"/>
      <c r="AI179" s="268"/>
      <c r="AJ179" s="268"/>
      <c r="AK179" s="268"/>
      <c r="AL179" s="268"/>
      <c r="AM179" s="268"/>
      <c r="AN179" s="268"/>
      <c r="AO179" s="421"/>
    </row>
    <row r="180" spans="1:41" ht="77.25" customHeight="1">
      <c r="A180" s="574" t="s">
        <v>183</v>
      </c>
      <c r="B180" s="80" t="s">
        <v>185</v>
      </c>
      <c r="C180" s="143"/>
      <c r="D180" s="143"/>
      <c r="E180" s="143"/>
      <c r="F180" s="143"/>
      <c r="G180" s="562"/>
      <c r="H180" s="562"/>
      <c r="I180" s="837" t="s">
        <v>186</v>
      </c>
      <c r="J180" s="588"/>
      <c r="K180" s="3"/>
      <c r="L180" s="82">
        <f>L181</f>
        <v>962.68</v>
      </c>
      <c r="M180" s="82">
        <f>M181</f>
        <v>403.33</v>
      </c>
      <c r="N180" s="82">
        <f t="shared" ref="N180:AN180" si="148">N181</f>
        <v>0</v>
      </c>
      <c r="O180" s="82">
        <f t="shared" si="148"/>
        <v>0</v>
      </c>
      <c r="P180" s="82">
        <f t="shared" si="148"/>
        <v>0</v>
      </c>
      <c r="Q180" s="82">
        <f t="shared" si="148"/>
        <v>0</v>
      </c>
      <c r="R180" s="82">
        <f t="shared" si="148"/>
        <v>0</v>
      </c>
      <c r="S180" s="82">
        <f t="shared" si="148"/>
        <v>0</v>
      </c>
      <c r="T180" s="82">
        <f t="shared" si="148"/>
        <v>0</v>
      </c>
      <c r="U180" s="82">
        <f t="shared" si="148"/>
        <v>0</v>
      </c>
      <c r="V180" s="82">
        <f t="shared" si="148"/>
        <v>0</v>
      </c>
      <c r="W180" s="82">
        <f t="shared" si="148"/>
        <v>0</v>
      </c>
      <c r="X180" s="82">
        <f t="shared" si="148"/>
        <v>0</v>
      </c>
      <c r="Y180" s="82">
        <f t="shared" si="148"/>
        <v>0</v>
      </c>
      <c r="Z180" s="82">
        <f t="shared" si="148"/>
        <v>0</v>
      </c>
      <c r="AA180" s="82">
        <f t="shared" si="148"/>
        <v>0</v>
      </c>
      <c r="AB180" s="82">
        <f t="shared" si="148"/>
        <v>0</v>
      </c>
      <c r="AC180" s="82">
        <f t="shared" si="148"/>
        <v>0</v>
      </c>
      <c r="AD180" s="82">
        <f t="shared" si="148"/>
        <v>0</v>
      </c>
      <c r="AE180" s="82">
        <f t="shared" si="148"/>
        <v>0</v>
      </c>
      <c r="AF180" s="82">
        <f t="shared" si="148"/>
        <v>0</v>
      </c>
      <c r="AG180" s="82">
        <f t="shared" si="148"/>
        <v>0</v>
      </c>
      <c r="AH180" s="82">
        <f t="shared" si="148"/>
        <v>0</v>
      </c>
      <c r="AI180" s="82">
        <f t="shared" si="148"/>
        <v>0</v>
      </c>
      <c r="AJ180" s="82">
        <f t="shared" si="148"/>
        <v>0</v>
      </c>
      <c r="AK180" s="82">
        <f t="shared" si="148"/>
        <v>0</v>
      </c>
      <c r="AL180" s="82">
        <f t="shared" si="148"/>
        <v>0</v>
      </c>
      <c r="AM180" s="82">
        <f t="shared" si="148"/>
        <v>0</v>
      </c>
      <c r="AN180" s="82">
        <f t="shared" si="148"/>
        <v>0</v>
      </c>
      <c r="AO180" s="433" t="s">
        <v>212</v>
      </c>
    </row>
    <row r="181" spans="1:41" ht="15.75" customHeight="1">
      <c r="A181" s="575"/>
      <c r="B181" s="42" t="s">
        <v>15</v>
      </c>
      <c r="C181" s="143"/>
      <c r="D181" s="143"/>
      <c r="E181" s="143"/>
      <c r="F181" s="143"/>
      <c r="G181" s="320"/>
      <c r="H181" s="321"/>
      <c r="I181" s="840"/>
      <c r="J181" s="588"/>
      <c r="K181" s="325"/>
      <c r="L181" s="47">
        <v>962.68</v>
      </c>
      <c r="M181" s="47">
        <v>403.33</v>
      </c>
      <c r="N181" s="47">
        <v>0</v>
      </c>
      <c r="O181" s="50">
        <v>0</v>
      </c>
      <c r="P181" s="50">
        <v>0</v>
      </c>
      <c r="Q181" s="50">
        <v>0</v>
      </c>
      <c r="R181" s="50">
        <v>0</v>
      </c>
      <c r="S181" s="50">
        <v>0</v>
      </c>
      <c r="T181" s="50">
        <v>0</v>
      </c>
      <c r="U181" s="50">
        <v>0</v>
      </c>
      <c r="V181" s="50">
        <v>0</v>
      </c>
      <c r="W181" s="50">
        <v>0</v>
      </c>
      <c r="X181" s="50">
        <v>0</v>
      </c>
      <c r="Y181" s="50">
        <v>0</v>
      </c>
      <c r="Z181" s="50">
        <v>0</v>
      </c>
      <c r="AA181" s="50">
        <v>0</v>
      </c>
      <c r="AB181" s="50">
        <v>0</v>
      </c>
      <c r="AC181" s="50">
        <v>0</v>
      </c>
      <c r="AD181" s="50">
        <v>0</v>
      </c>
      <c r="AE181" s="50">
        <v>0</v>
      </c>
      <c r="AF181" s="50">
        <v>0</v>
      </c>
      <c r="AG181" s="50">
        <v>0</v>
      </c>
      <c r="AH181" s="50">
        <v>0</v>
      </c>
      <c r="AI181" s="50">
        <v>0</v>
      </c>
      <c r="AJ181" s="50">
        <v>0</v>
      </c>
      <c r="AK181" s="50">
        <v>0</v>
      </c>
      <c r="AL181" s="50">
        <v>0</v>
      </c>
      <c r="AM181" s="50">
        <v>0</v>
      </c>
      <c r="AN181" s="50">
        <v>0</v>
      </c>
      <c r="AO181" s="436"/>
    </row>
    <row r="182" spans="1:41" ht="27.75" customHeight="1">
      <c r="A182" s="574" t="s">
        <v>184</v>
      </c>
      <c r="B182" s="80" t="s">
        <v>187</v>
      </c>
      <c r="C182" s="143"/>
      <c r="D182" s="143"/>
      <c r="E182" s="143"/>
      <c r="F182" s="143"/>
      <c r="G182" s="562"/>
      <c r="H182" s="562"/>
      <c r="I182" s="837" t="s">
        <v>186</v>
      </c>
      <c r="J182" s="588"/>
      <c r="K182" s="3"/>
      <c r="L182" s="82">
        <f>L183</f>
        <v>1342.77</v>
      </c>
      <c r="M182" s="82">
        <f>M183</f>
        <v>1246.77</v>
      </c>
      <c r="N182" s="82">
        <f t="shared" ref="N182:AN182" si="149">N183</f>
        <v>0</v>
      </c>
      <c r="O182" s="82">
        <f t="shared" si="149"/>
        <v>0</v>
      </c>
      <c r="P182" s="82">
        <f t="shared" si="149"/>
        <v>0</v>
      </c>
      <c r="Q182" s="82">
        <f t="shared" si="149"/>
        <v>0</v>
      </c>
      <c r="R182" s="82">
        <f t="shared" si="149"/>
        <v>0</v>
      </c>
      <c r="S182" s="82">
        <f t="shared" si="149"/>
        <v>0</v>
      </c>
      <c r="T182" s="82">
        <f t="shared" si="149"/>
        <v>0</v>
      </c>
      <c r="U182" s="82">
        <f t="shared" si="149"/>
        <v>0</v>
      </c>
      <c r="V182" s="82">
        <f t="shared" si="149"/>
        <v>0</v>
      </c>
      <c r="W182" s="82">
        <f t="shared" si="149"/>
        <v>0</v>
      </c>
      <c r="X182" s="82">
        <f t="shared" si="149"/>
        <v>0</v>
      </c>
      <c r="Y182" s="82">
        <f t="shared" si="149"/>
        <v>0</v>
      </c>
      <c r="Z182" s="82">
        <f t="shared" si="149"/>
        <v>0</v>
      </c>
      <c r="AA182" s="82">
        <f t="shared" si="149"/>
        <v>0</v>
      </c>
      <c r="AB182" s="82">
        <f t="shared" si="149"/>
        <v>0</v>
      </c>
      <c r="AC182" s="82">
        <f t="shared" si="149"/>
        <v>0</v>
      </c>
      <c r="AD182" s="82">
        <f t="shared" si="149"/>
        <v>0</v>
      </c>
      <c r="AE182" s="82">
        <f t="shared" si="149"/>
        <v>0</v>
      </c>
      <c r="AF182" s="82">
        <f t="shared" si="149"/>
        <v>0</v>
      </c>
      <c r="AG182" s="82">
        <f t="shared" si="149"/>
        <v>0</v>
      </c>
      <c r="AH182" s="82">
        <f t="shared" si="149"/>
        <v>0</v>
      </c>
      <c r="AI182" s="82">
        <f t="shared" si="149"/>
        <v>0</v>
      </c>
      <c r="AJ182" s="82">
        <f t="shared" si="149"/>
        <v>0</v>
      </c>
      <c r="AK182" s="82">
        <f t="shared" si="149"/>
        <v>0</v>
      </c>
      <c r="AL182" s="82">
        <f t="shared" si="149"/>
        <v>0</v>
      </c>
      <c r="AM182" s="82">
        <f t="shared" si="149"/>
        <v>0</v>
      </c>
      <c r="AN182" s="82">
        <f t="shared" si="149"/>
        <v>0</v>
      </c>
      <c r="AO182" s="433" t="s">
        <v>212</v>
      </c>
    </row>
    <row r="183" spans="1:41" ht="15.75" customHeight="1">
      <c r="A183" s="575"/>
      <c r="B183" s="42" t="s">
        <v>15</v>
      </c>
      <c r="C183" s="143"/>
      <c r="D183" s="143"/>
      <c r="E183" s="143"/>
      <c r="F183" s="143"/>
      <c r="G183" s="320"/>
      <c r="H183" s="321"/>
      <c r="I183" s="840"/>
      <c r="J183" s="588"/>
      <c r="K183" s="325"/>
      <c r="L183" s="47">
        <v>1342.77</v>
      </c>
      <c r="M183" s="47">
        <v>1246.77</v>
      </c>
      <c r="N183" s="50">
        <v>0</v>
      </c>
      <c r="O183" s="50">
        <v>0</v>
      </c>
      <c r="P183" s="47">
        <v>0</v>
      </c>
      <c r="Q183" s="50">
        <v>0</v>
      </c>
      <c r="R183" s="50">
        <v>0</v>
      </c>
      <c r="S183" s="50">
        <v>0</v>
      </c>
      <c r="T183" s="50">
        <v>0</v>
      </c>
      <c r="U183" s="50">
        <v>0</v>
      </c>
      <c r="V183" s="50">
        <v>0</v>
      </c>
      <c r="W183" s="50">
        <v>0</v>
      </c>
      <c r="X183" s="47">
        <v>0</v>
      </c>
      <c r="Y183" s="50">
        <v>0</v>
      </c>
      <c r="Z183" s="50">
        <v>0</v>
      </c>
      <c r="AA183" s="50">
        <v>0</v>
      </c>
      <c r="AB183" s="50">
        <v>0</v>
      </c>
      <c r="AC183" s="50">
        <v>0</v>
      </c>
      <c r="AD183" s="50">
        <v>0</v>
      </c>
      <c r="AE183" s="50">
        <v>0</v>
      </c>
      <c r="AF183" s="50">
        <v>0</v>
      </c>
      <c r="AG183" s="50">
        <v>0</v>
      </c>
      <c r="AH183" s="50">
        <v>0</v>
      </c>
      <c r="AI183" s="50">
        <v>0</v>
      </c>
      <c r="AJ183" s="50">
        <v>0</v>
      </c>
      <c r="AK183" s="50">
        <v>0</v>
      </c>
      <c r="AL183" s="50">
        <v>0</v>
      </c>
      <c r="AM183" s="50">
        <v>0</v>
      </c>
      <c r="AN183" s="50">
        <v>0</v>
      </c>
      <c r="AO183" s="420"/>
    </row>
    <row r="184" spans="1:41" ht="54" customHeight="1">
      <c r="A184" s="833" t="s">
        <v>31</v>
      </c>
      <c r="B184" s="889" t="s">
        <v>213</v>
      </c>
      <c r="C184" s="890"/>
      <c r="D184" s="890"/>
      <c r="E184" s="890"/>
      <c r="F184" s="890"/>
      <c r="G184" s="890"/>
      <c r="H184" s="891"/>
      <c r="I184" s="15" t="s">
        <v>19</v>
      </c>
      <c r="J184" s="564">
        <v>0</v>
      </c>
      <c r="K184" s="564">
        <v>0</v>
      </c>
      <c r="L184" s="16">
        <f t="shared" ref="L184:L187" si="150">M184+N184+O184</f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  <c r="V184" s="22">
        <v>0</v>
      </c>
      <c r="W184" s="22">
        <v>0</v>
      </c>
      <c r="X184" s="22">
        <v>0</v>
      </c>
      <c r="Y184" s="22">
        <v>0</v>
      </c>
      <c r="Z184" s="22">
        <v>0</v>
      </c>
      <c r="AA184" s="22">
        <v>0</v>
      </c>
      <c r="AB184" s="22">
        <v>0</v>
      </c>
      <c r="AC184" s="22">
        <v>0</v>
      </c>
      <c r="AD184" s="22">
        <v>0</v>
      </c>
      <c r="AE184" s="22">
        <v>0</v>
      </c>
      <c r="AF184" s="22">
        <v>0</v>
      </c>
      <c r="AG184" s="22">
        <v>0</v>
      </c>
      <c r="AH184" s="22">
        <v>0</v>
      </c>
      <c r="AI184" s="22">
        <v>0</v>
      </c>
      <c r="AJ184" s="22">
        <v>0</v>
      </c>
      <c r="AK184" s="22">
        <v>0</v>
      </c>
      <c r="AL184" s="22">
        <v>0</v>
      </c>
      <c r="AM184" s="22">
        <v>0</v>
      </c>
      <c r="AN184" s="22">
        <v>0</v>
      </c>
      <c r="AO184" s="404"/>
    </row>
    <row r="185" spans="1:41" ht="39.75" customHeight="1">
      <c r="A185" s="834"/>
      <c r="B185" s="892"/>
      <c r="C185" s="893"/>
      <c r="D185" s="893"/>
      <c r="E185" s="893"/>
      <c r="F185" s="893"/>
      <c r="G185" s="893"/>
      <c r="H185" s="894"/>
      <c r="I185" s="15" t="s">
        <v>20</v>
      </c>
      <c r="J185" s="564">
        <f>K185+L185</f>
        <v>6696.7899999999991</v>
      </c>
      <c r="K185" s="564">
        <f>K188+K203+K206+K212</f>
        <v>0</v>
      </c>
      <c r="L185" s="16">
        <f>L188</f>
        <v>6696.7899999999991</v>
      </c>
      <c r="M185" s="22">
        <f>M188</f>
        <v>0</v>
      </c>
      <c r="N185" s="22">
        <f t="shared" ref="N185:AD185" si="151">N188</f>
        <v>2081.9299999999998</v>
      </c>
      <c r="O185" s="22">
        <f t="shared" si="151"/>
        <v>4372.5</v>
      </c>
      <c r="P185" s="22">
        <f t="shared" si="151"/>
        <v>2081.9299999999998</v>
      </c>
      <c r="Q185" s="22">
        <f t="shared" si="151"/>
        <v>810</v>
      </c>
      <c r="R185" s="22">
        <f t="shared" si="151"/>
        <v>270</v>
      </c>
      <c r="S185" s="22">
        <f t="shared" si="151"/>
        <v>270</v>
      </c>
      <c r="T185" s="22">
        <f t="shared" si="151"/>
        <v>540</v>
      </c>
      <c r="U185" s="22">
        <f t="shared" si="151"/>
        <v>540</v>
      </c>
      <c r="V185" s="22">
        <f t="shared" si="151"/>
        <v>0</v>
      </c>
      <c r="W185" s="22">
        <f t="shared" si="151"/>
        <v>0</v>
      </c>
      <c r="X185" s="22">
        <f t="shared" si="151"/>
        <v>0</v>
      </c>
      <c r="Y185" s="22">
        <f t="shared" si="151"/>
        <v>0</v>
      </c>
      <c r="Z185" s="22">
        <f t="shared" si="151"/>
        <v>810</v>
      </c>
      <c r="AA185" s="22">
        <f t="shared" si="151"/>
        <v>810</v>
      </c>
      <c r="AB185" s="22">
        <f t="shared" si="151"/>
        <v>0</v>
      </c>
      <c r="AC185" s="22">
        <f t="shared" si="151"/>
        <v>0</v>
      </c>
      <c r="AD185" s="22">
        <f t="shared" si="151"/>
        <v>0</v>
      </c>
      <c r="AE185" s="22">
        <f t="shared" ref="AE185:AN185" si="152">AE188+AE203+AE206+AE212+AE214</f>
        <v>26166.241999999998</v>
      </c>
      <c r="AF185" s="22">
        <f t="shared" si="152"/>
        <v>0</v>
      </c>
      <c r="AG185" s="22">
        <f t="shared" si="152"/>
        <v>26166.241999999998</v>
      </c>
      <c r="AH185" s="22">
        <f t="shared" si="152"/>
        <v>0</v>
      </c>
      <c r="AI185" s="22">
        <f t="shared" si="152"/>
        <v>0</v>
      </c>
      <c r="AJ185" s="22">
        <f t="shared" si="152"/>
        <v>42197.321000000004</v>
      </c>
      <c r="AK185" s="22">
        <f t="shared" si="152"/>
        <v>42197.321000000004</v>
      </c>
      <c r="AL185" s="22">
        <f t="shared" si="152"/>
        <v>38.94</v>
      </c>
      <c r="AM185" s="22">
        <f t="shared" si="152"/>
        <v>0</v>
      </c>
      <c r="AN185" s="22">
        <f t="shared" si="152"/>
        <v>0</v>
      </c>
      <c r="AO185" s="404"/>
    </row>
    <row r="186" spans="1:41" ht="26.25" customHeight="1">
      <c r="A186" s="834"/>
      <c r="B186" s="892"/>
      <c r="C186" s="893"/>
      <c r="D186" s="893"/>
      <c r="E186" s="893"/>
      <c r="F186" s="893"/>
      <c r="G186" s="893"/>
      <c r="H186" s="894"/>
      <c r="I186" s="15" t="s">
        <v>10</v>
      </c>
      <c r="J186" s="564">
        <v>0</v>
      </c>
      <c r="K186" s="564">
        <v>0</v>
      </c>
      <c r="L186" s="16">
        <f t="shared" si="150"/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  <c r="V186" s="22">
        <v>0</v>
      </c>
      <c r="W186" s="22">
        <v>0</v>
      </c>
      <c r="X186" s="22">
        <v>0</v>
      </c>
      <c r="Y186" s="22">
        <v>0</v>
      </c>
      <c r="Z186" s="22">
        <v>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22">
        <v>0</v>
      </c>
      <c r="AG186" s="22">
        <v>0</v>
      </c>
      <c r="AH186" s="22">
        <v>0</v>
      </c>
      <c r="AI186" s="22">
        <v>0</v>
      </c>
      <c r="AJ186" s="22">
        <v>0</v>
      </c>
      <c r="AK186" s="22">
        <v>0</v>
      </c>
      <c r="AL186" s="22">
        <v>0</v>
      </c>
      <c r="AM186" s="22">
        <v>0</v>
      </c>
      <c r="AN186" s="22">
        <v>0</v>
      </c>
      <c r="AO186" s="404"/>
    </row>
    <row r="187" spans="1:41" ht="25.5">
      <c r="A187" s="835"/>
      <c r="B187" s="895"/>
      <c r="C187" s="896"/>
      <c r="D187" s="896"/>
      <c r="E187" s="896"/>
      <c r="F187" s="896"/>
      <c r="G187" s="896"/>
      <c r="H187" s="897"/>
      <c r="I187" s="15" t="s">
        <v>9</v>
      </c>
      <c r="J187" s="564">
        <v>0</v>
      </c>
      <c r="K187" s="564">
        <v>0</v>
      </c>
      <c r="L187" s="16">
        <f t="shared" si="150"/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  <c r="V187" s="22">
        <v>0</v>
      </c>
      <c r="W187" s="22">
        <v>0</v>
      </c>
      <c r="X187" s="22">
        <v>0</v>
      </c>
      <c r="Y187" s="22">
        <v>0</v>
      </c>
      <c r="Z187" s="22">
        <v>0</v>
      </c>
      <c r="AA187" s="22">
        <v>0</v>
      </c>
      <c r="AB187" s="22">
        <v>0</v>
      </c>
      <c r="AC187" s="22">
        <v>0</v>
      </c>
      <c r="AD187" s="22">
        <v>0</v>
      </c>
      <c r="AE187" s="22">
        <v>0</v>
      </c>
      <c r="AF187" s="22">
        <v>0</v>
      </c>
      <c r="AG187" s="22">
        <v>0</v>
      </c>
      <c r="AH187" s="22">
        <v>0</v>
      </c>
      <c r="AI187" s="22">
        <v>0</v>
      </c>
      <c r="AJ187" s="22">
        <v>0</v>
      </c>
      <c r="AK187" s="22">
        <v>0</v>
      </c>
      <c r="AL187" s="22">
        <v>0</v>
      </c>
      <c r="AM187" s="22">
        <v>0</v>
      </c>
      <c r="AN187" s="22">
        <v>0</v>
      </c>
      <c r="AO187" s="404"/>
    </row>
    <row r="188" spans="1:41" ht="40.5" customHeight="1">
      <c r="A188" s="945" t="s">
        <v>50</v>
      </c>
      <c r="B188" s="87" t="s">
        <v>188</v>
      </c>
      <c r="C188" s="817"/>
      <c r="D188" s="815"/>
      <c r="E188" s="815"/>
      <c r="F188" s="898">
        <v>150000</v>
      </c>
      <c r="G188" s="820">
        <v>2019</v>
      </c>
      <c r="H188" s="820">
        <v>2019</v>
      </c>
      <c r="I188" s="820" t="s">
        <v>20</v>
      </c>
      <c r="J188" s="906">
        <v>4914.5600000000004</v>
      </c>
      <c r="K188" s="3"/>
      <c r="L188" s="82">
        <f>L191+L189</f>
        <v>6696.7899999999991</v>
      </c>
      <c r="M188" s="82">
        <f>M191+M189</f>
        <v>0</v>
      </c>
      <c r="N188" s="82">
        <f t="shared" ref="N188:P188" si="153">N191+N189</f>
        <v>2081.9299999999998</v>
      </c>
      <c r="O188" s="82">
        <f t="shared" si="153"/>
        <v>4372.5</v>
      </c>
      <c r="P188" s="82">
        <f t="shared" si="153"/>
        <v>2081.9299999999998</v>
      </c>
      <c r="Q188" s="82">
        <f>Q191+Q189</f>
        <v>810</v>
      </c>
      <c r="R188" s="82">
        <f t="shared" ref="R188:AI188" si="154">R191+R189</f>
        <v>270</v>
      </c>
      <c r="S188" s="82">
        <f t="shared" si="154"/>
        <v>270</v>
      </c>
      <c r="T188" s="82">
        <f t="shared" si="154"/>
        <v>540</v>
      </c>
      <c r="U188" s="82">
        <f t="shared" si="154"/>
        <v>540</v>
      </c>
      <c r="V188" s="82">
        <f t="shared" si="154"/>
        <v>0</v>
      </c>
      <c r="W188" s="82">
        <f t="shared" si="154"/>
        <v>0</v>
      </c>
      <c r="X188" s="82">
        <f t="shared" si="154"/>
        <v>0</v>
      </c>
      <c r="Y188" s="82">
        <f t="shared" si="154"/>
        <v>0</v>
      </c>
      <c r="Z188" s="82">
        <f t="shared" si="154"/>
        <v>810</v>
      </c>
      <c r="AA188" s="82">
        <f t="shared" si="154"/>
        <v>810</v>
      </c>
      <c r="AB188" s="82">
        <f t="shared" si="154"/>
        <v>0</v>
      </c>
      <c r="AC188" s="82">
        <f t="shared" si="154"/>
        <v>0</v>
      </c>
      <c r="AD188" s="82">
        <f t="shared" si="154"/>
        <v>0</v>
      </c>
      <c r="AE188" s="82">
        <f t="shared" si="154"/>
        <v>0</v>
      </c>
      <c r="AF188" s="82">
        <f t="shared" si="154"/>
        <v>0</v>
      </c>
      <c r="AG188" s="82">
        <f t="shared" si="154"/>
        <v>0</v>
      </c>
      <c r="AH188" s="82">
        <f t="shared" si="154"/>
        <v>0</v>
      </c>
      <c r="AI188" s="82">
        <f t="shared" si="154"/>
        <v>0</v>
      </c>
      <c r="AJ188" s="82">
        <f>P188-Q188</f>
        <v>1271.9299999999998</v>
      </c>
      <c r="AK188" s="82">
        <f>AJ188</f>
        <v>1271.9299999999998</v>
      </c>
      <c r="AL188" s="79">
        <f>ROUND((Q188*100%/P188*100),2)</f>
        <v>38.909999999999997</v>
      </c>
      <c r="AM188" s="82">
        <f t="shared" ref="AM188:AN188" si="155">AM191</f>
        <v>0</v>
      </c>
      <c r="AN188" s="82">
        <f t="shared" si="155"/>
        <v>0</v>
      </c>
      <c r="AO188" s="411" t="s">
        <v>281</v>
      </c>
    </row>
    <row r="189" spans="1:41" s="292" customFormat="1" ht="19.5" customHeight="1">
      <c r="A189" s="946"/>
      <c r="B189" s="1" t="s">
        <v>15</v>
      </c>
      <c r="C189" s="818"/>
      <c r="D189" s="816"/>
      <c r="E189" s="816"/>
      <c r="F189" s="899"/>
      <c r="G189" s="822"/>
      <c r="H189" s="822"/>
      <c r="I189" s="822"/>
      <c r="J189" s="907"/>
      <c r="K189" s="47"/>
      <c r="L189" s="47">
        <f>SUM(M189:O189)</f>
        <v>2081.9299999999998</v>
      </c>
      <c r="M189" s="4">
        <v>0</v>
      </c>
      <c r="N189" s="4">
        <v>2081.9299999999998</v>
      </c>
      <c r="O189" s="4">
        <f t="shared" ref="O189:AN189" si="156">O190</f>
        <v>0</v>
      </c>
      <c r="P189" s="4">
        <f>N189</f>
        <v>2081.9299999999998</v>
      </c>
      <c r="Q189" s="4">
        <f t="shared" si="156"/>
        <v>810</v>
      </c>
      <c r="R189" s="4">
        <f t="shared" si="156"/>
        <v>270</v>
      </c>
      <c r="S189" s="4">
        <f t="shared" si="156"/>
        <v>270</v>
      </c>
      <c r="T189" s="4">
        <f t="shared" si="156"/>
        <v>540</v>
      </c>
      <c r="U189" s="4">
        <f t="shared" si="156"/>
        <v>540</v>
      </c>
      <c r="V189" s="4">
        <f t="shared" si="156"/>
        <v>0</v>
      </c>
      <c r="W189" s="4">
        <f t="shared" si="156"/>
        <v>0</v>
      </c>
      <c r="X189" s="4">
        <f t="shared" si="156"/>
        <v>0</v>
      </c>
      <c r="Y189" s="4">
        <f t="shared" si="156"/>
        <v>0</v>
      </c>
      <c r="Z189" s="4">
        <f t="shared" si="156"/>
        <v>810</v>
      </c>
      <c r="AA189" s="4">
        <f t="shared" si="156"/>
        <v>810</v>
      </c>
      <c r="AB189" s="4">
        <f t="shared" si="156"/>
        <v>0</v>
      </c>
      <c r="AC189" s="4">
        <f t="shared" si="156"/>
        <v>0</v>
      </c>
      <c r="AD189" s="4">
        <f t="shared" si="156"/>
        <v>0</v>
      </c>
      <c r="AE189" s="4">
        <f t="shared" si="156"/>
        <v>0</v>
      </c>
      <c r="AF189" s="4">
        <f t="shared" si="156"/>
        <v>0</v>
      </c>
      <c r="AG189" s="4">
        <v>0</v>
      </c>
      <c r="AH189" s="4">
        <v>0</v>
      </c>
      <c r="AI189" s="4">
        <v>0</v>
      </c>
      <c r="AJ189" s="4">
        <f t="shared" si="156"/>
        <v>0</v>
      </c>
      <c r="AK189" s="4">
        <f t="shared" si="156"/>
        <v>0</v>
      </c>
      <c r="AL189" s="4">
        <f t="shared" si="156"/>
        <v>0</v>
      </c>
      <c r="AM189" s="4">
        <f t="shared" si="156"/>
        <v>0</v>
      </c>
      <c r="AN189" s="4">
        <f t="shared" si="156"/>
        <v>0</v>
      </c>
      <c r="AO189" s="601"/>
    </row>
    <row r="190" spans="1:41" s="273" customFormat="1" hidden="1">
      <c r="A190" s="946"/>
      <c r="B190" s="95" t="s">
        <v>258</v>
      </c>
      <c r="C190" s="818"/>
      <c r="D190" s="816"/>
      <c r="E190" s="816"/>
      <c r="F190" s="899"/>
      <c r="G190" s="822"/>
      <c r="H190" s="822"/>
      <c r="I190" s="822"/>
      <c r="J190" s="907"/>
      <c r="K190" s="98"/>
      <c r="L190" s="99">
        <f t="shared" ref="L190" si="157">SUM(M190:O190)</f>
        <v>0</v>
      </c>
      <c r="M190" s="275">
        <v>0</v>
      </c>
      <c r="N190" s="268"/>
      <c r="O190" s="268"/>
      <c r="P190" s="50"/>
      <c r="Q190" s="268">
        <f>S190+U190</f>
        <v>810</v>
      </c>
      <c r="R190" s="268">
        <f>S190</f>
        <v>270</v>
      </c>
      <c r="S190" s="268">
        <v>270</v>
      </c>
      <c r="T190" s="268">
        <v>540</v>
      </c>
      <c r="U190" s="268">
        <v>540</v>
      </c>
      <c r="V190" s="268">
        <v>0</v>
      </c>
      <c r="W190" s="268">
        <v>0</v>
      </c>
      <c r="X190" s="268">
        <v>0</v>
      </c>
      <c r="Y190" s="268">
        <v>0</v>
      </c>
      <c r="Z190" s="268">
        <f>AA190</f>
        <v>810</v>
      </c>
      <c r="AA190" s="268">
        <v>810</v>
      </c>
      <c r="AB190" s="268">
        <v>0</v>
      </c>
      <c r="AC190" s="268"/>
      <c r="AD190" s="268"/>
      <c r="AE190" s="268"/>
      <c r="AF190" s="268"/>
      <c r="AG190" s="268"/>
      <c r="AH190" s="268"/>
      <c r="AI190" s="268"/>
      <c r="AJ190" s="268"/>
      <c r="AK190" s="268"/>
      <c r="AL190" s="268"/>
      <c r="AM190" s="268"/>
      <c r="AN190" s="268"/>
      <c r="AO190" s="421"/>
    </row>
    <row r="191" spans="1:41" ht="18" customHeight="1">
      <c r="A191" s="947"/>
      <c r="B191" s="5" t="s">
        <v>16</v>
      </c>
      <c r="C191" s="819"/>
      <c r="D191" s="819"/>
      <c r="E191" s="816"/>
      <c r="F191" s="909"/>
      <c r="G191" s="822"/>
      <c r="H191" s="822"/>
      <c r="I191" s="822"/>
      <c r="J191" s="908"/>
      <c r="K191" s="47">
        <v>0</v>
      </c>
      <c r="L191" s="47">
        <v>4614.8599999999997</v>
      </c>
      <c r="M191" s="4">
        <v>0</v>
      </c>
      <c r="N191" s="4">
        <v>0</v>
      </c>
      <c r="O191" s="4">
        <v>4372.5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4">
        <v>0</v>
      </c>
      <c r="AK191" s="4">
        <v>0</v>
      </c>
      <c r="AL191" s="4">
        <v>0</v>
      </c>
      <c r="AM191" s="4">
        <v>0</v>
      </c>
      <c r="AN191" s="4">
        <v>0</v>
      </c>
      <c r="AO191" s="601"/>
    </row>
    <row r="192" spans="1:41" ht="54" customHeight="1">
      <c r="A192" s="833" t="s">
        <v>139</v>
      </c>
      <c r="B192" s="889" t="s">
        <v>214</v>
      </c>
      <c r="C192" s="890"/>
      <c r="D192" s="890"/>
      <c r="E192" s="890"/>
      <c r="F192" s="890"/>
      <c r="G192" s="890"/>
      <c r="H192" s="891"/>
      <c r="I192" s="15" t="s">
        <v>19</v>
      </c>
      <c r="J192" s="564">
        <v>0</v>
      </c>
      <c r="K192" s="564">
        <v>0</v>
      </c>
      <c r="L192" s="22">
        <f t="shared" ref="L192" si="158">M192+N192+O192</f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  <c r="V192" s="22">
        <v>0</v>
      </c>
      <c r="W192" s="22">
        <v>0</v>
      </c>
      <c r="X192" s="22">
        <v>0</v>
      </c>
      <c r="Y192" s="22">
        <v>0</v>
      </c>
      <c r="Z192" s="22">
        <v>0</v>
      </c>
      <c r="AA192" s="22">
        <v>0</v>
      </c>
      <c r="AB192" s="22">
        <v>0</v>
      </c>
      <c r="AC192" s="22">
        <v>0</v>
      </c>
      <c r="AD192" s="22">
        <v>0</v>
      </c>
      <c r="AE192" s="22">
        <v>0</v>
      </c>
      <c r="AF192" s="22">
        <v>0</v>
      </c>
      <c r="AG192" s="22">
        <v>0</v>
      </c>
      <c r="AH192" s="22">
        <v>0</v>
      </c>
      <c r="AI192" s="22">
        <v>0</v>
      </c>
      <c r="AJ192" s="22">
        <v>0</v>
      </c>
      <c r="AK192" s="22">
        <v>0</v>
      </c>
      <c r="AL192" s="22">
        <v>0</v>
      </c>
      <c r="AM192" s="22">
        <v>0</v>
      </c>
      <c r="AN192" s="22">
        <v>0</v>
      </c>
      <c r="AO192" s="404"/>
    </row>
    <row r="193" spans="1:41" ht="39.75" customHeight="1">
      <c r="A193" s="834"/>
      <c r="B193" s="892"/>
      <c r="C193" s="893"/>
      <c r="D193" s="893"/>
      <c r="E193" s="893"/>
      <c r="F193" s="893"/>
      <c r="G193" s="893"/>
      <c r="H193" s="894"/>
      <c r="I193" s="15" t="s">
        <v>20</v>
      </c>
      <c r="J193" s="564" t="e">
        <f>K193+L193</f>
        <v>#REF!</v>
      </c>
      <c r="K193" s="564" t="e">
        <f>#REF!+K234+K241+K242</f>
        <v>#REF!</v>
      </c>
      <c r="L193" s="47">
        <f>L196+L198++L203+L207+L212+L214+L218+L223+L230+L234</f>
        <v>333768.50999999995</v>
      </c>
      <c r="M193" s="47">
        <f t="shared" ref="M193:AL193" si="159">M196+M198++M203+M207+M212+M214+M218+M223+M230+M234</f>
        <v>31936.59</v>
      </c>
      <c r="N193" s="47">
        <f t="shared" si="159"/>
        <v>80827.610000000015</v>
      </c>
      <c r="O193" s="47">
        <f t="shared" si="159"/>
        <v>46251.09</v>
      </c>
      <c r="P193" s="47">
        <f t="shared" si="159"/>
        <v>80827.610000000015</v>
      </c>
      <c r="Q193" s="22">
        <f t="shared" si="159"/>
        <v>13492.993</v>
      </c>
      <c r="R193" s="22">
        <f t="shared" si="159"/>
        <v>2790.4500000000003</v>
      </c>
      <c r="S193" s="22">
        <f t="shared" si="159"/>
        <v>2790.4500000000003</v>
      </c>
      <c r="T193" s="22">
        <f t="shared" si="159"/>
        <v>5251.1220000000003</v>
      </c>
      <c r="U193" s="22">
        <f t="shared" si="159"/>
        <v>5251.1220000000003</v>
      </c>
      <c r="V193" s="22">
        <f t="shared" si="159"/>
        <v>4419.8019999999997</v>
      </c>
      <c r="W193" s="22">
        <f t="shared" si="159"/>
        <v>4419.8019999999997</v>
      </c>
      <c r="X193" s="22">
        <f t="shared" si="159"/>
        <v>1000</v>
      </c>
      <c r="Y193" s="22">
        <f t="shared" si="159"/>
        <v>1031.6190000000001</v>
      </c>
      <c r="Z193" s="22">
        <f t="shared" si="159"/>
        <v>9791.1879999999983</v>
      </c>
      <c r="AA193" s="22">
        <f t="shared" si="159"/>
        <v>1165.77</v>
      </c>
      <c r="AB193" s="22">
        <f t="shared" si="159"/>
        <v>5358.8769999999995</v>
      </c>
      <c r="AC193" s="22">
        <f t="shared" si="159"/>
        <v>1504.922</v>
      </c>
      <c r="AD193" s="22">
        <f t="shared" si="159"/>
        <v>1761.6189999999999</v>
      </c>
      <c r="AE193" s="22">
        <f t="shared" si="159"/>
        <v>26166.241999999998</v>
      </c>
      <c r="AF193" s="22">
        <f t="shared" si="159"/>
        <v>0</v>
      </c>
      <c r="AG193" s="22">
        <f t="shared" si="159"/>
        <v>26166.241999999998</v>
      </c>
      <c r="AH193" s="22">
        <f t="shared" si="159"/>
        <v>0</v>
      </c>
      <c r="AI193" s="22">
        <f t="shared" si="159"/>
        <v>0</v>
      </c>
      <c r="AJ193" s="22">
        <f t="shared" si="159"/>
        <v>17824.156999999999</v>
      </c>
      <c r="AK193" s="22">
        <f t="shared" si="159"/>
        <v>17824.156999999999</v>
      </c>
      <c r="AL193" s="22">
        <f t="shared" si="159"/>
        <v>11.28</v>
      </c>
      <c r="AM193" s="22">
        <f t="shared" ref="AM193:AN193" si="160">AM196+AM198++AM203+AM206+AM212+AM214+AM218+AM223+AM230+AM233</f>
        <v>0</v>
      </c>
      <c r="AN193" s="22">
        <f t="shared" si="160"/>
        <v>0</v>
      </c>
      <c r="AO193" s="404"/>
    </row>
    <row r="194" spans="1:41" ht="26.25" customHeight="1">
      <c r="A194" s="834"/>
      <c r="B194" s="892"/>
      <c r="C194" s="893"/>
      <c r="D194" s="893"/>
      <c r="E194" s="893"/>
      <c r="F194" s="893"/>
      <c r="G194" s="893"/>
      <c r="H194" s="894"/>
      <c r="I194" s="15" t="s">
        <v>10</v>
      </c>
      <c r="J194" s="564">
        <v>0</v>
      </c>
      <c r="K194" s="564">
        <v>0</v>
      </c>
      <c r="L194" s="22">
        <f>L210+L211+L238</f>
        <v>297742.64</v>
      </c>
      <c r="M194" s="22">
        <f t="shared" ref="M194:AL194" si="161">M210+M211+M238</f>
        <v>295242.64</v>
      </c>
      <c r="N194" s="22">
        <f t="shared" si="161"/>
        <v>297742.64</v>
      </c>
      <c r="O194" s="22">
        <f t="shared" si="161"/>
        <v>297742.64</v>
      </c>
      <c r="P194" s="22">
        <f>P210+P211+P238</f>
        <v>297742.64</v>
      </c>
      <c r="Q194" s="22">
        <f t="shared" si="161"/>
        <v>0</v>
      </c>
      <c r="R194" s="22">
        <f t="shared" si="161"/>
        <v>0</v>
      </c>
      <c r="S194" s="22">
        <f t="shared" si="161"/>
        <v>0</v>
      </c>
      <c r="T194" s="22">
        <f t="shared" si="161"/>
        <v>0</v>
      </c>
      <c r="U194" s="22">
        <f t="shared" si="161"/>
        <v>0</v>
      </c>
      <c r="V194" s="22">
        <f t="shared" si="161"/>
        <v>0</v>
      </c>
      <c r="W194" s="22">
        <f t="shared" si="161"/>
        <v>0</v>
      </c>
      <c r="X194" s="22">
        <f t="shared" si="161"/>
        <v>0</v>
      </c>
      <c r="Y194" s="22">
        <f t="shared" si="161"/>
        <v>0</v>
      </c>
      <c r="Z194" s="22">
        <f t="shared" si="161"/>
        <v>0</v>
      </c>
      <c r="AA194" s="22">
        <f t="shared" si="161"/>
        <v>0</v>
      </c>
      <c r="AB194" s="22">
        <f t="shared" si="161"/>
        <v>0</v>
      </c>
      <c r="AC194" s="22">
        <f t="shared" si="161"/>
        <v>0</v>
      </c>
      <c r="AD194" s="22">
        <f t="shared" si="161"/>
        <v>0</v>
      </c>
      <c r="AE194" s="22">
        <f t="shared" si="161"/>
        <v>0</v>
      </c>
      <c r="AF194" s="22">
        <f t="shared" si="161"/>
        <v>0</v>
      </c>
      <c r="AG194" s="22">
        <f t="shared" si="161"/>
        <v>0</v>
      </c>
      <c r="AH194" s="22">
        <f t="shared" si="161"/>
        <v>0</v>
      </c>
      <c r="AI194" s="22">
        <f t="shared" si="161"/>
        <v>0</v>
      </c>
      <c r="AJ194" s="22">
        <f t="shared" si="161"/>
        <v>0</v>
      </c>
      <c r="AK194" s="22">
        <f t="shared" si="161"/>
        <v>0</v>
      </c>
      <c r="AL194" s="22">
        <f t="shared" si="161"/>
        <v>0</v>
      </c>
      <c r="AM194" s="22">
        <v>0</v>
      </c>
      <c r="AN194" s="22">
        <v>0</v>
      </c>
      <c r="AO194" s="404"/>
    </row>
    <row r="195" spans="1:41" ht="25.5">
      <c r="A195" s="835"/>
      <c r="B195" s="895"/>
      <c r="C195" s="896"/>
      <c r="D195" s="896"/>
      <c r="E195" s="896"/>
      <c r="F195" s="896"/>
      <c r="G195" s="896"/>
      <c r="H195" s="897"/>
      <c r="I195" s="15" t="s">
        <v>9</v>
      </c>
      <c r="J195" s="564">
        <v>0</v>
      </c>
      <c r="K195" s="564">
        <v>0</v>
      </c>
      <c r="L195" s="22">
        <f t="shared" ref="L195" si="162">M195+N195+O195</f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  <c r="V195" s="22">
        <v>0</v>
      </c>
      <c r="W195" s="22">
        <v>0</v>
      </c>
      <c r="X195" s="22">
        <v>0</v>
      </c>
      <c r="Y195" s="22">
        <v>0</v>
      </c>
      <c r="Z195" s="22">
        <v>0</v>
      </c>
      <c r="AA195" s="22">
        <v>0</v>
      </c>
      <c r="AB195" s="22">
        <v>0</v>
      </c>
      <c r="AC195" s="22">
        <v>0</v>
      </c>
      <c r="AD195" s="22">
        <v>0</v>
      </c>
      <c r="AE195" s="22">
        <v>0</v>
      </c>
      <c r="AF195" s="22">
        <v>0</v>
      </c>
      <c r="AG195" s="22">
        <v>0</v>
      </c>
      <c r="AH195" s="22">
        <v>0</v>
      </c>
      <c r="AI195" s="22">
        <v>1</v>
      </c>
      <c r="AJ195" s="22">
        <v>0</v>
      </c>
      <c r="AK195" s="22">
        <v>0</v>
      </c>
      <c r="AL195" s="22">
        <v>0</v>
      </c>
      <c r="AM195" s="22">
        <v>0</v>
      </c>
      <c r="AN195" s="22">
        <v>0</v>
      </c>
      <c r="AO195" s="404"/>
    </row>
    <row r="196" spans="1:41" ht="27.75" customHeight="1">
      <c r="A196" s="825" t="s">
        <v>189</v>
      </c>
      <c r="B196" s="80" t="s">
        <v>89</v>
      </c>
      <c r="C196" s="143"/>
      <c r="D196" s="143"/>
      <c r="E196" s="143"/>
      <c r="F196" s="143"/>
      <c r="G196" s="562"/>
      <c r="H196" s="562"/>
      <c r="I196" s="837" t="s">
        <v>20</v>
      </c>
      <c r="J196" s="588"/>
      <c r="K196" s="3"/>
      <c r="L196" s="82">
        <f>L197</f>
        <v>5195.03</v>
      </c>
      <c r="M196" s="82">
        <f>M197</f>
        <v>0</v>
      </c>
      <c r="N196" s="82">
        <f t="shared" ref="N196:AN196" si="163">N197</f>
        <v>5037.4399999999996</v>
      </c>
      <c r="O196" s="82">
        <f t="shared" si="163"/>
        <v>0</v>
      </c>
      <c r="P196" s="82">
        <f t="shared" si="163"/>
        <v>5037.4399999999996</v>
      </c>
      <c r="Q196" s="82">
        <f t="shared" si="163"/>
        <v>0</v>
      </c>
      <c r="R196" s="82">
        <f t="shared" si="163"/>
        <v>0</v>
      </c>
      <c r="S196" s="82">
        <f t="shared" si="163"/>
        <v>0</v>
      </c>
      <c r="T196" s="82">
        <f t="shared" si="163"/>
        <v>0</v>
      </c>
      <c r="U196" s="82">
        <f t="shared" si="163"/>
        <v>0</v>
      </c>
      <c r="V196" s="82">
        <f t="shared" si="163"/>
        <v>0</v>
      </c>
      <c r="W196" s="82">
        <f t="shared" si="163"/>
        <v>0</v>
      </c>
      <c r="X196" s="82">
        <f t="shared" si="163"/>
        <v>0</v>
      </c>
      <c r="Y196" s="82">
        <f t="shared" si="163"/>
        <v>0</v>
      </c>
      <c r="Z196" s="82">
        <f t="shared" si="163"/>
        <v>0</v>
      </c>
      <c r="AA196" s="82">
        <f t="shared" si="163"/>
        <v>0</v>
      </c>
      <c r="AB196" s="82">
        <f t="shared" si="163"/>
        <v>0</v>
      </c>
      <c r="AC196" s="82">
        <f t="shared" si="163"/>
        <v>0</v>
      </c>
      <c r="AD196" s="82">
        <f t="shared" si="163"/>
        <v>0</v>
      </c>
      <c r="AE196" s="82">
        <f t="shared" si="163"/>
        <v>0</v>
      </c>
      <c r="AF196" s="82">
        <f t="shared" si="163"/>
        <v>0</v>
      </c>
      <c r="AG196" s="82">
        <f t="shared" si="163"/>
        <v>0</v>
      </c>
      <c r="AH196" s="82">
        <f t="shared" si="163"/>
        <v>0</v>
      </c>
      <c r="AI196" s="82">
        <f t="shared" si="163"/>
        <v>0</v>
      </c>
      <c r="AJ196" s="82">
        <f t="shared" si="163"/>
        <v>0</v>
      </c>
      <c r="AK196" s="82">
        <f t="shared" si="163"/>
        <v>0</v>
      </c>
      <c r="AL196" s="82">
        <f t="shared" si="163"/>
        <v>0</v>
      </c>
      <c r="AM196" s="82">
        <f t="shared" si="163"/>
        <v>0</v>
      </c>
      <c r="AN196" s="82">
        <f t="shared" si="163"/>
        <v>0</v>
      </c>
      <c r="AO196" s="411" t="s">
        <v>252</v>
      </c>
    </row>
    <row r="197" spans="1:41" ht="15.75" customHeight="1">
      <c r="A197" s="836"/>
      <c r="B197" s="47" t="s">
        <v>15</v>
      </c>
      <c r="C197" s="143"/>
      <c r="D197" s="143"/>
      <c r="E197" s="143"/>
      <c r="F197" s="143"/>
      <c r="G197" s="320"/>
      <c r="H197" s="321"/>
      <c r="I197" s="840"/>
      <c r="J197" s="588"/>
      <c r="K197" s="325"/>
      <c r="L197" s="47">
        <v>5195.03</v>
      </c>
      <c r="M197" s="50">
        <v>0</v>
      </c>
      <c r="N197" s="50">
        <v>5037.4399999999996</v>
      </c>
      <c r="O197" s="50">
        <v>0</v>
      </c>
      <c r="P197" s="50">
        <f>N197</f>
        <v>5037.4399999999996</v>
      </c>
      <c r="Q197" s="50">
        <v>0</v>
      </c>
      <c r="R197" s="50">
        <v>0</v>
      </c>
      <c r="S197" s="50">
        <v>0</v>
      </c>
      <c r="T197" s="50">
        <v>0</v>
      </c>
      <c r="U197" s="50">
        <v>0</v>
      </c>
      <c r="V197" s="50">
        <v>0</v>
      </c>
      <c r="W197" s="50">
        <v>0</v>
      </c>
      <c r="X197" s="50">
        <v>0</v>
      </c>
      <c r="Y197" s="50">
        <v>0</v>
      </c>
      <c r="Z197" s="50">
        <v>0</v>
      </c>
      <c r="AA197" s="50">
        <v>0</v>
      </c>
      <c r="AB197" s="50">
        <v>0</v>
      </c>
      <c r="AC197" s="50">
        <v>0</v>
      </c>
      <c r="AD197" s="50">
        <v>0</v>
      </c>
      <c r="AE197" s="50">
        <v>0</v>
      </c>
      <c r="AF197" s="50">
        <v>0</v>
      </c>
      <c r="AG197" s="50">
        <v>0</v>
      </c>
      <c r="AH197" s="50">
        <v>0</v>
      </c>
      <c r="AI197" s="50">
        <v>0</v>
      </c>
      <c r="AJ197" s="50">
        <v>0</v>
      </c>
      <c r="AK197" s="50">
        <v>0</v>
      </c>
      <c r="AL197" s="50">
        <v>0</v>
      </c>
      <c r="AM197" s="50">
        <v>0</v>
      </c>
      <c r="AN197" s="50">
        <v>0</v>
      </c>
      <c r="AO197" s="420"/>
    </row>
    <row r="198" spans="1:41" ht="41.25" customHeight="1">
      <c r="A198" s="825" t="s">
        <v>190</v>
      </c>
      <c r="B198" s="80" t="s">
        <v>192</v>
      </c>
      <c r="C198" s="143"/>
      <c r="D198" s="143"/>
      <c r="E198" s="143"/>
      <c r="F198" s="143"/>
      <c r="G198" s="562"/>
      <c r="H198" s="562"/>
      <c r="I198" s="837" t="s">
        <v>20</v>
      </c>
      <c r="J198" s="588"/>
      <c r="K198" s="3"/>
      <c r="L198" s="82">
        <f>L199+L202</f>
        <v>134036.41</v>
      </c>
      <c r="M198" s="82">
        <f>M199+M202</f>
        <v>1825.11</v>
      </c>
      <c r="N198" s="82">
        <f>N199+N202</f>
        <v>57476.200000000004</v>
      </c>
      <c r="O198" s="82">
        <f t="shared" ref="O198:AN198" si="164">O199+O202</f>
        <v>0</v>
      </c>
      <c r="P198" s="82">
        <f>N198</f>
        <v>57476.200000000004</v>
      </c>
      <c r="Q198" s="82">
        <f t="shared" si="164"/>
        <v>2401.491</v>
      </c>
      <c r="R198" s="82">
        <f t="shared" si="164"/>
        <v>0</v>
      </c>
      <c r="S198" s="82">
        <f t="shared" si="164"/>
        <v>0</v>
      </c>
      <c r="T198" s="82">
        <f t="shared" si="164"/>
        <v>996.56899999999996</v>
      </c>
      <c r="U198" s="82">
        <f t="shared" si="164"/>
        <v>996.56899999999996</v>
      </c>
      <c r="V198" s="82">
        <f t="shared" si="164"/>
        <v>404.92200000000003</v>
      </c>
      <c r="W198" s="82">
        <f t="shared" si="164"/>
        <v>404.92200000000003</v>
      </c>
      <c r="X198" s="82">
        <f t="shared" si="164"/>
        <v>1000</v>
      </c>
      <c r="Y198" s="82">
        <f t="shared" si="164"/>
        <v>1000</v>
      </c>
      <c r="Z198" s="82">
        <f>Z199+Z202</f>
        <v>2401.491</v>
      </c>
      <c r="AA198" s="82">
        <f t="shared" si="164"/>
        <v>0</v>
      </c>
      <c r="AB198" s="82">
        <f t="shared" si="164"/>
        <v>976.56899999999996</v>
      </c>
      <c r="AC198" s="82">
        <f t="shared" si="164"/>
        <v>1424.922</v>
      </c>
      <c r="AD198" s="82">
        <f t="shared" si="164"/>
        <v>0</v>
      </c>
      <c r="AE198" s="82">
        <f t="shared" si="164"/>
        <v>0</v>
      </c>
      <c r="AF198" s="82">
        <f t="shared" si="164"/>
        <v>0</v>
      </c>
      <c r="AG198" s="82">
        <f t="shared" si="164"/>
        <v>0</v>
      </c>
      <c r="AH198" s="82">
        <f t="shared" si="164"/>
        <v>0</v>
      </c>
      <c r="AI198" s="82">
        <f t="shared" si="164"/>
        <v>0</v>
      </c>
      <c r="AJ198" s="82">
        <f t="shared" si="164"/>
        <v>0</v>
      </c>
      <c r="AK198" s="82">
        <f t="shared" si="164"/>
        <v>0</v>
      </c>
      <c r="AL198" s="82">
        <f t="shared" si="164"/>
        <v>0</v>
      </c>
      <c r="AM198" s="82">
        <f t="shared" si="164"/>
        <v>0</v>
      </c>
      <c r="AN198" s="82">
        <f t="shared" si="164"/>
        <v>0</v>
      </c>
      <c r="AO198" s="411" t="s">
        <v>264</v>
      </c>
    </row>
    <row r="199" spans="1:41" ht="15.75" customHeight="1">
      <c r="A199" s="902"/>
      <c r="B199" s="47" t="s">
        <v>15</v>
      </c>
      <c r="C199" s="143"/>
      <c r="D199" s="143"/>
      <c r="E199" s="143"/>
      <c r="F199" s="143"/>
      <c r="G199" s="320"/>
      <c r="H199" s="321"/>
      <c r="I199" s="838"/>
      <c r="J199" s="588"/>
      <c r="K199" s="325"/>
      <c r="L199" s="47">
        <v>2401.5100000000002</v>
      </c>
      <c r="M199" s="47">
        <v>1825.11</v>
      </c>
      <c r="N199" s="47">
        <v>576.4</v>
      </c>
      <c r="O199" s="47">
        <v>0</v>
      </c>
      <c r="P199" s="47">
        <f>N199</f>
        <v>576.4</v>
      </c>
      <c r="Q199" s="47">
        <f>SUM(Q200:Q201)</f>
        <v>2401.491</v>
      </c>
      <c r="R199" s="50">
        <f>SUM(R200:R201)</f>
        <v>0</v>
      </c>
      <c r="S199" s="50">
        <f t="shared" ref="S199:Y199" si="165">SUM(S200:S201)</f>
        <v>0</v>
      </c>
      <c r="T199" s="50">
        <f t="shared" si="165"/>
        <v>996.56899999999996</v>
      </c>
      <c r="U199" s="50">
        <f t="shared" si="165"/>
        <v>996.56899999999996</v>
      </c>
      <c r="V199" s="50">
        <f t="shared" si="165"/>
        <v>404.92200000000003</v>
      </c>
      <c r="W199" s="50">
        <f t="shared" si="165"/>
        <v>404.92200000000003</v>
      </c>
      <c r="X199" s="460">
        <f t="shared" si="165"/>
        <v>1000</v>
      </c>
      <c r="Y199" s="460">
        <f t="shared" si="165"/>
        <v>1000</v>
      </c>
      <c r="Z199" s="460">
        <f>Z200+Z201</f>
        <v>2401.491</v>
      </c>
      <c r="AA199" s="50">
        <f t="shared" ref="AA199:AC199" si="166">AA200+AA201</f>
        <v>0</v>
      </c>
      <c r="AB199" s="50">
        <f t="shared" si="166"/>
        <v>976.56899999999996</v>
      </c>
      <c r="AC199" s="50">
        <f t="shared" si="166"/>
        <v>1424.922</v>
      </c>
      <c r="AD199" s="50">
        <f t="shared" ref="AD199" si="167">AD200</f>
        <v>0</v>
      </c>
      <c r="AE199" s="50">
        <v>0</v>
      </c>
      <c r="AF199" s="50">
        <v>0</v>
      </c>
      <c r="AG199" s="50">
        <v>0</v>
      </c>
      <c r="AH199" s="50">
        <v>0</v>
      </c>
      <c r="AI199" s="50">
        <v>0</v>
      </c>
      <c r="AJ199" s="50">
        <v>0</v>
      </c>
      <c r="AK199" s="50">
        <v>0</v>
      </c>
      <c r="AL199" s="50">
        <v>0</v>
      </c>
      <c r="AM199" s="50">
        <v>0</v>
      </c>
      <c r="AN199" s="50">
        <v>0</v>
      </c>
      <c r="AO199" s="420"/>
    </row>
    <row r="200" spans="1:41" s="100" customFormat="1" ht="15.75" hidden="1" customHeight="1">
      <c r="A200" s="902"/>
      <c r="B200" s="464" t="s">
        <v>275</v>
      </c>
      <c r="C200" s="377"/>
      <c r="D200" s="377"/>
      <c r="E200" s="377"/>
      <c r="F200" s="377"/>
      <c r="G200" s="465"/>
      <c r="H200" s="466"/>
      <c r="I200" s="838"/>
      <c r="J200" s="379"/>
      <c r="K200" s="380"/>
      <c r="L200" s="99"/>
      <c r="M200" s="275"/>
      <c r="N200" s="275"/>
      <c r="O200" s="275"/>
      <c r="P200" s="275">
        <f>Q200</f>
        <v>996.56899999999996</v>
      </c>
      <c r="Q200" s="467">
        <f>S200+U200+W200</f>
        <v>996.56899999999996</v>
      </c>
      <c r="R200" s="467"/>
      <c r="S200" s="467"/>
      <c r="T200" s="467">
        <f>976.569+20</f>
        <v>996.56899999999996</v>
      </c>
      <c r="U200" s="467">
        <f>976.569+20</f>
        <v>996.56899999999996</v>
      </c>
      <c r="V200" s="467"/>
      <c r="W200" s="467"/>
      <c r="X200" s="467"/>
      <c r="Y200" s="467"/>
      <c r="Z200" s="467">
        <f>SUM(AA200:AD200)</f>
        <v>996.56899999999996</v>
      </c>
      <c r="AA200" s="467"/>
      <c r="AB200" s="467">
        <v>976.56899999999996</v>
      </c>
      <c r="AC200" s="467">
        <v>20</v>
      </c>
      <c r="AD200" s="467"/>
      <c r="AE200" s="467"/>
      <c r="AF200" s="467"/>
      <c r="AG200" s="467"/>
      <c r="AH200" s="467"/>
      <c r="AI200" s="467"/>
      <c r="AJ200" s="467"/>
      <c r="AK200" s="467"/>
      <c r="AL200" s="467"/>
      <c r="AM200" s="467"/>
      <c r="AN200" s="467"/>
      <c r="AO200" s="468"/>
    </row>
    <row r="201" spans="1:41" s="100" customFormat="1" ht="15.75" hidden="1" customHeight="1">
      <c r="A201" s="902"/>
      <c r="B201" s="464" t="s">
        <v>280</v>
      </c>
      <c r="C201" s="377"/>
      <c r="D201" s="377"/>
      <c r="E201" s="377"/>
      <c r="F201" s="377"/>
      <c r="G201" s="465"/>
      <c r="H201" s="466"/>
      <c r="I201" s="838"/>
      <c r="J201" s="379"/>
      <c r="K201" s="380"/>
      <c r="L201" s="99"/>
      <c r="M201" s="275"/>
      <c r="N201" s="275"/>
      <c r="O201" s="275"/>
      <c r="P201" s="275"/>
      <c r="Q201" s="510">
        <f>S201+U201+W201+Y201</f>
        <v>1404.922</v>
      </c>
      <c r="R201" s="510"/>
      <c r="S201" s="510"/>
      <c r="T201" s="510"/>
      <c r="U201" s="510"/>
      <c r="V201" s="510">
        <f>W201</f>
        <v>404.92200000000003</v>
      </c>
      <c r="W201" s="510">
        <v>404.92200000000003</v>
      </c>
      <c r="X201" s="510">
        <f>Y201</f>
        <v>1000</v>
      </c>
      <c r="Y201" s="510">
        <v>1000</v>
      </c>
      <c r="Z201" s="510">
        <f>SUM(AA201:AD201)</f>
        <v>1404.922</v>
      </c>
      <c r="AA201" s="510"/>
      <c r="AB201" s="510"/>
      <c r="AC201" s="510">
        <v>1404.922</v>
      </c>
      <c r="AD201" s="467"/>
      <c r="AE201" s="467"/>
      <c r="AF201" s="467"/>
      <c r="AG201" s="467"/>
      <c r="AH201" s="467"/>
      <c r="AI201" s="467"/>
      <c r="AJ201" s="467"/>
      <c r="AK201" s="467"/>
      <c r="AL201" s="467"/>
      <c r="AM201" s="467"/>
      <c r="AN201" s="467"/>
      <c r="AO201" s="468"/>
    </row>
    <row r="202" spans="1:41" ht="15.75" customHeight="1">
      <c r="A202" s="836"/>
      <c r="B202" s="348" t="s">
        <v>32</v>
      </c>
      <c r="C202" s="143"/>
      <c r="D202" s="143"/>
      <c r="E202" s="143"/>
      <c r="F202" s="143"/>
      <c r="G202" s="349"/>
      <c r="H202" s="350"/>
      <c r="I202" s="839"/>
      <c r="J202" s="588"/>
      <c r="K202" s="325"/>
      <c r="L202" s="47">
        <v>131634.9</v>
      </c>
      <c r="M202" s="351">
        <v>0</v>
      </c>
      <c r="N202" s="47">
        <v>56899.8</v>
      </c>
      <c r="O202" s="351">
        <v>0</v>
      </c>
      <c r="P202" s="47">
        <f>N202</f>
        <v>56899.8</v>
      </c>
      <c r="Q202" s="351">
        <v>0</v>
      </c>
      <c r="R202" s="351">
        <v>0</v>
      </c>
      <c r="S202" s="351">
        <v>0</v>
      </c>
      <c r="T202" s="351">
        <v>0</v>
      </c>
      <c r="U202" s="351">
        <v>0</v>
      </c>
      <c r="V202" s="351">
        <v>0</v>
      </c>
      <c r="W202" s="351">
        <v>0</v>
      </c>
      <c r="X202" s="351">
        <v>0</v>
      </c>
      <c r="Y202" s="351">
        <v>0</v>
      </c>
      <c r="Z202" s="351">
        <v>0</v>
      </c>
      <c r="AA202" s="351">
        <v>0</v>
      </c>
      <c r="AB202" s="351">
        <v>0</v>
      </c>
      <c r="AC202" s="351">
        <v>0</v>
      </c>
      <c r="AD202" s="351">
        <v>0</v>
      </c>
      <c r="AE202" s="351">
        <v>0</v>
      </c>
      <c r="AF202" s="351">
        <v>0</v>
      </c>
      <c r="AG202" s="351">
        <v>0</v>
      </c>
      <c r="AH202" s="351">
        <v>0</v>
      </c>
      <c r="AI202" s="351">
        <v>0</v>
      </c>
      <c r="AJ202" s="351">
        <v>0</v>
      </c>
      <c r="AK202" s="351">
        <v>0</v>
      </c>
      <c r="AL202" s="351">
        <v>0</v>
      </c>
      <c r="AM202" s="351">
        <v>0</v>
      </c>
      <c r="AN202" s="351">
        <v>0</v>
      </c>
      <c r="AO202" s="423"/>
    </row>
    <row r="203" spans="1:41" ht="42" customHeight="1">
      <c r="A203" s="828" t="s">
        <v>191</v>
      </c>
      <c r="B203" s="80" t="s">
        <v>215</v>
      </c>
      <c r="C203" s="590"/>
      <c r="D203" s="590"/>
      <c r="E203" s="590">
        <v>300</v>
      </c>
      <c r="F203" s="590"/>
      <c r="G203" s="586">
        <v>2019</v>
      </c>
      <c r="H203" s="586">
        <v>2019</v>
      </c>
      <c r="I203" s="830" t="s">
        <v>20</v>
      </c>
      <c r="J203" s="53">
        <f>K203+L203</f>
        <v>27019.38</v>
      </c>
      <c r="K203" s="3">
        <v>0</v>
      </c>
      <c r="L203" s="82">
        <f>L204</f>
        <v>27019.38</v>
      </c>
      <c r="M203" s="82">
        <f>M204</f>
        <v>27019.38</v>
      </c>
      <c r="N203" s="79">
        <v>0</v>
      </c>
      <c r="O203" s="79">
        <v>0</v>
      </c>
      <c r="P203" s="79">
        <f>P204</f>
        <v>0</v>
      </c>
      <c r="Q203" s="79">
        <f>Q204</f>
        <v>10331.279999999999</v>
      </c>
      <c r="R203" s="79">
        <f t="shared" ref="R203:AN204" si="168">R204</f>
        <v>2639.28</v>
      </c>
      <c r="S203" s="79">
        <f t="shared" si="168"/>
        <v>2639.28</v>
      </c>
      <c r="T203" s="79">
        <f t="shared" si="168"/>
        <v>3827.12</v>
      </c>
      <c r="U203" s="79">
        <f t="shared" si="168"/>
        <v>3827.12</v>
      </c>
      <c r="V203" s="79">
        <f t="shared" si="168"/>
        <v>3864.88</v>
      </c>
      <c r="W203" s="79">
        <f t="shared" si="168"/>
        <v>3864.88</v>
      </c>
      <c r="X203" s="79">
        <f t="shared" si="168"/>
        <v>0</v>
      </c>
      <c r="Y203" s="79">
        <f t="shared" si="168"/>
        <v>0</v>
      </c>
      <c r="Z203" s="79">
        <f t="shared" si="168"/>
        <v>4837.4849999999997</v>
      </c>
      <c r="AA203" s="79">
        <f t="shared" si="168"/>
        <v>972.61</v>
      </c>
      <c r="AB203" s="79">
        <f t="shared" si="168"/>
        <v>3864.875</v>
      </c>
      <c r="AC203" s="79">
        <f t="shared" si="168"/>
        <v>0</v>
      </c>
      <c r="AD203" s="79">
        <f t="shared" si="168"/>
        <v>0</v>
      </c>
      <c r="AE203" s="79">
        <f t="shared" si="168"/>
        <v>26166.241999999998</v>
      </c>
      <c r="AF203" s="79">
        <f t="shared" si="168"/>
        <v>0</v>
      </c>
      <c r="AG203" s="79">
        <f t="shared" si="168"/>
        <v>26166.241999999998</v>
      </c>
      <c r="AH203" s="79">
        <f t="shared" si="168"/>
        <v>0</v>
      </c>
      <c r="AI203" s="79">
        <f t="shared" si="168"/>
        <v>0</v>
      </c>
      <c r="AJ203" s="79">
        <f t="shared" si="168"/>
        <v>0</v>
      </c>
      <c r="AK203" s="79">
        <f t="shared" si="168"/>
        <v>0</v>
      </c>
      <c r="AL203" s="79">
        <f t="shared" si="168"/>
        <v>0</v>
      </c>
      <c r="AM203" s="79">
        <f t="shared" si="168"/>
        <v>0</v>
      </c>
      <c r="AN203" s="79">
        <f t="shared" si="168"/>
        <v>0</v>
      </c>
      <c r="AO203" s="424" t="s">
        <v>282</v>
      </c>
    </row>
    <row r="204" spans="1:41" s="292" customFormat="1" ht="19.5" customHeight="1">
      <c r="A204" s="829"/>
      <c r="B204" s="1" t="s">
        <v>216</v>
      </c>
      <c r="C204" s="586"/>
      <c r="D204" s="586"/>
      <c r="E204" s="586"/>
      <c r="F204" s="586"/>
      <c r="G204" s="586"/>
      <c r="H204" s="586"/>
      <c r="I204" s="831"/>
      <c r="J204" s="6"/>
      <c r="K204" s="47"/>
      <c r="L204" s="47">
        <v>27019.38</v>
      </c>
      <c r="M204" s="47">
        <v>27019.38</v>
      </c>
      <c r="N204" s="47">
        <v>0</v>
      </c>
      <c r="O204" s="47">
        <v>0</v>
      </c>
      <c r="P204" s="4">
        <v>0</v>
      </c>
      <c r="Q204" s="4">
        <f>Q205</f>
        <v>10331.279999999999</v>
      </c>
      <c r="R204" s="4">
        <f t="shared" si="168"/>
        <v>2639.28</v>
      </c>
      <c r="S204" s="4">
        <f t="shared" si="168"/>
        <v>2639.28</v>
      </c>
      <c r="T204" s="4">
        <f t="shared" si="168"/>
        <v>3827.12</v>
      </c>
      <c r="U204" s="4">
        <f t="shared" si="168"/>
        <v>3827.12</v>
      </c>
      <c r="V204" s="4">
        <f t="shared" si="168"/>
        <v>3864.88</v>
      </c>
      <c r="W204" s="4">
        <f t="shared" si="168"/>
        <v>3864.88</v>
      </c>
      <c r="X204" s="4">
        <v>0</v>
      </c>
      <c r="Y204" s="4">
        <f t="shared" si="168"/>
        <v>0</v>
      </c>
      <c r="Z204" s="4">
        <f t="shared" si="168"/>
        <v>4837.4849999999997</v>
      </c>
      <c r="AA204" s="4">
        <f t="shared" si="168"/>
        <v>972.61</v>
      </c>
      <c r="AB204" s="4">
        <f t="shared" si="168"/>
        <v>3864.875</v>
      </c>
      <c r="AC204" s="4">
        <f t="shared" si="168"/>
        <v>0</v>
      </c>
      <c r="AD204" s="4">
        <f t="shared" si="168"/>
        <v>0</v>
      </c>
      <c r="AE204" s="4">
        <f>AE205</f>
        <v>26166.241999999998</v>
      </c>
      <c r="AF204" s="4">
        <f t="shared" si="168"/>
        <v>0</v>
      </c>
      <c r="AG204" s="4">
        <f t="shared" si="168"/>
        <v>26166.241999999998</v>
      </c>
      <c r="AH204" s="4">
        <f t="shared" si="168"/>
        <v>0</v>
      </c>
      <c r="AI204" s="4">
        <f t="shared" si="168"/>
        <v>0</v>
      </c>
      <c r="AJ204" s="4">
        <f t="shared" si="168"/>
        <v>0</v>
      </c>
      <c r="AK204" s="4">
        <f t="shared" si="168"/>
        <v>0</v>
      </c>
      <c r="AL204" s="4">
        <f t="shared" si="168"/>
        <v>0</v>
      </c>
      <c r="AM204" s="4">
        <f t="shared" si="168"/>
        <v>0</v>
      </c>
      <c r="AN204" s="4">
        <f t="shared" si="168"/>
        <v>0</v>
      </c>
      <c r="AO204" s="425"/>
    </row>
    <row r="205" spans="1:41" s="273" customFormat="1" ht="15.75" hidden="1">
      <c r="A205" s="274"/>
      <c r="B205" s="105" t="s">
        <v>261</v>
      </c>
      <c r="C205" s="107"/>
      <c r="D205" s="107"/>
      <c r="E205" s="107"/>
      <c r="F205" s="107"/>
      <c r="G205" s="107"/>
      <c r="H205" s="107"/>
      <c r="I205" s="105"/>
      <c r="J205" s="109"/>
      <c r="K205" s="99"/>
      <c r="L205" s="99"/>
      <c r="M205" s="275"/>
      <c r="N205" s="275"/>
      <c r="O205" s="275"/>
      <c r="P205" s="275">
        <f>Q205</f>
        <v>10331.279999999999</v>
      </c>
      <c r="Q205" s="275">
        <f>S205+U205+W205</f>
        <v>10331.279999999999</v>
      </c>
      <c r="R205" s="275">
        <f>S205</f>
        <v>2639.28</v>
      </c>
      <c r="S205" s="275">
        <v>2639.28</v>
      </c>
      <c r="T205" s="275">
        <f>U205</f>
        <v>3827.12</v>
      </c>
      <c r="U205" s="275">
        <v>3827.12</v>
      </c>
      <c r="V205" s="275">
        <f>W205</f>
        <v>3864.88</v>
      </c>
      <c r="W205" s="275">
        <v>3864.88</v>
      </c>
      <c r="X205" s="275">
        <v>0</v>
      </c>
      <c r="Y205" s="275">
        <v>0</v>
      </c>
      <c r="Z205" s="275">
        <f>SUM(AA205:AB205)</f>
        <v>4837.4849999999997</v>
      </c>
      <c r="AA205" s="275">
        <v>972.61</v>
      </c>
      <c r="AB205" s="275">
        <v>3864.875</v>
      </c>
      <c r="AC205" s="275">
        <v>0</v>
      </c>
      <c r="AD205" s="275"/>
      <c r="AE205" s="275">
        <f>SUM(AF205:AH205)</f>
        <v>26166.241999999998</v>
      </c>
      <c r="AF205" s="275"/>
      <c r="AG205" s="275">
        <v>26166.241999999998</v>
      </c>
      <c r="AH205" s="275">
        <v>0</v>
      </c>
      <c r="AI205" s="275"/>
      <c r="AJ205" s="99"/>
      <c r="AK205" s="99"/>
      <c r="AL205" s="99"/>
      <c r="AM205" s="275"/>
      <c r="AN205" s="275"/>
      <c r="AO205" s="426"/>
    </row>
    <row r="206" spans="1:41" ht="57" customHeight="1">
      <c r="A206" s="14" t="s">
        <v>193</v>
      </c>
      <c r="B206" s="80" t="s">
        <v>298</v>
      </c>
      <c r="C206" s="354">
        <v>63</v>
      </c>
      <c r="D206" s="354">
        <v>250</v>
      </c>
      <c r="E206" s="354">
        <v>250</v>
      </c>
      <c r="F206" s="354"/>
      <c r="G206" s="355">
        <v>2019</v>
      </c>
      <c r="H206" s="355">
        <v>2019</v>
      </c>
      <c r="I206" s="1"/>
      <c r="J206" s="356">
        <f>K206+L206</f>
        <v>36691.870000000003</v>
      </c>
      <c r="K206" s="357">
        <v>0</v>
      </c>
      <c r="L206" s="82">
        <f>L207+L210+L211</f>
        <v>36691.870000000003</v>
      </c>
      <c r="M206" s="82">
        <f t="shared" ref="M206:N206" si="169">M207+M210+M211</f>
        <v>31392.57</v>
      </c>
      <c r="N206" s="82">
        <f t="shared" si="169"/>
        <v>33892.57</v>
      </c>
      <c r="O206" s="82">
        <v>0</v>
      </c>
      <c r="P206" s="82">
        <f>N206</f>
        <v>33892.57</v>
      </c>
      <c r="Q206" s="82">
        <f>Q207</f>
        <v>11.619</v>
      </c>
      <c r="R206" s="82">
        <v>0</v>
      </c>
      <c r="S206" s="82">
        <v>0</v>
      </c>
      <c r="T206" s="82">
        <f>T207</f>
        <v>0</v>
      </c>
      <c r="U206" s="82">
        <f>U207</f>
        <v>0</v>
      </c>
      <c r="V206" s="82">
        <f t="shared" ref="V206:Y206" si="170">V207</f>
        <v>0</v>
      </c>
      <c r="W206" s="82">
        <f t="shared" si="170"/>
        <v>0</v>
      </c>
      <c r="X206" s="82">
        <f t="shared" si="170"/>
        <v>0</v>
      </c>
      <c r="Y206" s="82">
        <f t="shared" si="170"/>
        <v>11.619</v>
      </c>
      <c r="Z206" s="82">
        <f>Z207</f>
        <v>11.619</v>
      </c>
      <c r="AA206" s="82">
        <v>0</v>
      </c>
      <c r="AB206" s="82">
        <f>AB207</f>
        <v>0</v>
      </c>
      <c r="AC206" s="82">
        <f t="shared" ref="AC206:AD206" si="171">AC207</f>
        <v>0</v>
      </c>
      <c r="AD206" s="82">
        <f t="shared" si="171"/>
        <v>11.619</v>
      </c>
      <c r="AE206" s="82">
        <v>0</v>
      </c>
      <c r="AF206" s="82">
        <v>0</v>
      </c>
      <c r="AG206" s="82">
        <v>0</v>
      </c>
      <c r="AH206" s="82">
        <v>0</v>
      </c>
      <c r="AI206" s="82">
        <v>0</v>
      </c>
      <c r="AJ206" s="82">
        <f>P206-Q206</f>
        <v>33880.951000000001</v>
      </c>
      <c r="AK206" s="82">
        <f>AJ206</f>
        <v>33880.951000000001</v>
      </c>
      <c r="AL206" s="79">
        <f>ROUND((Q206*100%/P206*100),2)</f>
        <v>0.03</v>
      </c>
      <c r="AM206" s="82">
        <v>0</v>
      </c>
      <c r="AN206" s="82">
        <v>0</v>
      </c>
      <c r="AO206" s="411" t="s">
        <v>249</v>
      </c>
    </row>
    <row r="207" spans="1:41" s="292" customFormat="1" ht="33.75">
      <c r="A207" s="592"/>
      <c r="B207" s="47" t="s">
        <v>15</v>
      </c>
      <c r="C207" s="586"/>
      <c r="D207" s="586"/>
      <c r="E207" s="586"/>
      <c r="F207" s="586"/>
      <c r="G207" s="586"/>
      <c r="H207" s="586"/>
      <c r="I207" s="501" t="s">
        <v>20</v>
      </c>
      <c r="J207" s="476"/>
      <c r="K207" s="47"/>
      <c r="L207" s="47">
        <v>2799.3</v>
      </c>
      <c r="M207" s="4"/>
      <c r="N207" s="4">
        <v>0</v>
      </c>
      <c r="O207" s="4"/>
      <c r="P207" s="4">
        <v>0</v>
      </c>
      <c r="Q207" s="4">
        <f>SUM(Q208:Q209)</f>
        <v>11.619</v>
      </c>
      <c r="R207" s="4">
        <f t="shared" ref="R207:AD207" si="172">SUM(R208:R209)</f>
        <v>0</v>
      </c>
      <c r="S207" s="4">
        <f t="shared" si="172"/>
        <v>0</v>
      </c>
      <c r="T207" s="4">
        <f t="shared" si="172"/>
        <v>0</v>
      </c>
      <c r="U207" s="4">
        <f t="shared" si="172"/>
        <v>0</v>
      </c>
      <c r="V207" s="4">
        <f t="shared" si="172"/>
        <v>0</v>
      </c>
      <c r="W207" s="4">
        <f t="shared" si="172"/>
        <v>0</v>
      </c>
      <c r="X207" s="4">
        <f t="shared" si="172"/>
        <v>0</v>
      </c>
      <c r="Y207" s="4">
        <f t="shared" si="172"/>
        <v>11.619</v>
      </c>
      <c r="Z207" s="4">
        <f t="shared" si="172"/>
        <v>11.619</v>
      </c>
      <c r="AA207" s="4">
        <f t="shared" si="172"/>
        <v>0</v>
      </c>
      <c r="AB207" s="4">
        <f t="shared" si="172"/>
        <v>0</v>
      </c>
      <c r="AC207" s="4">
        <f t="shared" si="172"/>
        <v>0</v>
      </c>
      <c r="AD207" s="4">
        <f t="shared" si="172"/>
        <v>11.619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7"/>
      <c r="AK207" s="47"/>
      <c r="AL207" s="47"/>
      <c r="AM207" s="4"/>
      <c r="AN207" s="4"/>
      <c r="AO207" s="601"/>
    </row>
    <row r="208" spans="1:41" s="273" customFormat="1" ht="15.75" hidden="1">
      <c r="A208" s="274"/>
      <c r="B208" s="105" t="s">
        <v>271</v>
      </c>
      <c r="C208" s="107"/>
      <c r="D208" s="107"/>
      <c r="E208" s="107"/>
      <c r="F208" s="107"/>
      <c r="G208" s="107"/>
      <c r="H208" s="107"/>
      <c r="I208" s="105"/>
      <c r="J208" s="109"/>
      <c r="K208" s="99"/>
      <c r="L208" s="99"/>
      <c r="M208" s="275"/>
      <c r="N208" s="275"/>
      <c r="O208" s="275"/>
      <c r="P208" s="275">
        <f>R208+T208</f>
        <v>0</v>
      </c>
      <c r="Q208" s="275">
        <f>Y208</f>
        <v>6</v>
      </c>
      <c r="R208" s="275"/>
      <c r="S208" s="275"/>
      <c r="T208" s="275">
        <f>U208</f>
        <v>0</v>
      </c>
      <c r="U208" s="275">
        <v>0</v>
      </c>
      <c r="V208" s="275"/>
      <c r="W208" s="275"/>
      <c r="X208" s="275"/>
      <c r="Y208" s="275">
        <v>6</v>
      </c>
      <c r="Z208" s="275">
        <f>AD208</f>
        <v>6</v>
      </c>
      <c r="AA208" s="275"/>
      <c r="AB208" s="275">
        <v>0</v>
      </c>
      <c r="AC208" s="275"/>
      <c r="AD208" s="275">
        <v>6</v>
      </c>
      <c r="AE208" s="275"/>
      <c r="AF208" s="275"/>
      <c r="AG208" s="275"/>
      <c r="AH208" s="275"/>
      <c r="AI208" s="275"/>
      <c r="AJ208" s="99"/>
      <c r="AK208" s="99"/>
      <c r="AL208" s="99"/>
      <c r="AM208" s="275"/>
      <c r="AN208" s="275"/>
      <c r="AO208" s="426"/>
    </row>
    <row r="209" spans="1:41" s="273" customFormat="1" ht="15.75" hidden="1">
      <c r="A209" s="511"/>
      <c r="B209" s="105" t="s">
        <v>304</v>
      </c>
      <c r="C209" s="107"/>
      <c r="D209" s="107"/>
      <c r="E209" s="107"/>
      <c r="F209" s="107"/>
      <c r="G209" s="107"/>
      <c r="H209" s="107"/>
      <c r="I209" s="95"/>
      <c r="J209" s="455"/>
      <c r="K209" s="99"/>
      <c r="L209" s="99"/>
      <c r="M209" s="275"/>
      <c r="N209" s="275"/>
      <c r="O209" s="275"/>
      <c r="P209" s="275"/>
      <c r="Q209" s="275">
        <f>Y209</f>
        <v>5.6189999999999998</v>
      </c>
      <c r="R209" s="275"/>
      <c r="S209" s="275"/>
      <c r="T209" s="275"/>
      <c r="U209" s="275"/>
      <c r="V209" s="275"/>
      <c r="W209" s="275"/>
      <c r="X209" s="275"/>
      <c r="Y209" s="275">
        <v>5.6189999999999998</v>
      </c>
      <c r="Z209" s="275">
        <f>AD209</f>
        <v>5.6189999999999998</v>
      </c>
      <c r="AA209" s="275"/>
      <c r="AB209" s="275"/>
      <c r="AC209" s="275"/>
      <c r="AD209" s="275">
        <v>5.6189999999999998</v>
      </c>
      <c r="AE209" s="275"/>
      <c r="AF209" s="275"/>
      <c r="AG209" s="275"/>
      <c r="AH209" s="275"/>
      <c r="AI209" s="275"/>
      <c r="AJ209" s="99"/>
      <c r="AK209" s="99"/>
      <c r="AL209" s="99"/>
      <c r="AM209" s="275"/>
      <c r="AN209" s="275"/>
      <c r="AO209" s="426"/>
    </row>
    <row r="210" spans="1:41" s="292" customFormat="1" ht="15.75">
      <c r="A210" s="592"/>
      <c r="B210" s="47" t="s">
        <v>15</v>
      </c>
      <c r="C210" s="586"/>
      <c r="D210" s="586"/>
      <c r="E210" s="586"/>
      <c r="F210" s="586"/>
      <c r="G210" s="586"/>
      <c r="H210" s="586"/>
      <c r="I210" s="830" t="s">
        <v>10</v>
      </c>
      <c r="J210" s="476"/>
      <c r="K210" s="47"/>
      <c r="L210" s="47">
        <v>2500</v>
      </c>
      <c r="M210" s="4"/>
      <c r="N210" s="4">
        <v>2500</v>
      </c>
      <c r="O210" s="4">
        <v>2500</v>
      </c>
      <c r="P210" s="4">
        <v>2500</v>
      </c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7"/>
      <c r="AK210" s="47"/>
      <c r="AL210" s="47"/>
      <c r="AM210" s="4"/>
      <c r="AN210" s="4"/>
      <c r="AO210" s="425"/>
    </row>
    <row r="211" spans="1:41" s="292" customFormat="1" ht="15.75">
      <c r="A211" s="592"/>
      <c r="B211" s="1" t="s">
        <v>16</v>
      </c>
      <c r="C211" s="586"/>
      <c r="D211" s="586"/>
      <c r="E211" s="586"/>
      <c r="F211" s="586"/>
      <c r="G211" s="586"/>
      <c r="H211" s="586"/>
      <c r="I211" s="831"/>
      <c r="J211" s="476"/>
      <c r="K211" s="47"/>
      <c r="L211" s="47">
        <v>31392.57</v>
      </c>
      <c r="M211" s="47">
        <v>31392.57</v>
      </c>
      <c r="N211" s="47">
        <v>31392.57</v>
      </c>
      <c r="O211" s="47">
        <v>31392.57</v>
      </c>
      <c r="P211" s="47">
        <v>31392.57</v>
      </c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7"/>
      <c r="AK211" s="47"/>
      <c r="AL211" s="47"/>
      <c r="AM211" s="4"/>
      <c r="AN211" s="4"/>
      <c r="AO211" s="425"/>
    </row>
    <row r="212" spans="1:41" ht="28.5" customHeight="1">
      <c r="A212" s="803" t="s">
        <v>194</v>
      </c>
      <c r="B212" s="80" t="s">
        <v>35</v>
      </c>
      <c r="C212" s="823">
        <v>500</v>
      </c>
      <c r="D212" s="823" t="s">
        <v>43</v>
      </c>
      <c r="E212" s="823">
        <v>850</v>
      </c>
      <c r="F212" s="824">
        <v>20400</v>
      </c>
      <c r="G212" s="52"/>
      <c r="H212" s="52"/>
      <c r="I212" s="820" t="s">
        <v>20</v>
      </c>
      <c r="J212" s="912">
        <v>6942.46</v>
      </c>
      <c r="K212" s="3">
        <v>0</v>
      </c>
      <c r="L212" s="82">
        <f>L213</f>
        <v>6462.97</v>
      </c>
      <c r="M212" s="79">
        <f>M213</f>
        <v>0</v>
      </c>
      <c r="N212" s="79">
        <f t="shared" ref="N212:O212" si="173">N213</f>
        <v>0</v>
      </c>
      <c r="O212" s="79">
        <f t="shared" si="173"/>
        <v>6942.46</v>
      </c>
      <c r="P212" s="79">
        <f>P213</f>
        <v>0</v>
      </c>
      <c r="Q212" s="79">
        <v>0</v>
      </c>
      <c r="R212" s="79">
        <v>0</v>
      </c>
      <c r="S212" s="79">
        <v>0</v>
      </c>
      <c r="T212" s="79">
        <v>0</v>
      </c>
      <c r="U212" s="79">
        <v>0</v>
      </c>
      <c r="V212" s="79">
        <v>0</v>
      </c>
      <c r="W212" s="79">
        <v>0</v>
      </c>
      <c r="X212" s="79">
        <v>0</v>
      </c>
      <c r="Y212" s="79">
        <v>0</v>
      </c>
      <c r="Z212" s="79">
        <v>0</v>
      </c>
      <c r="AA212" s="79">
        <v>0</v>
      </c>
      <c r="AB212" s="79">
        <v>0</v>
      </c>
      <c r="AC212" s="79">
        <v>0</v>
      </c>
      <c r="AD212" s="79">
        <v>0</v>
      </c>
      <c r="AE212" s="79">
        <v>0</v>
      </c>
      <c r="AF212" s="79">
        <v>0</v>
      </c>
      <c r="AG212" s="79">
        <v>0</v>
      </c>
      <c r="AH212" s="79">
        <v>0</v>
      </c>
      <c r="AI212" s="79">
        <v>0</v>
      </c>
      <c r="AJ212" s="82">
        <f>P212-Q212</f>
        <v>0</v>
      </c>
      <c r="AK212" s="82">
        <f>AJ212</f>
        <v>0</v>
      </c>
      <c r="AL212" s="82">
        <v>0</v>
      </c>
      <c r="AM212" s="79">
        <v>0</v>
      </c>
      <c r="AN212" s="79">
        <v>0</v>
      </c>
      <c r="AO212" s="424"/>
    </row>
    <row r="213" spans="1:41" ht="15" customHeight="1">
      <c r="A213" s="805"/>
      <c r="B213" s="1" t="s">
        <v>15</v>
      </c>
      <c r="C213" s="823"/>
      <c r="D213" s="823"/>
      <c r="E213" s="823"/>
      <c r="F213" s="823"/>
      <c r="G213" s="586">
        <v>2021</v>
      </c>
      <c r="H213" s="586">
        <v>2021</v>
      </c>
      <c r="I213" s="821"/>
      <c r="J213" s="914"/>
      <c r="K213" s="3"/>
      <c r="L213" s="22">
        <v>6462.97</v>
      </c>
      <c r="M213" s="47">
        <v>0</v>
      </c>
      <c r="N213" s="47">
        <v>0</v>
      </c>
      <c r="O213" s="47">
        <v>6942.46</v>
      </c>
      <c r="P213" s="47">
        <v>0</v>
      </c>
      <c r="Q213" s="47">
        <v>0</v>
      </c>
      <c r="R213" s="47">
        <v>0</v>
      </c>
      <c r="S213" s="47">
        <v>0</v>
      </c>
      <c r="T213" s="47">
        <v>0</v>
      </c>
      <c r="U213" s="47">
        <v>0</v>
      </c>
      <c r="V213" s="47">
        <v>0</v>
      </c>
      <c r="W213" s="47">
        <v>0</v>
      </c>
      <c r="X213" s="47">
        <v>0</v>
      </c>
      <c r="Y213" s="47">
        <v>0</v>
      </c>
      <c r="Z213" s="47">
        <v>0</v>
      </c>
      <c r="AA213" s="47">
        <v>0</v>
      </c>
      <c r="AB213" s="47">
        <v>0</v>
      </c>
      <c r="AC213" s="47">
        <v>0</v>
      </c>
      <c r="AD213" s="47">
        <v>0</v>
      </c>
      <c r="AE213" s="47">
        <v>0</v>
      </c>
      <c r="AF213" s="47">
        <v>0</v>
      </c>
      <c r="AG213" s="47">
        <v>0</v>
      </c>
      <c r="AH213" s="47">
        <v>0</v>
      </c>
      <c r="AI213" s="47">
        <v>0</v>
      </c>
      <c r="AJ213" s="47">
        <v>0</v>
      </c>
      <c r="AK213" s="47">
        <v>0</v>
      </c>
      <c r="AL213" s="47">
        <v>0</v>
      </c>
      <c r="AM213" s="47">
        <v>0</v>
      </c>
      <c r="AN213" s="47">
        <v>0</v>
      </c>
      <c r="AO213" s="427"/>
    </row>
    <row r="214" spans="1:41" ht="40.5" customHeight="1">
      <c r="A214" s="803" t="s">
        <v>195</v>
      </c>
      <c r="B214" s="80" t="s">
        <v>196</v>
      </c>
      <c r="C214" s="824"/>
      <c r="D214" s="824"/>
      <c r="E214" s="824"/>
      <c r="F214" s="824">
        <v>80</v>
      </c>
      <c r="G214" s="52"/>
      <c r="H214" s="52"/>
      <c r="I214" s="820" t="s">
        <v>20</v>
      </c>
      <c r="J214" s="54">
        <f>L214</f>
        <v>45265.81</v>
      </c>
      <c r="K214" s="6"/>
      <c r="L214" s="82">
        <f>L215+L217</f>
        <v>45265.81</v>
      </c>
      <c r="M214" s="82">
        <f>M215+M217</f>
        <v>33.479999999999997</v>
      </c>
      <c r="N214" s="82">
        <f t="shared" ref="N214:O214" si="174">N215+N217</f>
        <v>7044.44</v>
      </c>
      <c r="O214" s="82">
        <f t="shared" si="174"/>
        <v>11467.37</v>
      </c>
      <c r="P214" s="82">
        <f>N214</f>
        <v>7044.44</v>
      </c>
      <c r="Q214" s="82">
        <f>Q215+Q217</f>
        <v>0</v>
      </c>
      <c r="R214" s="82">
        <f t="shared" ref="R214:AN214" si="175">R215+R217</f>
        <v>0</v>
      </c>
      <c r="S214" s="82">
        <f t="shared" si="175"/>
        <v>0</v>
      </c>
      <c r="T214" s="82">
        <f t="shared" si="175"/>
        <v>0</v>
      </c>
      <c r="U214" s="82">
        <f t="shared" si="175"/>
        <v>0</v>
      </c>
      <c r="V214" s="82">
        <f t="shared" si="175"/>
        <v>0</v>
      </c>
      <c r="W214" s="82">
        <f t="shared" si="175"/>
        <v>0</v>
      </c>
      <c r="X214" s="82">
        <f t="shared" si="175"/>
        <v>0</v>
      </c>
      <c r="Y214" s="82">
        <f t="shared" si="175"/>
        <v>0</v>
      </c>
      <c r="Z214" s="82">
        <f t="shared" si="175"/>
        <v>0</v>
      </c>
      <c r="AA214" s="82">
        <f>AA215+AA217</f>
        <v>0</v>
      </c>
      <c r="AB214" s="82">
        <f t="shared" ref="AB214:AD214" si="176">AB215+AB217</f>
        <v>0</v>
      </c>
      <c r="AC214" s="82">
        <f t="shared" si="176"/>
        <v>0</v>
      </c>
      <c r="AD214" s="82">
        <f t="shared" si="176"/>
        <v>0</v>
      </c>
      <c r="AE214" s="82">
        <f t="shared" si="175"/>
        <v>0</v>
      </c>
      <c r="AF214" s="82">
        <f t="shared" si="175"/>
        <v>0</v>
      </c>
      <c r="AG214" s="82">
        <f t="shared" si="175"/>
        <v>0</v>
      </c>
      <c r="AH214" s="82">
        <f t="shared" si="175"/>
        <v>0</v>
      </c>
      <c r="AI214" s="82">
        <f t="shared" si="175"/>
        <v>0</v>
      </c>
      <c r="AJ214" s="82">
        <f>P214-Q214</f>
        <v>7044.44</v>
      </c>
      <c r="AK214" s="82">
        <f>AJ214</f>
        <v>7044.44</v>
      </c>
      <c r="AL214" s="79">
        <f>ROUND((Q214*100%/P214*100),2)</f>
        <v>0</v>
      </c>
      <c r="AM214" s="82">
        <f t="shared" si="175"/>
        <v>0</v>
      </c>
      <c r="AN214" s="82">
        <f t="shared" si="175"/>
        <v>0</v>
      </c>
      <c r="AO214" s="428" t="s">
        <v>250</v>
      </c>
    </row>
    <row r="215" spans="1:41" ht="17.25" customHeight="1">
      <c r="A215" s="804"/>
      <c r="B215" s="1" t="s">
        <v>15</v>
      </c>
      <c r="C215" s="823"/>
      <c r="D215" s="823"/>
      <c r="E215" s="823"/>
      <c r="F215" s="823"/>
      <c r="G215" s="586">
        <v>2019</v>
      </c>
      <c r="H215" s="586">
        <v>2019</v>
      </c>
      <c r="I215" s="822"/>
      <c r="J215" s="54">
        <f t="shared" ref="J215:J217" si="177">L215</f>
        <v>7077.92</v>
      </c>
      <c r="K215" s="6"/>
      <c r="L215" s="22">
        <v>7077.92</v>
      </c>
      <c r="M215" s="47">
        <v>33.479999999999997</v>
      </c>
      <c r="N215" s="47">
        <v>7044.44</v>
      </c>
      <c r="O215" s="47">
        <v>0</v>
      </c>
      <c r="P215" s="47">
        <f>N215</f>
        <v>7044.44</v>
      </c>
      <c r="Q215" s="47">
        <f>SUM(Q216)</f>
        <v>0</v>
      </c>
      <c r="R215" s="47">
        <f t="shared" ref="R215" si="178">SUM(R216)</f>
        <v>0</v>
      </c>
      <c r="S215" s="47">
        <f>SUM(S216)</f>
        <v>0</v>
      </c>
      <c r="T215" s="47">
        <f t="shared" ref="T215:Y215" si="179">SUM(T216)</f>
        <v>0</v>
      </c>
      <c r="U215" s="47">
        <f t="shared" si="179"/>
        <v>0</v>
      </c>
      <c r="V215" s="47">
        <f t="shared" si="179"/>
        <v>0</v>
      </c>
      <c r="W215" s="47">
        <f t="shared" si="179"/>
        <v>0</v>
      </c>
      <c r="X215" s="47">
        <v>0</v>
      </c>
      <c r="Y215" s="47">
        <f t="shared" si="179"/>
        <v>0</v>
      </c>
      <c r="Z215" s="47">
        <v>0</v>
      </c>
      <c r="AA215" s="47">
        <v>0</v>
      </c>
      <c r="AB215" s="47">
        <v>0</v>
      </c>
      <c r="AC215" s="47">
        <v>0</v>
      </c>
      <c r="AD215" s="47">
        <v>0</v>
      </c>
      <c r="AE215" s="47">
        <f>AE216</f>
        <v>0</v>
      </c>
      <c r="AF215" s="47">
        <f t="shared" ref="AF215:AI215" si="180">AF216</f>
        <v>0</v>
      </c>
      <c r="AG215" s="47">
        <f t="shared" si="180"/>
        <v>0</v>
      </c>
      <c r="AH215" s="47">
        <f t="shared" si="180"/>
        <v>0</v>
      </c>
      <c r="AI215" s="47">
        <f t="shared" si="180"/>
        <v>0</v>
      </c>
      <c r="AJ215" s="47">
        <v>0</v>
      </c>
      <c r="AK215" s="47">
        <v>0</v>
      </c>
      <c r="AL215" s="47">
        <v>0</v>
      </c>
      <c r="AM215" s="47">
        <v>0</v>
      </c>
      <c r="AN215" s="47">
        <v>0</v>
      </c>
      <c r="AO215" s="427"/>
    </row>
    <row r="216" spans="1:41" s="100" customFormat="1" ht="17.25" hidden="1" customHeight="1">
      <c r="A216" s="804"/>
      <c r="B216" s="105" t="s">
        <v>274</v>
      </c>
      <c r="C216" s="106"/>
      <c r="D216" s="106"/>
      <c r="E216" s="106"/>
      <c r="F216" s="106"/>
      <c r="G216" s="107"/>
      <c r="H216" s="107"/>
      <c r="I216" s="822"/>
      <c r="J216" s="108"/>
      <c r="K216" s="109"/>
      <c r="L216" s="178"/>
      <c r="M216" s="99"/>
      <c r="N216" s="99"/>
      <c r="O216" s="99"/>
      <c r="P216" s="99">
        <f>R216</f>
        <v>0</v>
      </c>
      <c r="Q216" s="99">
        <f>S216</f>
        <v>0</v>
      </c>
      <c r="R216" s="99">
        <v>0</v>
      </c>
      <c r="S216" s="99">
        <v>0</v>
      </c>
      <c r="T216" s="99"/>
      <c r="U216" s="99"/>
      <c r="V216" s="99"/>
      <c r="W216" s="99"/>
      <c r="X216" s="99"/>
      <c r="Y216" s="99"/>
      <c r="Z216" s="99">
        <v>0</v>
      </c>
      <c r="AA216" s="99">
        <v>0</v>
      </c>
      <c r="AB216" s="99"/>
      <c r="AC216" s="99"/>
      <c r="AD216" s="99"/>
      <c r="AE216" s="99">
        <f>SUM(AF216:AF216)</f>
        <v>0</v>
      </c>
      <c r="AF216" s="99"/>
      <c r="AG216" s="99"/>
      <c r="AH216" s="99"/>
      <c r="AI216" s="99"/>
      <c r="AJ216" s="99"/>
      <c r="AK216" s="99"/>
      <c r="AL216" s="99"/>
      <c r="AM216" s="99"/>
      <c r="AN216" s="99"/>
      <c r="AO216" s="429"/>
    </row>
    <row r="217" spans="1:41" ht="17.25" customHeight="1">
      <c r="A217" s="805"/>
      <c r="B217" s="1" t="s">
        <v>16</v>
      </c>
      <c r="C217" s="573"/>
      <c r="D217" s="573"/>
      <c r="E217" s="573"/>
      <c r="F217" s="573"/>
      <c r="G217" s="586">
        <v>2020</v>
      </c>
      <c r="H217" s="586">
        <v>2021</v>
      </c>
      <c r="I217" s="821"/>
      <c r="J217" s="54">
        <f t="shared" si="177"/>
        <v>38187.89</v>
      </c>
      <c r="K217" s="6"/>
      <c r="L217" s="22">
        <v>38187.89</v>
      </c>
      <c r="M217" s="47">
        <v>0</v>
      </c>
      <c r="N217" s="47">
        <v>0</v>
      </c>
      <c r="O217" s="47">
        <v>11467.37</v>
      </c>
      <c r="P217" s="47">
        <v>0</v>
      </c>
      <c r="Q217" s="47">
        <v>0</v>
      </c>
      <c r="R217" s="47">
        <v>0</v>
      </c>
      <c r="S217" s="47">
        <v>0</v>
      </c>
      <c r="T217" s="47">
        <v>0</v>
      </c>
      <c r="U217" s="47">
        <v>0</v>
      </c>
      <c r="V217" s="47">
        <v>0</v>
      </c>
      <c r="W217" s="47">
        <v>0</v>
      </c>
      <c r="X217" s="47">
        <v>0</v>
      </c>
      <c r="Y217" s="47">
        <v>0</v>
      </c>
      <c r="Z217" s="47">
        <v>0</v>
      </c>
      <c r="AA217" s="47">
        <v>0</v>
      </c>
      <c r="AB217" s="47">
        <v>0</v>
      </c>
      <c r="AC217" s="47">
        <v>0</v>
      </c>
      <c r="AD217" s="47">
        <v>0</v>
      </c>
      <c r="AE217" s="47">
        <v>0</v>
      </c>
      <c r="AF217" s="47">
        <v>0</v>
      </c>
      <c r="AG217" s="47">
        <v>0</v>
      </c>
      <c r="AH217" s="47">
        <v>0</v>
      </c>
      <c r="AI217" s="47">
        <v>0</v>
      </c>
      <c r="AJ217" s="47">
        <v>0</v>
      </c>
      <c r="AK217" s="47">
        <v>0</v>
      </c>
      <c r="AL217" s="47">
        <v>0</v>
      </c>
      <c r="AM217" s="47">
        <v>0</v>
      </c>
      <c r="AN217" s="47">
        <v>0</v>
      </c>
      <c r="AO217" s="427"/>
    </row>
    <row r="218" spans="1:41" ht="52.5" customHeight="1">
      <c r="A218" s="803" t="s">
        <v>197</v>
      </c>
      <c r="B218" s="83" t="s">
        <v>171</v>
      </c>
      <c r="C218" s="824"/>
      <c r="D218" s="824"/>
      <c r="E218" s="824"/>
      <c r="F218" s="824">
        <v>80</v>
      </c>
      <c r="G218" s="52"/>
      <c r="H218" s="52"/>
      <c r="I218" s="820" t="s">
        <v>20</v>
      </c>
      <c r="J218" s="54">
        <f>L218</f>
        <v>94875.549999999988</v>
      </c>
      <c r="K218" s="6"/>
      <c r="L218" s="82">
        <f>L219+L222</f>
        <v>94875.549999999988</v>
      </c>
      <c r="M218" s="82">
        <f>M219+M222</f>
        <v>2761.44</v>
      </c>
      <c r="N218" s="82">
        <f t="shared" ref="N218:O218" si="181">N219+N222</f>
        <v>9629.68</v>
      </c>
      <c r="O218" s="82">
        <f t="shared" si="181"/>
        <v>22469.279999999999</v>
      </c>
      <c r="P218" s="82">
        <f>N218</f>
        <v>9629.68</v>
      </c>
      <c r="Q218" s="82">
        <f>Q219+Q222</f>
        <v>367.43299999999999</v>
      </c>
      <c r="R218" s="82">
        <f t="shared" ref="R218:Y218" si="182">R219+R222</f>
        <v>0</v>
      </c>
      <c r="S218" s="82">
        <f t="shared" si="182"/>
        <v>0</v>
      </c>
      <c r="T218" s="82">
        <f t="shared" si="182"/>
        <v>367.43299999999999</v>
      </c>
      <c r="U218" s="82">
        <f t="shared" si="182"/>
        <v>367.43299999999999</v>
      </c>
      <c r="V218" s="82">
        <f t="shared" si="182"/>
        <v>0</v>
      </c>
      <c r="W218" s="82">
        <f t="shared" si="182"/>
        <v>0</v>
      </c>
      <c r="X218" s="82">
        <f t="shared" si="182"/>
        <v>0</v>
      </c>
      <c r="Y218" s="82">
        <f t="shared" si="182"/>
        <v>0</v>
      </c>
      <c r="Z218" s="82">
        <f>Z219+Z222</f>
        <v>2117.433</v>
      </c>
      <c r="AA218" s="82">
        <f>AA219+AA222</f>
        <v>0</v>
      </c>
      <c r="AB218" s="82">
        <f t="shared" ref="AB218:AI218" si="183">AB219+AB222</f>
        <v>357.43299999999999</v>
      </c>
      <c r="AC218" s="82">
        <f t="shared" si="183"/>
        <v>10</v>
      </c>
      <c r="AD218" s="82">
        <f t="shared" si="183"/>
        <v>1750</v>
      </c>
      <c r="AE218" s="82">
        <f t="shared" si="183"/>
        <v>0</v>
      </c>
      <c r="AF218" s="82">
        <f t="shared" si="183"/>
        <v>0</v>
      </c>
      <c r="AG218" s="82">
        <f t="shared" si="183"/>
        <v>0</v>
      </c>
      <c r="AH218" s="82">
        <f t="shared" si="183"/>
        <v>0</v>
      </c>
      <c r="AI218" s="82">
        <f t="shared" si="183"/>
        <v>0</v>
      </c>
      <c r="AJ218" s="82">
        <f>P218-Q218</f>
        <v>9262.2469999999994</v>
      </c>
      <c r="AK218" s="82">
        <f>AJ218</f>
        <v>9262.2469999999994</v>
      </c>
      <c r="AL218" s="82">
        <f>ROUND((Q218*100%/P218*100),2)</f>
        <v>3.82</v>
      </c>
      <c r="AM218" s="82">
        <f t="shared" ref="AM218:AN218" si="184">AM219+AM222</f>
        <v>0</v>
      </c>
      <c r="AN218" s="82">
        <f t="shared" si="184"/>
        <v>0</v>
      </c>
      <c r="AO218" s="428" t="s">
        <v>264</v>
      </c>
    </row>
    <row r="219" spans="1:41" s="292" customFormat="1" ht="16.5" customHeight="1">
      <c r="A219" s="804"/>
      <c r="B219" s="42" t="s">
        <v>15</v>
      </c>
      <c r="C219" s="823"/>
      <c r="D219" s="823"/>
      <c r="E219" s="823"/>
      <c r="F219" s="823"/>
      <c r="G219" s="320"/>
      <c r="H219" s="321"/>
      <c r="I219" s="822"/>
      <c r="J219" s="75"/>
      <c r="K219" s="47"/>
      <c r="L219" s="47">
        <v>5734.87</v>
      </c>
      <c r="M219" s="47">
        <v>2761.44</v>
      </c>
      <c r="N219" s="47">
        <v>105.99</v>
      </c>
      <c r="O219" s="47">
        <v>0</v>
      </c>
      <c r="P219" s="47">
        <f>N219</f>
        <v>105.99</v>
      </c>
      <c r="Q219" s="47">
        <f>SUM(Q220:Q222)</f>
        <v>367.43299999999999</v>
      </c>
      <c r="R219" s="47">
        <f t="shared" ref="R219:W219" si="185">SUM(R220:R222)</f>
        <v>0</v>
      </c>
      <c r="S219" s="47">
        <f t="shared" si="185"/>
        <v>0</v>
      </c>
      <c r="T219" s="47">
        <f t="shared" si="185"/>
        <v>367.43299999999999</v>
      </c>
      <c r="U219" s="47">
        <f t="shared" si="185"/>
        <v>367.43299999999999</v>
      </c>
      <c r="V219" s="47">
        <f t="shared" si="185"/>
        <v>0</v>
      </c>
      <c r="W219" s="47">
        <f t="shared" si="185"/>
        <v>0</v>
      </c>
      <c r="X219" s="22">
        <v>0</v>
      </c>
      <c r="Y219" s="47">
        <f t="shared" ref="Y219:AD219" si="186">SUM(Y220:Y222)</f>
        <v>0</v>
      </c>
      <c r="Z219" s="47">
        <f t="shared" si="186"/>
        <v>2117.433</v>
      </c>
      <c r="AA219" s="47">
        <f t="shared" si="186"/>
        <v>0</v>
      </c>
      <c r="AB219" s="47">
        <f t="shared" si="186"/>
        <v>357.43299999999999</v>
      </c>
      <c r="AC219" s="47">
        <f t="shared" si="186"/>
        <v>10</v>
      </c>
      <c r="AD219" s="47">
        <f t="shared" si="186"/>
        <v>1750</v>
      </c>
      <c r="AE219" s="47">
        <f>SUM(AE220)</f>
        <v>0</v>
      </c>
      <c r="AF219" s="47">
        <f t="shared" ref="AF219:AI219" si="187">SUM(AF220)</f>
        <v>0</v>
      </c>
      <c r="AG219" s="47">
        <f t="shared" si="187"/>
        <v>0</v>
      </c>
      <c r="AH219" s="47">
        <f t="shared" si="187"/>
        <v>0</v>
      </c>
      <c r="AI219" s="47">
        <f t="shared" si="187"/>
        <v>0</v>
      </c>
      <c r="AJ219" s="47">
        <v>0</v>
      </c>
      <c r="AK219" s="47">
        <v>0</v>
      </c>
      <c r="AL219" s="47">
        <v>0</v>
      </c>
      <c r="AM219" s="47">
        <v>0</v>
      </c>
      <c r="AN219" s="47">
        <v>0</v>
      </c>
      <c r="AO219" s="403"/>
    </row>
    <row r="220" spans="1:41" s="273" customFormat="1" ht="16.5" hidden="1" customHeight="1">
      <c r="A220" s="804"/>
      <c r="B220" s="257" t="s">
        <v>233</v>
      </c>
      <c r="C220" s="371"/>
      <c r="D220" s="371"/>
      <c r="E220" s="371"/>
      <c r="F220" s="371"/>
      <c r="G220" s="371"/>
      <c r="H220" s="372"/>
      <c r="I220" s="822"/>
      <c r="J220" s="263"/>
      <c r="K220" s="99"/>
      <c r="L220" s="99"/>
      <c r="M220" s="99"/>
      <c r="N220" s="99"/>
      <c r="O220" s="99"/>
      <c r="P220" s="47"/>
      <c r="Q220" s="99">
        <f>Y220</f>
        <v>0</v>
      </c>
      <c r="R220" s="99"/>
      <c r="S220" s="99"/>
      <c r="T220" s="99"/>
      <c r="U220" s="99"/>
      <c r="V220" s="99"/>
      <c r="W220" s="99"/>
      <c r="X220" s="99">
        <v>0</v>
      </c>
      <c r="Y220" s="99">
        <v>0</v>
      </c>
      <c r="Z220" s="99">
        <v>1750</v>
      </c>
      <c r="AA220" s="99">
        <v>0</v>
      </c>
      <c r="AB220" s="99"/>
      <c r="AC220" s="99"/>
      <c r="AD220" s="99">
        <v>1750</v>
      </c>
      <c r="AE220" s="99">
        <f>SUM(AF220:AF220)</f>
        <v>0</v>
      </c>
      <c r="AF220" s="99"/>
      <c r="AG220" s="99"/>
      <c r="AH220" s="99"/>
      <c r="AI220" s="99"/>
      <c r="AJ220" s="99">
        <v>0</v>
      </c>
      <c r="AK220" s="99">
        <v>0</v>
      </c>
      <c r="AL220" s="99">
        <v>0</v>
      </c>
      <c r="AM220" s="99">
        <v>0</v>
      </c>
      <c r="AN220" s="99">
        <v>0</v>
      </c>
      <c r="AO220" s="412"/>
    </row>
    <row r="221" spans="1:41" s="273" customFormat="1" ht="16.5" hidden="1" customHeight="1">
      <c r="A221" s="804"/>
      <c r="B221" s="257" t="s">
        <v>275</v>
      </c>
      <c r="C221" s="371"/>
      <c r="D221" s="371"/>
      <c r="E221" s="371"/>
      <c r="F221" s="371"/>
      <c r="G221" s="371"/>
      <c r="H221" s="372"/>
      <c r="I221" s="822"/>
      <c r="J221" s="263"/>
      <c r="K221" s="99"/>
      <c r="L221" s="99"/>
      <c r="M221" s="99"/>
      <c r="N221" s="99"/>
      <c r="O221" s="99"/>
      <c r="P221" s="99">
        <f>R221+T221</f>
        <v>367.43299999999999</v>
      </c>
      <c r="Q221" s="99">
        <f>S221+U221</f>
        <v>367.43299999999999</v>
      </c>
      <c r="R221" s="99">
        <v>0</v>
      </c>
      <c r="S221" s="99">
        <v>0</v>
      </c>
      <c r="T221" s="99">
        <f>U221</f>
        <v>367.43299999999999</v>
      </c>
      <c r="U221" s="99">
        <f>(714.866+20)/2</f>
        <v>367.43299999999999</v>
      </c>
      <c r="V221" s="99"/>
      <c r="W221" s="99"/>
      <c r="X221" s="99"/>
      <c r="Y221" s="99"/>
      <c r="Z221" s="99">
        <f>SUM(AA221:AC221)</f>
        <v>367.43299999999999</v>
      </c>
      <c r="AA221" s="99"/>
      <c r="AB221" s="99">
        <f>714.866/2</f>
        <v>357.43299999999999</v>
      </c>
      <c r="AC221" s="99">
        <v>10</v>
      </c>
      <c r="AD221" s="99"/>
      <c r="AE221" s="99"/>
      <c r="AF221" s="99"/>
      <c r="AG221" s="99"/>
      <c r="AH221" s="99"/>
      <c r="AI221" s="99"/>
      <c r="AJ221" s="99"/>
      <c r="AK221" s="99"/>
      <c r="AL221" s="99"/>
      <c r="AM221" s="99"/>
      <c r="AN221" s="99"/>
      <c r="AO221" s="412"/>
    </row>
    <row r="222" spans="1:41" ht="17.25" customHeight="1">
      <c r="A222" s="805"/>
      <c r="B222" s="1" t="s">
        <v>16</v>
      </c>
      <c r="C222" s="573"/>
      <c r="D222" s="573"/>
      <c r="E222" s="573"/>
      <c r="F222" s="573"/>
      <c r="G222" s="586">
        <v>2020</v>
      </c>
      <c r="H222" s="586">
        <v>2021</v>
      </c>
      <c r="I222" s="821"/>
      <c r="J222" s="54">
        <f t="shared" ref="J222" si="188">L222</f>
        <v>89140.68</v>
      </c>
      <c r="K222" s="6"/>
      <c r="L222" s="47">
        <v>89140.68</v>
      </c>
      <c r="M222" s="47">
        <v>0</v>
      </c>
      <c r="N222" s="47">
        <v>9523.69</v>
      </c>
      <c r="O222" s="47">
        <v>22469.279999999999</v>
      </c>
      <c r="P222" s="47">
        <f>N222</f>
        <v>9523.69</v>
      </c>
      <c r="Q222" s="47">
        <v>0</v>
      </c>
      <c r="R222" s="47">
        <v>0</v>
      </c>
      <c r="S222" s="47">
        <v>0</v>
      </c>
      <c r="T222" s="47">
        <v>0</v>
      </c>
      <c r="U222" s="47">
        <v>0</v>
      </c>
      <c r="V222" s="47">
        <v>0</v>
      </c>
      <c r="W222" s="47">
        <v>0</v>
      </c>
      <c r="X222" s="47">
        <v>0</v>
      </c>
      <c r="Y222" s="47">
        <v>0</v>
      </c>
      <c r="Z222" s="47">
        <v>0</v>
      </c>
      <c r="AA222" s="47">
        <v>0</v>
      </c>
      <c r="AB222" s="47">
        <v>0</v>
      </c>
      <c r="AC222" s="47">
        <v>0</v>
      </c>
      <c r="AD222" s="47">
        <v>0</v>
      </c>
      <c r="AE222" s="47">
        <v>0</v>
      </c>
      <c r="AF222" s="47">
        <v>0</v>
      </c>
      <c r="AG222" s="47">
        <v>0</v>
      </c>
      <c r="AH222" s="47">
        <v>0</v>
      </c>
      <c r="AI222" s="47">
        <v>0</v>
      </c>
      <c r="AJ222" s="47">
        <v>0</v>
      </c>
      <c r="AK222" s="47">
        <v>0</v>
      </c>
      <c r="AL222" s="47">
        <v>0</v>
      </c>
      <c r="AM222" s="47">
        <v>0</v>
      </c>
      <c r="AN222" s="47">
        <v>0</v>
      </c>
      <c r="AO222" s="427"/>
    </row>
    <row r="223" spans="1:41" ht="56.25" customHeight="1">
      <c r="A223" s="803" t="s">
        <v>198</v>
      </c>
      <c r="B223" s="83" t="s">
        <v>168</v>
      </c>
      <c r="C223" s="824"/>
      <c r="D223" s="824"/>
      <c r="E223" s="824"/>
      <c r="F223" s="824">
        <v>81</v>
      </c>
      <c r="G223" s="52"/>
      <c r="H223" s="52"/>
      <c r="I223" s="820" t="s">
        <v>20</v>
      </c>
      <c r="J223" s="54">
        <f>L223</f>
        <v>5513.9</v>
      </c>
      <c r="K223" s="6"/>
      <c r="L223" s="82">
        <f>L224+L229</f>
        <v>5513.9</v>
      </c>
      <c r="M223" s="82">
        <f>M224+M229</f>
        <v>297.18</v>
      </c>
      <c r="N223" s="82">
        <f t="shared" ref="N223:O223" si="189">N224+N229</f>
        <v>1639.85</v>
      </c>
      <c r="O223" s="82">
        <f t="shared" si="189"/>
        <v>0</v>
      </c>
      <c r="P223" s="82">
        <f>N223</f>
        <v>1639.85</v>
      </c>
      <c r="Q223" s="82">
        <f>Q224+Q229</f>
        <v>122.38</v>
      </c>
      <c r="R223" s="82">
        <f t="shared" ref="R223:Z223" si="190">R224+R229</f>
        <v>122.38</v>
      </c>
      <c r="S223" s="82">
        <f t="shared" si="190"/>
        <v>122.38</v>
      </c>
      <c r="T223" s="82">
        <f t="shared" si="190"/>
        <v>0</v>
      </c>
      <c r="U223" s="82">
        <f t="shared" si="190"/>
        <v>0</v>
      </c>
      <c r="V223" s="82">
        <f t="shared" si="190"/>
        <v>0</v>
      </c>
      <c r="W223" s="82">
        <f t="shared" si="190"/>
        <v>0</v>
      </c>
      <c r="X223" s="82">
        <f t="shared" si="190"/>
        <v>0</v>
      </c>
      <c r="Y223" s="82">
        <f t="shared" si="190"/>
        <v>0</v>
      </c>
      <c r="Z223" s="82">
        <f t="shared" si="190"/>
        <v>122.37</v>
      </c>
      <c r="AA223" s="82">
        <f>AA224+AA229</f>
        <v>122.37</v>
      </c>
      <c r="AB223" s="82">
        <f t="shared" ref="AB223:AI223" si="191">AB224+AB229</f>
        <v>0</v>
      </c>
      <c r="AC223" s="82">
        <f t="shared" si="191"/>
        <v>0</v>
      </c>
      <c r="AD223" s="82">
        <f t="shared" si="191"/>
        <v>0</v>
      </c>
      <c r="AE223" s="82">
        <f t="shared" si="191"/>
        <v>0</v>
      </c>
      <c r="AF223" s="82">
        <f t="shared" si="191"/>
        <v>0</v>
      </c>
      <c r="AG223" s="82">
        <f t="shared" si="191"/>
        <v>0</v>
      </c>
      <c r="AH223" s="82">
        <f t="shared" si="191"/>
        <v>0</v>
      </c>
      <c r="AI223" s="82">
        <f t="shared" si="191"/>
        <v>0</v>
      </c>
      <c r="AJ223" s="82">
        <f>P223-Q223</f>
        <v>1517.4699999999998</v>
      </c>
      <c r="AK223" s="82">
        <f>AJ223</f>
        <v>1517.4699999999998</v>
      </c>
      <c r="AL223" s="82">
        <f>ROUND((Q223*100%/P223*100),2)</f>
        <v>7.46</v>
      </c>
      <c r="AM223" s="82">
        <f t="shared" ref="AM223:AN223" si="192">AM224+AM229</f>
        <v>0</v>
      </c>
      <c r="AN223" s="82">
        <f t="shared" si="192"/>
        <v>0</v>
      </c>
      <c r="AO223" s="428" t="s">
        <v>264</v>
      </c>
    </row>
    <row r="224" spans="1:41" ht="17.25" customHeight="1">
      <c r="A224" s="804"/>
      <c r="B224" s="1" t="s">
        <v>15</v>
      </c>
      <c r="C224" s="823"/>
      <c r="D224" s="823"/>
      <c r="E224" s="823"/>
      <c r="F224" s="823"/>
      <c r="G224" s="586">
        <v>2021</v>
      </c>
      <c r="H224" s="586">
        <v>2023</v>
      </c>
      <c r="I224" s="822"/>
      <c r="J224" s="54">
        <f t="shared" ref="J224" si="193">L224</f>
        <v>594.36</v>
      </c>
      <c r="K224" s="6"/>
      <c r="L224" s="22">
        <v>594.36</v>
      </c>
      <c r="M224" s="22">
        <v>297.18</v>
      </c>
      <c r="N224" s="22">
        <v>0</v>
      </c>
      <c r="O224" s="22">
        <v>0</v>
      </c>
      <c r="P224" s="22">
        <v>0</v>
      </c>
      <c r="Q224" s="47">
        <f>SUM(Q226:Q228)</f>
        <v>122.38</v>
      </c>
      <c r="R224" s="47">
        <f t="shared" ref="R224:AD224" si="194">SUM(R226:R228)</f>
        <v>122.38</v>
      </c>
      <c r="S224" s="47">
        <f t="shared" si="194"/>
        <v>122.38</v>
      </c>
      <c r="T224" s="47">
        <f t="shared" si="194"/>
        <v>0</v>
      </c>
      <c r="U224" s="47">
        <f t="shared" si="194"/>
        <v>0</v>
      </c>
      <c r="V224" s="47">
        <f t="shared" si="194"/>
        <v>0</v>
      </c>
      <c r="W224" s="47">
        <f t="shared" si="194"/>
        <v>0</v>
      </c>
      <c r="X224" s="22">
        <v>0</v>
      </c>
      <c r="Y224" s="47">
        <f t="shared" si="194"/>
        <v>0</v>
      </c>
      <c r="Z224" s="47">
        <f t="shared" si="194"/>
        <v>122.37</v>
      </c>
      <c r="AA224" s="47">
        <f t="shared" si="194"/>
        <v>122.37</v>
      </c>
      <c r="AB224" s="47">
        <f t="shared" si="194"/>
        <v>0</v>
      </c>
      <c r="AC224" s="47">
        <f t="shared" si="194"/>
        <v>0</v>
      </c>
      <c r="AD224" s="47">
        <f t="shared" si="194"/>
        <v>0</v>
      </c>
      <c r="AE224" s="47">
        <f t="shared" ref="AE224:AI224" si="195">AE228</f>
        <v>0</v>
      </c>
      <c r="AF224" s="47">
        <f t="shared" si="195"/>
        <v>0</v>
      </c>
      <c r="AG224" s="47">
        <f t="shared" si="195"/>
        <v>0</v>
      </c>
      <c r="AH224" s="47">
        <f t="shared" si="195"/>
        <v>0</v>
      </c>
      <c r="AI224" s="47">
        <f t="shared" si="195"/>
        <v>0</v>
      </c>
      <c r="AJ224" s="47">
        <v>0</v>
      </c>
      <c r="AK224" s="47">
        <v>0</v>
      </c>
      <c r="AL224" s="47">
        <v>0</v>
      </c>
      <c r="AM224" s="47">
        <v>0</v>
      </c>
      <c r="AN224" s="47">
        <v>0</v>
      </c>
      <c r="AO224" s="427"/>
    </row>
    <row r="225" spans="1:41" s="100" customFormat="1" ht="17.25" hidden="1" customHeight="1">
      <c r="A225" s="804"/>
      <c r="B225" s="105" t="s">
        <v>93</v>
      </c>
      <c r="C225" s="106"/>
      <c r="D225" s="106"/>
      <c r="E225" s="106"/>
      <c r="F225" s="106"/>
      <c r="G225" s="107"/>
      <c r="H225" s="107"/>
      <c r="I225" s="822"/>
      <c r="J225" s="108"/>
      <c r="K225" s="109"/>
      <c r="L225" s="178"/>
      <c r="M225" s="99"/>
      <c r="N225" s="99"/>
      <c r="O225" s="99"/>
      <c r="P225" s="99">
        <f>R225</f>
        <v>0</v>
      </c>
      <c r="Q225" s="99">
        <f>S225</f>
        <v>0</v>
      </c>
      <c r="R225" s="99">
        <f>S225</f>
        <v>0</v>
      </c>
      <c r="S225" s="99">
        <v>0</v>
      </c>
      <c r="T225" s="99"/>
      <c r="U225" s="99"/>
      <c r="V225" s="99"/>
      <c r="W225" s="99"/>
      <c r="X225" s="99">
        <v>0</v>
      </c>
      <c r="Y225" s="99">
        <v>0</v>
      </c>
      <c r="Z225" s="99">
        <v>0</v>
      </c>
      <c r="AA225" s="99">
        <v>0</v>
      </c>
      <c r="AB225" s="99"/>
      <c r="AC225" s="99"/>
      <c r="AD225" s="99"/>
      <c r="AE225" s="99"/>
      <c r="AF225" s="99"/>
      <c r="AG225" s="99"/>
      <c r="AH225" s="99"/>
      <c r="AI225" s="99"/>
      <c r="AJ225" s="99"/>
      <c r="AK225" s="99"/>
      <c r="AL225" s="99"/>
      <c r="AM225" s="99"/>
      <c r="AN225" s="99"/>
      <c r="AO225" s="429"/>
    </row>
    <row r="226" spans="1:41" s="273" customFormat="1" ht="17.25" hidden="1" customHeight="1">
      <c r="A226" s="804"/>
      <c r="B226" s="257" t="s">
        <v>230</v>
      </c>
      <c r="C226" s="371"/>
      <c r="D226" s="371"/>
      <c r="E226" s="371"/>
      <c r="F226" s="371"/>
      <c r="G226" s="371"/>
      <c r="H226" s="372"/>
      <c r="I226" s="822"/>
      <c r="J226" s="263"/>
      <c r="K226" s="99"/>
      <c r="L226" s="99"/>
      <c r="M226" s="99"/>
      <c r="N226" s="99"/>
      <c r="O226" s="99"/>
      <c r="P226" s="47"/>
      <c r="Q226" s="99">
        <f>Y226</f>
        <v>0</v>
      </c>
      <c r="R226" s="99"/>
      <c r="S226" s="99"/>
      <c r="T226" s="99"/>
      <c r="U226" s="99"/>
      <c r="V226" s="99"/>
      <c r="W226" s="99"/>
      <c r="X226" s="99">
        <v>0</v>
      </c>
      <c r="Y226" s="99">
        <v>0</v>
      </c>
      <c r="Z226" s="99">
        <v>0</v>
      </c>
      <c r="AA226" s="99">
        <v>0</v>
      </c>
      <c r="AB226" s="99"/>
      <c r="AC226" s="99"/>
      <c r="AD226" s="99"/>
      <c r="AE226" s="99"/>
      <c r="AF226" s="99"/>
      <c r="AG226" s="99"/>
      <c r="AH226" s="99"/>
      <c r="AI226" s="99"/>
      <c r="AJ226" s="99"/>
      <c r="AK226" s="99"/>
      <c r="AL226" s="99"/>
      <c r="AM226" s="99"/>
      <c r="AN226" s="99"/>
      <c r="AO226" s="412"/>
    </row>
    <row r="227" spans="1:41" s="273" customFormat="1" ht="17.25" hidden="1" customHeight="1">
      <c r="A227" s="804"/>
      <c r="B227" s="257" t="s">
        <v>231</v>
      </c>
      <c r="C227" s="371"/>
      <c r="D227" s="371"/>
      <c r="E227" s="371"/>
      <c r="F227" s="371"/>
      <c r="G227" s="371"/>
      <c r="H227" s="372"/>
      <c r="I227" s="822"/>
      <c r="J227" s="263"/>
      <c r="K227" s="99"/>
      <c r="L227" s="99"/>
      <c r="M227" s="99"/>
      <c r="N227" s="99"/>
      <c r="O227" s="99"/>
      <c r="P227" s="47"/>
      <c r="Q227" s="99">
        <f>S227</f>
        <v>122.38</v>
      </c>
      <c r="R227" s="99">
        <f>S227</f>
        <v>122.38</v>
      </c>
      <c r="S227" s="99">
        <v>122.38</v>
      </c>
      <c r="T227" s="99"/>
      <c r="U227" s="99"/>
      <c r="V227" s="99"/>
      <c r="W227" s="99"/>
      <c r="X227" s="99">
        <v>0</v>
      </c>
      <c r="Y227" s="99">
        <v>0</v>
      </c>
      <c r="Z227" s="99">
        <f>AA227</f>
        <v>122.37</v>
      </c>
      <c r="AA227" s="99">
        <v>122.37</v>
      </c>
      <c r="AB227" s="99"/>
      <c r="AC227" s="99"/>
      <c r="AD227" s="99"/>
      <c r="AE227" s="99"/>
      <c r="AF227" s="99"/>
      <c r="AG227" s="99"/>
      <c r="AH227" s="99"/>
      <c r="AI227" s="99"/>
      <c r="AJ227" s="99"/>
      <c r="AK227" s="99"/>
      <c r="AL227" s="99"/>
      <c r="AM227" s="99"/>
      <c r="AN227" s="99"/>
      <c r="AO227" s="412"/>
    </row>
    <row r="228" spans="1:41" s="273" customFormat="1" ht="17.25" hidden="1" customHeight="1">
      <c r="A228" s="804"/>
      <c r="B228" s="257" t="s">
        <v>232</v>
      </c>
      <c r="C228" s="371"/>
      <c r="D228" s="371"/>
      <c r="E228" s="371"/>
      <c r="F228" s="371"/>
      <c r="G228" s="371"/>
      <c r="H228" s="372"/>
      <c r="I228" s="822"/>
      <c r="J228" s="263"/>
      <c r="K228" s="99"/>
      <c r="L228" s="99"/>
      <c r="M228" s="99"/>
      <c r="N228" s="99"/>
      <c r="O228" s="99"/>
      <c r="P228" s="47"/>
      <c r="Q228" s="99">
        <f t="shared" ref="Q228" si="196">Y228</f>
        <v>0</v>
      </c>
      <c r="R228" s="99"/>
      <c r="S228" s="99"/>
      <c r="T228" s="99"/>
      <c r="U228" s="99"/>
      <c r="V228" s="99"/>
      <c r="W228" s="99"/>
      <c r="X228" s="99">
        <v>0</v>
      </c>
      <c r="Y228" s="99">
        <v>0</v>
      </c>
      <c r="Z228" s="99">
        <v>0</v>
      </c>
      <c r="AA228" s="99">
        <v>0</v>
      </c>
      <c r="AB228" s="99"/>
      <c r="AC228" s="99"/>
      <c r="AD228" s="99"/>
      <c r="AE228" s="99"/>
      <c r="AF228" s="99"/>
      <c r="AG228" s="99"/>
      <c r="AH228" s="99"/>
      <c r="AI228" s="99"/>
      <c r="AJ228" s="99"/>
      <c r="AK228" s="99"/>
      <c r="AL228" s="99"/>
      <c r="AM228" s="99"/>
      <c r="AN228" s="99"/>
      <c r="AO228" s="412"/>
    </row>
    <row r="229" spans="1:41" ht="15.75" customHeight="1">
      <c r="A229" s="805"/>
      <c r="B229" s="1" t="s">
        <v>32</v>
      </c>
      <c r="C229" s="573"/>
      <c r="D229" s="573"/>
      <c r="E229" s="573"/>
      <c r="F229" s="573"/>
      <c r="G229" s="586">
        <v>2022</v>
      </c>
      <c r="H229" s="586">
        <v>2025</v>
      </c>
      <c r="I229" s="821"/>
      <c r="J229" s="54">
        <f t="shared" ref="J229:J230" si="197">L229</f>
        <v>4919.54</v>
      </c>
      <c r="K229" s="6"/>
      <c r="L229" s="22">
        <v>4919.54</v>
      </c>
      <c r="M229" s="47">
        <v>0</v>
      </c>
      <c r="N229" s="47">
        <v>1639.85</v>
      </c>
      <c r="O229" s="47">
        <v>0</v>
      </c>
      <c r="P229" s="47">
        <f>N229</f>
        <v>1639.85</v>
      </c>
      <c r="Q229" s="47">
        <v>0</v>
      </c>
      <c r="R229" s="47">
        <v>0</v>
      </c>
      <c r="S229" s="47">
        <v>0</v>
      </c>
      <c r="T229" s="47">
        <v>0</v>
      </c>
      <c r="U229" s="47">
        <v>0</v>
      </c>
      <c r="V229" s="47">
        <v>0</v>
      </c>
      <c r="W229" s="47">
        <v>0</v>
      </c>
      <c r="X229" s="47">
        <v>0</v>
      </c>
      <c r="Y229" s="47">
        <v>0</v>
      </c>
      <c r="Z229" s="47">
        <v>0</v>
      </c>
      <c r="AA229" s="47">
        <v>0</v>
      </c>
      <c r="AB229" s="47">
        <v>0</v>
      </c>
      <c r="AC229" s="47">
        <v>0</v>
      </c>
      <c r="AD229" s="47">
        <v>0</v>
      </c>
      <c r="AE229" s="47">
        <v>0</v>
      </c>
      <c r="AF229" s="47">
        <v>0</v>
      </c>
      <c r="AG229" s="47">
        <v>0</v>
      </c>
      <c r="AH229" s="47">
        <v>0</v>
      </c>
      <c r="AI229" s="47">
        <v>0</v>
      </c>
      <c r="AJ229" s="47">
        <v>0</v>
      </c>
      <c r="AK229" s="47">
        <v>0</v>
      </c>
      <c r="AL229" s="47">
        <v>0</v>
      </c>
      <c r="AM229" s="47">
        <v>0</v>
      </c>
      <c r="AN229" s="47">
        <v>0</v>
      </c>
      <c r="AO229" s="427"/>
    </row>
    <row r="230" spans="1:41" ht="15.75" customHeight="1">
      <c r="A230" s="803" t="s">
        <v>199</v>
      </c>
      <c r="B230" s="80" t="s">
        <v>201</v>
      </c>
      <c r="C230" s="573"/>
      <c r="D230" s="573"/>
      <c r="E230" s="573"/>
      <c r="F230" s="573">
        <v>82</v>
      </c>
      <c r="G230" s="52"/>
      <c r="H230" s="52"/>
      <c r="I230" s="820" t="s">
        <v>20</v>
      </c>
      <c r="J230" s="54">
        <f t="shared" si="197"/>
        <v>12299.37</v>
      </c>
      <c r="K230" s="6"/>
      <c r="L230" s="82">
        <f>L232</f>
        <v>12299.37</v>
      </c>
      <c r="M230" s="82">
        <f t="shared" ref="M230:AN230" si="198">M232</f>
        <v>0</v>
      </c>
      <c r="N230" s="82">
        <f t="shared" si="198"/>
        <v>0</v>
      </c>
      <c r="O230" s="82">
        <f t="shared" si="198"/>
        <v>5371.98</v>
      </c>
      <c r="P230" s="82">
        <f t="shared" si="198"/>
        <v>0</v>
      </c>
      <c r="Q230" s="82">
        <f t="shared" si="198"/>
        <v>0</v>
      </c>
      <c r="R230" s="82">
        <f t="shared" si="198"/>
        <v>0</v>
      </c>
      <c r="S230" s="82">
        <f t="shared" si="198"/>
        <v>0</v>
      </c>
      <c r="T230" s="82">
        <f t="shared" si="198"/>
        <v>0</v>
      </c>
      <c r="U230" s="82">
        <f t="shared" si="198"/>
        <v>0</v>
      </c>
      <c r="V230" s="82">
        <f t="shared" si="198"/>
        <v>0</v>
      </c>
      <c r="W230" s="82">
        <f t="shared" si="198"/>
        <v>0</v>
      </c>
      <c r="X230" s="82">
        <f t="shared" si="198"/>
        <v>0</v>
      </c>
      <c r="Y230" s="82">
        <f t="shared" si="198"/>
        <v>0</v>
      </c>
      <c r="Z230" s="82">
        <f t="shared" si="198"/>
        <v>0</v>
      </c>
      <c r="AA230" s="82">
        <f t="shared" si="198"/>
        <v>0</v>
      </c>
      <c r="AB230" s="82">
        <f t="shared" si="198"/>
        <v>0</v>
      </c>
      <c r="AC230" s="82">
        <f t="shared" si="198"/>
        <v>0</v>
      </c>
      <c r="AD230" s="82">
        <f t="shared" si="198"/>
        <v>0</v>
      </c>
      <c r="AE230" s="82">
        <f t="shared" si="198"/>
        <v>0</v>
      </c>
      <c r="AF230" s="82">
        <f t="shared" si="198"/>
        <v>0</v>
      </c>
      <c r="AG230" s="82">
        <f t="shared" si="198"/>
        <v>0</v>
      </c>
      <c r="AH230" s="82">
        <f t="shared" si="198"/>
        <v>0</v>
      </c>
      <c r="AI230" s="82">
        <f t="shared" si="198"/>
        <v>0</v>
      </c>
      <c r="AJ230" s="82">
        <f t="shared" si="198"/>
        <v>0</v>
      </c>
      <c r="AK230" s="82">
        <f t="shared" si="198"/>
        <v>0</v>
      </c>
      <c r="AL230" s="82">
        <f t="shared" si="198"/>
        <v>0</v>
      </c>
      <c r="AM230" s="82">
        <f t="shared" si="198"/>
        <v>0</v>
      </c>
      <c r="AN230" s="82">
        <f t="shared" si="198"/>
        <v>0</v>
      </c>
      <c r="AO230" s="428"/>
    </row>
    <row r="231" spans="1:41" ht="15.75" hidden="1" customHeight="1">
      <c r="A231" s="804"/>
      <c r="B231" s="105" t="s">
        <v>93</v>
      </c>
      <c r="C231" s="106"/>
      <c r="D231" s="106"/>
      <c r="E231" s="106"/>
      <c r="F231" s="106"/>
      <c r="G231" s="107"/>
      <c r="H231" s="107"/>
      <c r="I231" s="822"/>
      <c r="J231" s="108"/>
      <c r="K231" s="109"/>
      <c r="L231" s="178"/>
      <c r="M231" s="99"/>
      <c r="N231" s="99"/>
      <c r="O231" s="99"/>
      <c r="P231" s="47">
        <f t="shared" ref="P231:Q231" si="199">R231</f>
        <v>0</v>
      </c>
      <c r="Q231" s="99">
        <f t="shared" si="199"/>
        <v>0</v>
      </c>
      <c r="R231" s="47">
        <f t="shared" ref="R231" si="200">S231</f>
        <v>0</v>
      </c>
      <c r="S231" s="47">
        <v>0</v>
      </c>
      <c r="T231" s="99"/>
      <c r="U231" s="99"/>
      <c r="V231" s="99"/>
      <c r="W231" s="99"/>
      <c r="X231" s="47"/>
      <c r="Y231" s="47"/>
      <c r="Z231" s="99">
        <v>0</v>
      </c>
      <c r="AA231" s="99">
        <v>0</v>
      </c>
      <c r="AB231" s="99"/>
      <c r="AC231" s="99"/>
      <c r="AD231" s="99"/>
      <c r="AE231" s="99"/>
      <c r="AF231" s="99"/>
      <c r="AG231" s="99"/>
      <c r="AH231" s="99"/>
      <c r="AI231" s="99"/>
      <c r="AJ231" s="99"/>
      <c r="AK231" s="99"/>
      <c r="AL231" s="99"/>
      <c r="AM231" s="99"/>
      <c r="AN231" s="99"/>
      <c r="AO231" s="429"/>
    </row>
    <row r="232" spans="1:41" ht="19.5" customHeight="1">
      <c r="A232" s="805"/>
      <c r="B232" s="1" t="s">
        <v>218</v>
      </c>
      <c r="C232" s="573"/>
      <c r="D232" s="573"/>
      <c r="E232" s="573"/>
      <c r="F232" s="573"/>
      <c r="G232" s="586">
        <v>2024</v>
      </c>
      <c r="H232" s="586">
        <v>2029</v>
      </c>
      <c r="I232" s="821"/>
      <c r="J232" s="54">
        <f t="shared" ref="J232:J234" si="201">L232</f>
        <v>12299.37</v>
      </c>
      <c r="K232" s="6"/>
      <c r="L232" s="22">
        <v>12299.37</v>
      </c>
      <c r="M232" s="47">
        <v>0</v>
      </c>
      <c r="N232" s="47">
        <v>0</v>
      </c>
      <c r="O232" s="47">
        <v>5371.98</v>
      </c>
      <c r="P232" s="47">
        <v>0</v>
      </c>
      <c r="Q232" s="47">
        <v>0</v>
      </c>
      <c r="R232" s="47">
        <v>0</v>
      </c>
      <c r="S232" s="47">
        <v>0</v>
      </c>
      <c r="T232" s="47">
        <v>0</v>
      </c>
      <c r="U232" s="47">
        <v>0</v>
      </c>
      <c r="V232" s="47">
        <v>0</v>
      </c>
      <c r="W232" s="47">
        <v>0</v>
      </c>
      <c r="X232" s="47">
        <v>0</v>
      </c>
      <c r="Y232" s="47">
        <v>0</v>
      </c>
      <c r="Z232" s="47">
        <v>0</v>
      </c>
      <c r="AA232" s="47">
        <v>0</v>
      </c>
      <c r="AB232" s="47">
        <v>0</v>
      </c>
      <c r="AC232" s="47">
        <v>0</v>
      </c>
      <c r="AD232" s="47">
        <v>0</v>
      </c>
      <c r="AE232" s="47">
        <v>0</v>
      </c>
      <c r="AF232" s="47">
        <v>0</v>
      </c>
      <c r="AG232" s="47">
        <v>0</v>
      </c>
      <c r="AH232" s="47">
        <v>0</v>
      </c>
      <c r="AI232" s="47">
        <v>0</v>
      </c>
      <c r="AJ232" s="47">
        <v>0</v>
      </c>
      <c r="AK232" s="47">
        <v>0</v>
      </c>
      <c r="AL232" s="47">
        <v>0</v>
      </c>
      <c r="AM232" s="47">
        <v>0</v>
      </c>
      <c r="AN232" s="47">
        <v>0</v>
      </c>
      <c r="AO232" s="427"/>
    </row>
    <row r="233" spans="1:41" ht="15.75" customHeight="1">
      <c r="A233" s="803" t="s">
        <v>200</v>
      </c>
      <c r="B233" s="80" t="s">
        <v>202</v>
      </c>
      <c r="C233" s="573"/>
      <c r="D233" s="573"/>
      <c r="E233" s="573"/>
      <c r="F233" s="573">
        <v>83</v>
      </c>
      <c r="G233" s="52"/>
      <c r="H233" s="52"/>
      <c r="I233" s="570"/>
      <c r="J233" s="54">
        <f t="shared" si="201"/>
        <v>264150.86</v>
      </c>
      <c r="K233" s="6"/>
      <c r="L233" s="82">
        <f>L234+L238</f>
        <v>264150.86</v>
      </c>
      <c r="M233" s="82">
        <f t="shared" ref="M233:O233" si="202">M234+M238</f>
        <v>263850.07</v>
      </c>
      <c r="N233" s="82">
        <f t="shared" si="202"/>
        <v>263850.07</v>
      </c>
      <c r="O233" s="82">
        <f t="shared" si="202"/>
        <v>263850.07</v>
      </c>
      <c r="P233" s="82">
        <f>N233</f>
        <v>263850.07</v>
      </c>
      <c r="Q233" s="82">
        <f t="shared" ref="Q233:AN233" si="203">Q234</f>
        <v>258.79000000000002</v>
      </c>
      <c r="R233" s="82">
        <f t="shared" si="203"/>
        <v>28.79</v>
      </c>
      <c r="S233" s="82">
        <f t="shared" si="203"/>
        <v>28.79</v>
      </c>
      <c r="T233" s="82">
        <f t="shared" si="203"/>
        <v>60</v>
      </c>
      <c r="U233" s="82">
        <f t="shared" si="203"/>
        <v>60</v>
      </c>
      <c r="V233" s="82">
        <f t="shared" si="203"/>
        <v>150</v>
      </c>
      <c r="W233" s="82">
        <f t="shared" si="203"/>
        <v>150</v>
      </c>
      <c r="X233" s="82">
        <f t="shared" si="203"/>
        <v>0</v>
      </c>
      <c r="Y233" s="82">
        <f t="shared" si="203"/>
        <v>20</v>
      </c>
      <c r="Z233" s="82">
        <f t="shared" si="203"/>
        <v>300.78999999999996</v>
      </c>
      <c r="AA233" s="82">
        <f t="shared" si="203"/>
        <v>70.789999999999992</v>
      </c>
      <c r="AB233" s="82">
        <f t="shared" si="203"/>
        <v>160</v>
      </c>
      <c r="AC233" s="82">
        <f t="shared" si="203"/>
        <v>70</v>
      </c>
      <c r="AD233" s="82">
        <f t="shared" si="203"/>
        <v>0</v>
      </c>
      <c r="AE233" s="82">
        <f t="shared" si="203"/>
        <v>0</v>
      </c>
      <c r="AF233" s="82">
        <f t="shared" si="203"/>
        <v>0</v>
      </c>
      <c r="AG233" s="82">
        <f t="shared" si="203"/>
        <v>0</v>
      </c>
      <c r="AH233" s="82">
        <f t="shared" si="203"/>
        <v>0</v>
      </c>
      <c r="AI233" s="82">
        <f t="shared" si="203"/>
        <v>0</v>
      </c>
      <c r="AJ233" s="82">
        <f t="shared" si="203"/>
        <v>0</v>
      </c>
      <c r="AK233" s="82">
        <f t="shared" si="203"/>
        <v>0</v>
      </c>
      <c r="AL233" s="82">
        <f>ROUND((Q233*100%/P233*100),2)</f>
        <v>0.1</v>
      </c>
      <c r="AM233" s="82">
        <f t="shared" si="203"/>
        <v>0</v>
      </c>
      <c r="AN233" s="82">
        <f t="shared" si="203"/>
        <v>0</v>
      </c>
      <c r="AO233" s="428"/>
    </row>
    <row r="234" spans="1:41" ht="37.5" customHeight="1">
      <c r="A234" s="804"/>
      <c r="B234" s="1" t="s">
        <v>218</v>
      </c>
      <c r="C234" s="573"/>
      <c r="D234" s="573"/>
      <c r="E234" s="573"/>
      <c r="F234" s="573"/>
      <c r="G234" s="586">
        <v>2026</v>
      </c>
      <c r="H234" s="586">
        <v>2033</v>
      </c>
      <c r="I234" s="586" t="s">
        <v>20</v>
      </c>
      <c r="J234" s="54">
        <f t="shared" si="201"/>
        <v>300.79000000000002</v>
      </c>
      <c r="K234" s="6"/>
      <c r="L234" s="22">
        <v>300.79000000000002</v>
      </c>
      <c r="M234" s="47">
        <v>0</v>
      </c>
      <c r="N234" s="47">
        <v>0</v>
      </c>
      <c r="O234" s="47">
        <v>0</v>
      </c>
      <c r="P234" s="47">
        <v>0</v>
      </c>
      <c r="Q234" s="47">
        <f>SUM(Q235:Q237)</f>
        <v>258.79000000000002</v>
      </c>
      <c r="R234" s="47">
        <f t="shared" ref="R234:S234" si="204">SUM(R235:R236)</f>
        <v>28.79</v>
      </c>
      <c r="S234" s="47">
        <f t="shared" si="204"/>
        <v>28.79</v>
      </c>
      <c r="T234" s="47">
        <f>SUM(T235:T237)</f>
        <v>60</v>
      </c>
      <c r="U234" s="47">
        <f>SUM(U235:U237)</f>
        <v>60</v>
      </c>
      <c r="V234" s="47">
        <f>SUM(V235:V237)</f>
        <v>150</v>
      </c>
      <c r="W234" s="47">
        <f>SUM(W235:W237)</f>
        <v>150</v>
      </c>
      <c r="X234" s="47">
        <f t="shared" ref="X234:Y234" si="205">SUM(X235:X237)</f>
        <v>0</v>
      </c>
      <c r="Y234" s="47">
        <f t="shared" si="205"/>
        <v>20</v>
      </c>
      <c r="Z234" s="47">
        <f>SUM(Z235:Z238)</f>
        <v>300.78999999999996</v>
      </c>
      <c r="AA234" s="47">
        <f t="shared" ref="AA234:AD234" si="206">SUM(AA235:AA238)</f>
        <v>70.789999999999992</v>
      </c>
      <c r="AB234" s="47">
        <f t="shared" si="206"/>
        <v>160</v>
      </c>
      <c r="AC234" s="47">
        <f t="shared" si="206"/>
        <v>70</v>
      </c>
      <c r="AD234" s="47">
        <f t="shared" si="206"/>
        <v>0</v>
      </c>
      <c r="AE234" s="47">
        <v>0</v>
      </c>
      <c r="AF234" s="47">
        <v>0</v>
      </c>
      <c r="AG234" s="47">
        <v>0</v>
      </c>
      <c r="AH234" s="47">
        <v>0</v>
      </c>
      <c r="AI234" s="47">
        <v>0</v>
      </c>
      <c r="AJ234" s="47">
        <v>0</v>
      </c>
      <c r="AK234" s="47">
        <v>0</v>
      </c>
      <c r="AL234" s="47">
        <v>0</v>
      </c>
      <c r="AM234" s="47">
        <v>0</v>
      </c>
      <c r="AN234" s="47">
        <v>0</v>
      </c>
      <c r="AO234" s="427"/>
    </row>
    <row r="235" spans="1:41" s="100" customFormat="1" ht="15" hidden="1" customHeight="1">
      <c r="A235" s="1075"/>
      <c r="B235" s="95" t="s">
        <v>272</v>
      </c>
      <c r="C235" s="453"/>
      <c r="D235" s="453"/>
      <c r="E235" s="453"/>
      <c r="F235" s="453"/>
      <c r="G235" s="267"/>
      <c r="H235" s="267"/>
      <c r="I235" s="376"/>
      <c r="J235" s="454"/>
      <c r="K235" s="455"/>
      <c r="L235" s="271"/>
      <c r="M235" s="275"/>
      <c r="N235" s="275"/>
      <c r="O235" s="275"/>
      <c r="P235" s="275">
        <f>R235</f>
        <v>28.79</v>
      </c>
      <c r="Q235" s="275">
        <f>S235</f>
        <v>28.79</v>
      </c>
      <c r="R235" s="275">
        <f>S235</f>
        <v>28.79</v>
      </c>
      <c r="S235" s="275">
        <v>28.79</v>
      </c>
      <c r="T235" s="275"/>
      <c r="U235" s="275"/>
      <c r="V235" s="275"/>
      <c r="W235" s="275"/>
      <c r="X235" s="275"/>
      <c r="Y235" s="275"/>
      <c r="Z235" s="178">
        <f>AA235</f>
        <v>28.79</v>
      </c>
      <c r="AA235" s="275">
        <v>28.79</v>
      </c>
      <c r="AB235" s="275"/>
      <c r="AC235" s="275"/>
      <c r="AD235" s="275"/>
      <c r="AE235" s="275"/>
      <c r="AF235" s="275"/>
      <c r="AG235" s="275"/>
      <c r="AH235" s="275"/>
      <c r="AI235" s="275"/>
      <c r="AJ235" s="275"/>
      <c r="AK235" s="275"/>
      <c r="AL235" s="275"/>
      <c r="AM235" s="275"/>
      <c r="AN235" s="275"/>
      <c r="AO235" s="426"/>
    </row>
    <row r="236" spans="1:41" s="52" customFormat="1" ht="25.5" hidden="1" customHeight="1">
      <c r="A236" s="1075"/>
      <c r="B236" s="105" t="s">
        <v>245</v>
      </c>
      <c r="C236" s="106"/>
      <c r="D236" s="106"/>
      <c r="E236" s="106"/>
      <c r="F236" s="106"/>
      <c r="G236" s="107"/>
      <c r="H236" s="107"/>
      <c r="I236" s="123"/>
      <c r="J236" s="108"/>
      <c r="K236" s="109"/>
      <c r="L236" s="178">
        <v>0</v>
      </c>
      <c r="M236" s="178">
        <v>0</v>
      </c>
      <c r="N236" s="178">
        <v>0</v>
      </c>
      <c r="O236" s="178">
        <v>0</v>
      </c>
      <c r="P236" s="22">
        <v>0</v>
      </c>
      <c r="Q236" s="178">
        <v>0</v>
      </c>
      <c r="R236" s="178">
        <v>0</v>
      </c>
      <c r="S236" s="178">
        <v>0</v>
      </c>
      <c r="T236" s="178">
        <v>0</v>
      </c>
      <c r="U236" s="178">
        <v>0</v>
      </c>
      <c r="V236" s="178">
        <v>0</v>
      </c>
      <c r="W236" s="178">
        <v>0</v>
      </c>
      <c r="X236" s="178">
        <v>0</v>
      </c>
      <c r="Y236" s="178">
        <v>0</v>
      </c>
      <c r="Z236" s="178">
        <f>AA236</f>
        <v>42</v>
      </c>
      <c r="AA236" s="178">
        <v>42</v>
      </c>
      <c r="AB236" s="178"/>
      <c r="AC236" s="178"/>
      <c r="AD236" s="178"/>
      <c r="AE236" s="178">
        <v>0</v>
      </c>
      <c r="AF236" s="178">
        <v>0</v>
      </c>
      <c r="AG236" s="178"/>
      <c r="AH236" s="178"/>
      <c r="AI236" s="178"/>
      <c r="AJ236" s="178">
        <v>0</v>
      </c>
      <c r="AK236" s="178">
        <v>0</v>
      </c>
      <c r="AL236" s="178">
        <v>0</v>
      </c>
      <c r="AM236" s="178">
        <v>0</v>
      </c>
      <c r="AN236" s="178">
        <v>0</v>
      </c>
      <c r="AO236" s="429"/>
    </row>
    <row r="237" spans="1:41" s="557" customFormat="1" ht="25.5" hidden="1" customHeight="1">
      <c r="A237" s="1075"/>
      <c r="B237" s="95" t="s">
        <v>273</v>
      </c>
      <c r="C237" s="558"/>
      <c r="D237" s="558"/>
      <c r="E237" s="558"/>
      <c r="F237" s="558"/>
      <c r="G237" s="267"/>
      <c r="H237" s="267"/>
      <c r="I237" s="559"/>
      <c r="J237" s="454"/>
      <c r="K237" s="455"/>
      <c r="L237" s="271"/>
      <c r="M237" s="271"/>
      <c r="N237" s="271"/>
      <c r="O237" s="271"/>
      <c r="P237" s="271">
        <f>R237+T237</f>
        <v>60</v>
      </c>
      <c r="Q237" s="271">
        <f>S237+U237+W237+Y237</f>
        <v>230</v>
      </c>
      <c r="R237" s="271"/>
      <c r="S237" s="271"/>
      <c r="T237" s="271">
        <v>60</v>
      </c>
      <c r="U237" s="271">
        <v>60</v>
      </c>
      <c r="V237" s="271">
        <f>W237</f>
        <v>150</v>
      </c>
      <c r="W237" s="271">
        <f>100+50</f>
        <v>150</v>
      </c>
      <c r="X237" s="271"/>
      <c r="Y237" s="271">
        <v>20</v>
      </c>
      <c r="Z237" s="271">
        <f>SUM(AA237:AD237)</f>
        <v>230</v>
      </c>
      <c r="AA237" s="271"/>
      <c r="AB237" s="271">
        <f>60+100</f>
        <v>160</v>
      </c>
      <c r="AC237" s="271">
        <f>50+20</f>
        <v>70</v>
      </c>
      <c r="AD237" s="271"/>
      <c r="AE237" s="271"/>
      <c r="AF237" s="271"/>
      <c r="AG237" s="271"/>
      <c r="AH237" s="271"/>
      <c r="AI237" s="271"/>
      <c r="AJ237" s="271"/>
      <c r="AK237" s="271"/>
      <c r="AL237" s="271"/>
      <c r="AM237" s="271"/>
      <c r="AN237" s="271"/>
      <c r="AO237" s="426"/>
    </row>
    <row r="238" spans="1:41" s="26" customFormat="1" ht="25.5">
      <c r="A238" s="1076"/>
      <c r="B238" s="1"/>
      <c r="C238" s="572"/>
      <c r="D238" s="572"/>
      <c r="E238" s="572"/>
      <c r="F238" s="572"/>
      <c r="G238" s="586"/>
      <c r="H238" s="586"/>
      <c r="I238" s="23" t="s">
        <v>10</v>
      </c>
      <c r="J238" s="54"/>
      <c r="K238" s="6"/>
      <c r="L238" s="22">
        <v>263850.07</v>
      </c>
      <c r="M238" s="22">
        <v>263850.07</v>
      </c>
      <c r="N238" s="22">
        <v>263850.07</v>
      </c>
      <c r="O238" s="22">
        <v>263850.07</v>
      </c>
      <c r="P238" s="22">
        <v>263850.07</v>
      </c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560"/>
      <c r="AK238" s="560"/>
      <c r="AL238" s="560"/>
      <c r="AM238" s="560"/>
      <c r="AN238" s="560"/>
      <c r="AO238" s="561"/>
    </row>
    <row r="239" spans="1:41" ht="15.75">
      <c r="B239" s="111"/>
      <c r="C239" s="111"/>
      <c r="D239" s="111"/>
      <c r="E239" s="111"/>
      <c r="F239" s="111"/>
      <c r="G239" s="111"/>
      <c r="H239" s="111"/>
      <c r="I239" s="111"/>
      <c r="J239" s="111"/>
      <c r="K239" s="111"/>
      <c r="L239" s="111"/>
      <c r="M239" s="111"/>
      <c r="N239" s="111"/>
      <c r="O239" s="111"/>
      <c r="P239" s="136"/>
      <c r="Q239" s="111"/>
      <c r="R239" s="136"/>
      <c r="S239" s="136"/>
      <c r="T239" s="111"/>
      <c r="U239" s="111"/>
      <c r="V239" s="111"/>
      <c r="W239" s="111"/>
    </row>
    <row r="240" spans="1:41" ht="15.75">
      <c r="B240" s="111"/>
      <c r="C240" s="111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  <c r="O240" s="111"/>
      <c r="P240" s="136"/>
      <c r="Q240" s="111"/>
      <c r="R240" s="136"/>
      <c r="S240" s="136"/>
      <c r="T240" s="111"/>
      <c r="U240" s="111"/>
      <c r="V240" s="111"/>
      <c r="W240" s="111"/>
    </row>
    <row r="241" spans="2:41" ht="15.75">
      <c r="B241" s="111" t="s">
        <v>96</v>
      </c>
      <c r="C241" s="111"/>
      <c r="D241" s="111"/>
      <c r="E241" s="111"/>
      <c r="F241" s="111"/>
      <c r="G241" s="111"/>
      <c r="H241" s="111"/>
      <c r="I241" s="111"/>
      <c r="J241" s="111"/>
      <c r="K241" s="111"/>
      <c r="L241" s="111"/>
      <c r="M241" s="111"/>
      <c r="N241" s="111"/>
      <c r="O241" s="111"/>
      <c r="P241" s="136"/>
      <c r="Q241" s="111" t="s">
        <v>310</v>
      </c>
      <c r="S241" s="111"/>
      <c r="T241" s="111" t="s">
        <v>97</v>
      </c>
      <c r="U241" s="111"/>
      <c r="V241" s="111"/>
      <c r="W241" s="111"/>
    </row>
    <row r="242" spans="2:41" ht="15.75">
      <c r="B242" s="111"/>
      <c r="C242" s="111"/>
      <c r="D242" s="111"/>
      <c r="E242" s="111"/>
      <c r="F242" s="111"/>
      <c r="G242" s="111"/>
      <c r="H242" s="111"/>
      <c r="I242" s="111"/>
      <c r="J242" s="111"/>
      <c r="K242" s="111"/>
      <c r="L242" s="111"/>
      <c r="M242" s="111"/>
      <c r="N242" s="111"/>
      <c r="O242" s="111"/>
      <c r="P242" s="136"/>
      <c r="Q242" s="111"/>
      <c r="S242" s="111"/>
      <c r="T242" s="111"/>
      <c r="U242" s="111"/>
    </row>
    <row r="243" spans="2:41" ht="15.75">
      <c r="B243" s="111"/>
      <c r="C243" s="111"/>
      <c r="D243" s="111"/>
      <c r="E243" s="111"/>
      <c r="F243" s="111"/>
      <c r="G243" s="111"/>
      <c r="H243" s="111"/>
      <c r="I243" s="111"/>
      <c r="J243" s="111"/>
      <c r="K243" s="111"/>
      <c r="L243" s="111"/>
      <c r="M243" s="111"/>
      <c r="N243" s="111"/>
      <c r="O243" s="111"/>
      <c r="P243" s="136"/>
      <c r="Q243" s="111"/>
      <c r="S243" s="111"/>
      <c r="T243" s="111"/>
      <c r="W243" s="111" t="s">
        <v>98</v>
      </c>
      <c r="Y243" s="111" t="s">
        <v>98</v>
      </c>
      <c r="AI243" s="111" t="s">
        <v>99</v>
      </c>
    </row>
    <row r="244" spans="2:41" ht="15.75">
      <c r="B244" s="111" t="s">
        <v>94</v>
      </c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36"/>
      <c r="Q244" s="111" t="s">
        <v>311</v>
      </c>
      <c r="S244" s="111"/>
      <c r="T244" s="111" t="s">
        <v>95</v>
      </c>
      <c r="W244" s="111"/>
      <c r="Y244" s="12"/>
      <c r="AI244" s="111"/>
    </row>
    <row r="245" spans="2:41" ht="15.75">
      <c r="W245" s="111"/>
      <c r="Y245" s="136"/>
      <c r="AI245" s="111"/>
    </row>
    <row r="246" spans="2:41" ht="15.75">
      <c r="B246" s="136" t="s">
        <v>312</v>
      </c>
      <c r="W246" s="111" t="s">
        <v>100</v>
      </c>
      <c r="Y246" s="136" t="s">
        <v>315</v>
      </c>
      <c r="AI246" s="111" t="s">
        <v>101</v>
      </c>
    </row>
    <row r="247" spans="2:41" s="136" customFormat="1" ht="15.75">
      <c r="B247" s="136" t="s">
        <v>313</v>
      </c>
      <c r="Q247" s="136" t="s">
        <v>314</v>
      </c>
      <c r="T247" s="136" t="s">
        <v>153</v>
      </c>
      <c r="X247" s="502"/>
      <c r="Y247" s="111" t="s">
        <v>316</v>
      </c>
      <c r="AO247" s="216"/>
    </row>
    <row r="248" spans="2:41" s="209" customFormat="1"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X248" s="398"/>
      <c r="Y248" s="398"/>
      <c r="AO248" s="430"/>
    </row>
    <row r="250" spans="2:41" ht="15.75"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36"/>
      <c r="Q250" s="111"/>
      <c r="S250" s="111"/>
    </row>
    <row r="251" spans="2:41" ht="15.75">
      <c r="C251" s="111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1"/>
      <c r="O251" s="111"/>
      <c r="P251" s="136"/>
      <c r="Q251" s="111"/>
      <c r="S251" s="111"/>
      <c r="T251" s="111"/>
      <c r="U251" s="111"/>
    </row>
    <row r="252" spans="2:41" ht="15.75">
      <c r="C252" s="111"/>
      <c r="D252" s="111"/>
      <c r="E252" s="111"/>
      <c r="F252" s="111"/>
      <c r="G252" s="111"/>
      <c r="H252" s="111"/>
      <c r="I252" s="111"/>
      <c r="J252" s="111"/>
      <c r="K252" s="111"/>
      <c r="L252" s="111"/>
      <c r="M252" s="111"/>
      <c r="N252" s="111"/>
      <c r="O252" s="111"/>
      <c r="P252" s="136"/>
      <c r="Q252" s="111"/>
      <c r="S252" s="111"/>
      <c r="T252" s="111"/>
      <c r="U252" s="111"/>
    </row>
    <row r="253" spans="2:41" ht="15.75">
      <c r="C253" s="111"/>
      <c r="D253" s="111"/>
      <c r="E253" s="111"/>
      <c r="F253" s="111"/>
      <c r="G253" s="111"/>
      <c r="H253" s="111"/>
      <c r="I253" s="111"/>
      <c r="J253" s="111"/>
      <c r="K253" s="111"/>
      <c r="L253" s="111"/>
      <c r="M253" s="111"/>
      <c r="N253" s="111"/>
      <c r="O253" s="111"/>
      <c r="P253" s="136"/>
      <c r="Q253" s="111"/>
      <c r="S253" s="111"/>
      <c r="T253" s="111"/>
      <c r="U253" s="111"/>
    </row>
    <row r="254" spans="2:41" ht="15.75">
      <c r="T254" s="111"/>
      <c r="U254" s="111"/>
    </row>
  </sheetData>
  <mergeCells count="204">
    <mergeCell ref="A1:AO1"/>
    <mergeCell ref="A7:A9"/>
    <mergeCell ref="B7:B9"/>
    <mergeCell ref="C7:C9"/>
    <mergeCell ref="D7:D9"/>
    <mergeCell ref="E7:F8"/>
    <mergeCell ref="G7:G9"/>
    <mergeCell ref="H7:H9"/>
    <mergeCell ref="I7:I9"/>
    <mergeCell ref="J7:J9"/>
    <mergeCell ref="B11:F11"/>
    <mergeCell ref="A12:H15"/>
    <mergeCell ref="A16:H16"/>
    <mergeCell ref="A17:H21"/>
    <mergeCell ref="A22:A25"/>
    <mergeCell ref="B22:H25"/>
    <mergeCell ref="AO7:AO9"/>
    <mergeCell ref="N8:N9"/>
    <mergeCell ref="O8:O9"/>
    <mergeCell ref="AK8:AK9"/>
    <mergeCell ref="AL8:AL9"/>
    <mergeCell ref="AM8:AN8"/>
    <mergeCell ref="V7:W8"/>
    <mergeCell ref="X7:Y8"/>
    <mergeCell ref="Z7:AD8"/>
    <mergeCell ref="AE7:AI8"/>
    <mergeCell ref="AJ7:AJ9"/>
    <mergeCell ref="AK7:AN7"/>
    <mergeCell ref="K7:K9"/>
    <mergeCell ref="L7:L9"/>
    <mergeCell ref="M7:O7"/>
    <mergeCell ref="P7:Q8"/>
    <mergeCell ref="R7:S8"/>
    <mergeCell ref="T7:U8"/>
    <mergeCell ref="K43:K46"/>
    <mergeCell ref="A47:A50"/>
    <mergeCell ref="B47:H50"/>
    <mergeCell ref="A51:A53"/>
    <mergeCell ref="I51:I53"/>
    <mergeCell ref="J51:J53"/>
    <mergeCell ref="K51:K53"/>
    <mergeCell ref="H26:H27"/>
    <mergeCell ref="AO27:AO37"/>
    <mergeCell ref="A40:A42"/>
    <mergeCell ref="I40:I42"/>
    <mergeCell ref="J40:J42"/>
    <mergeCell ref="K40:K42"/>
    <mergeCell ref="AO41:AO42"/>
    <mergeCell ref="A26:A35"/>
    <mergeCell ref="C26:C27"/>
    <mergeCell ref="D26:D27"/>
    <mergeCell ref="E26:E27"/>
    <mergeCell ref="F26:F27"/>
    <mergeCell ref="G26:G27"/>
    <mergeCell ref="A54:A56"/>
    <mergeCell ref="B54:H56"/>
    <mergeCell ref="A57:A59"/>
    <mergeCell ref="C57:C59"/>
    <mergeCell ref="D57:D59"/>
    <mergeCell ref="E57:E59"/>
    <mergeCell ref="F57:F59"/>
    <mergeCell ref="A43:A46"/>
    <mergeCell ref="I43:I46"/>
    <mergeCell ref="A63:A65"/>
    <mergeCell ref="B63:H65"/>
    <mergeCell ref="A66:A69"/>
    <mergeCell ref="C66:C69"/>
    <mergeCell ref="D66:D69"/>
    <mergeCell ref="E66:E69"/>
    <mergeCell ref="F66:F69"/>
    <mergeCell ref="I57:I59"/>
    <mergeCell ref="A60:A62"/>
    <mergeCell ref="C60:C62"/>
    <mergeCell ref="D60:D62"/>
    <mergeCell ref="E60:E62"/>
    <mergeCell ref="F60:F62"/>
    <mergeCell ref="I60:I62"/>
    <mergeCell ref="C78:C81"/>
    <mergeCell ref="D78:D81"/>
    <mergeCell ref="E78:E81"/>
    <mergeCell ref="F78:F81"/>
    <mergeCell ref="I78:I81"/>
    <mergeCell ref="I83:I84"/>
    <mergeCell ref="I66:I69"/>
    <mergeCell ref="J66:J69"/>
    <mergeCell ref="A70:A73"/>
    <mergeCell ref="B70:H73"/>
    <mergeCell ref="A74:A75"/>
    <mergeCell ref="I74:I75"/>
    <mergeCell ref="A96:A100"/>
    <mergeCell ref="I96:I100"/>
    <mergeCell ref="A101:A102"/>
    <mergeCell ref="I101:I102"/>
    <mergeCell ref="A103:A105"/>
    <mergeCell ref="I103:I105"/>
    <mergeCell ref="A85:A86"/>
    <mergeCell ref="I85:I86"/>
    <mergeCell ref="A87:A88"/>
    <mergeCell ref="I87:I88"/>
    <mergeCell ref="A90:A95"/>
    <mergeCell ref="I90:I95"/>
    <mergeCell ref="A116:A120"/>
    <mergeCell ref="I116:I120"/>
    <mergeCell ref="J116:J120"/>
    <mergeCell ref="A122:H126"/>
    <mergeCell ref="A127:A130"/>
    <mergeCell ref="B127:H130"/>
    <mergeCell ref="A106:A108"/>
    <mergeCell ref="I106:I108"/>
    <mergeCell ref="A109:A110"/>
    <mergeCell ref="I109:I110"/>
    <mergeCell ref="A112:A115"/>
    <mergeCell ref="B112:H115"/>
    <mergeCell ref="H131:H132"/>
    <mergeCell ref="I131:I132"/>
    <mergeCell ref="J131:J132"/>
    <mergeCell ref="K131:K132"/>
    <mergeCell ref="A133:A135"/>
    <mergeCell ref="F133:F135"/>
    <mergeCell ref="I133:I135"/>
    <mergeCell ref="A131:A132"/>
    <mergeCell ref="C131:C132"/>
    <mergeCell ref="D131:D132"/>
    <mergeCell ref="E131:E132"/>
    <mergeCell ref="F131:F132"/>
    <mergeCell ref="G131:G132"/>
    <mergeCell ref="K136:K137"/>
    <mergeCell ref="A145:A146"/>
    <mergeCell ref="I145:I146"/>
    <mergeCell ref="A136:A137"/>
    <mergeCell ref="C136:C137"/>
    <mergeCell ref="D136:D137"/>
    <mergeCell ref="E136:E137"/>
    <mergeCell ref="F136:F137"/>
    <mergeCell ref="G136:G137"/>
    <mergeCell ref="A149:A150"/>
    <mergeCell ref="I149:I150"/>
    <mergeCell ref="A151:A152"/>
    <mergeCell ref="I151:I152"/>
    <mergeCell ref="A160:A163"/>
    <mergeCell ref="B160:H163"/>
    <mergeCell ref="H136:H137"/>
    <mergeCell ref="I136:I137"/>
    <mergeCell ref="J136:J137"/>
    <mergeCell ref="J164:J167"/>
    <mergeCell ref="A168:A169"/>
    <mergeCell ref="I168:I169"/>
    <mergeCell ref="I174:I175"/>
    <mergeCell ref="I180:I181"/>
    <mergeCell ref="I182:I183"/>
    <mergeCell ref="A164:A167"/>
    <mergeCell ref="C164:C167"/>
    <mergeCell ref="D164:D167"/>
    <mergeCell ref="E164:E167"/>
    <mergeCell ref="F164:F167"/>
    <mergeCell ref="I164:I167"/>
    <mergeCell ref="I188:I191"/>
    <mergeCell ref="J188:J191"/>
    <mergeCell ref="A192:A195"/>
    <mergeCell ref="B192:H195"/>
    <mergeCell ref="A196:A197"/>
    <mergeCell ref="I196:I197"/>
    <mergeCell ref="A184:A187"/>
    <mergeCell ref="B184:H187"/>
    <mergeCell ref="A188:A191"/>
    <mergeCell ref="C188:C191"/>
    <mergeCell ref="D188:D191"/>
    <mergeCell ref="E188:E191"/>
    <mergeCell ref="F188:F191"/>
    <mergeCell ref="G188:G191"/>
    <mergeCell ref="H188:H191"/>
    <mergeCell ref="A198:A202"/>
    <mergeCell ref="I198:I202"/>
    <mergeCell ref="A203:A204"/>
    <mergeCell ref="I203:I204"/>
    <mergeCell ref="I210:I211"/>
    <mergeCell ref="A212:A213"/>
    <mergeCell ref="C212:C213"/>
    <mergeCell ref="D212:D213"/>
    <mergeCell ref="E212:E213"/>
    <mergeCell ref="F212:F213"/>
    <mergeCell ref="A218:A222"/>
    <mergeCell ref="C218:C219"/>
    <mergeCell ref="D218:D219"/>
    <mergeCell ref="E218:E219"/>
    <mergeCell ref="F218:F219"/>
    <mergeCell ref="I218:I222"/>
    <mergeCell ref="I212:I213"/>
    <mergeCell ref="J212:J213"/>
    <mergeCell ref="A214:A217"/>
    <mergeCell ref="C214:C215"/>
    <mergeCell ref="D214:D215"/>
    <mergeCell ref="E214:E215"/>
    <mergeCell ref="F214:F215"/>
    <mergeCell ref="I214:I217"/>
    <mergeCell ref="A230:A232"/>
    <mergeCell ref="I230:I232"/>
    <mergeCell ref="A233:A238"/>
    <mergeCell ref="A223:A229"/>
    <mergeCell ref="C223:C224"/>
    <mergeCell ref="D223:D224"/>
    <mergeCell ref="E223:E224"/>
    <mergeCell ref="F223:F224"/>
    <mergeCell ref="I223:I229"/>
  </mergeCells>
  <pageMargins left="0" right="0" top="0.19685039370078741" bottom="0" header="0.31496062992125984" footer="0.31496062992125984"/>
  <pageSetup paperSize="9" scale="87" fitToHeight="10" orientation="landscape" r:id="rId1"/>
  <rowBreaks count="3" manualBreakCount="3">
    <brk id="50" max="16383" man="1"/>
    <brk id="148" max="16383" man="1"/>
    <brk id="19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7" sqref="F7"/>
    </sheetView>
  </sheetViews>
  <sheetFormatPr defaultRowHeight="18.75"/>
  <cols>
    <col min="1" max="16384" width="9.140625" style="266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Лист4</vt:lpstr>
      <vt:lpstr>Лист5</vt:lpstr>
      <vt:lpstr>мероприятия</vt:lpstr>
      <vt:lpstr>ввод мощностей</vt:lpstr>
      <vt:lpstr>водоснабжение</vt:lpstr>
      <vt:lpstr>канализация</vt:lpstr>
      <vt:lpstr>пояснения</vt:lpstr>
      <vt:lpstr>за 2020год </vt:lpstr>
      <vt:lpstr>Лист1</vt:lpstr>
      <vt:lpstr>Лист2</vt:lpstr>
      <vt:lpstr>'ввод мощностей'!Заголовки_для_печати</vt:lpstr>
      <vt:lpstr>'за 2020год '!Заголовки_для_печати</vt:lpstr>
      <vt:lpstr>канализация!Заголовки_для_печати</vt:lpstr>
      <vt:lpstr>мероприятия!Заголовки_для_печати</vt:lpstr>
      <vt:lpstr>пояснения!Заголовки_для_печати</vt:lpstr>
      <vt:lpstr>водоснабжение!Область_печати</vt:lpstr>
      <vt:lpstr>'за 2020год '!Область_печати</vt:lpstr>
      <vt:lpstr>канализация!Область_печати</vt:lpstr>
      <vt:lpstr>пояснения!Область_печати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2022-02-08T07:26:54Z</dcterms:modified>
</cp:coreProperties>
</file>