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ВС 2021-2025" sheetId="4" r:id="rId1"/>
    <sheet name="ВО-2021-2025" sheetId="5" r:id="rId2"/>
    <sheet name="Лист1" sheetId="1" r:id="rId3"/>
    <sheet name="Лист2" sheetId="2" r:id="rId4"/>
    <sheet name="Лист3" sheetId="3" r:id="rId5"/>
  </sheets>
  <externalReferences>
    <externalReference r:id="rId6"/>
    <externalReference r:id="rId7"/>
  </externalReferences>
  <definedNames>
    <definedName name="_xlnm._FilterDatabase" localSheetId="1">'ВО-2021-2025'!$AA$91:$DB$384</definedName>
    <definedName name="_xlnm._FilterDatabase" localSheetId="0">'ВС 2021-2025'!$AA$91:$BM$384</definedName>
    <definedName name="ALL_SAVINGS_PRELOAD_TEST_AREA" localSheetId="1">'[1]Общая экономия'!#REF!</definedName>
    <definedName name="ALL_SAVINGS_PRELOAD_TEST_AREA">'[2]Общая экономия'!#REF!</definedName>
    <definedName name="ALL_SAVINGS_TESTPRELOAD" localSheetId="1">'[1]Общая экономия'!#REF!</definedName>
    <definedName name="ALL_SAVINGS_TESTPRELOAD">'[2]Общая экономия'!#REF!</definedName>
    <definedName name="AMOR_EQUIPMENT_PRELOAD_TEST_AREA" localSheetId="1">[1]Амортизация!#REF!</definedName>
    <definedName name="AMOR_EQUIPMENT_PRELOAD_TEST_AREA">[2]Амортизация!#REF!</definedName>
    <definedName name="AMOR_TESTPRELOAD" localSheetId="1">[1]Амортизация!#REF!</definedName>
    <definedName name="AMOR_TESTPRELOAD">[2]Амортизация!#REF!</definedName>
    <definedName name="amort_group_list" localSheetId="1">[1]TECHSHEET!$CH$2:$CH$11</definedName>
    <definedName name="amort_group_list">[2]TECHSHEET!$CH$2:$CH$11</definedName>
    <definedName name="anscount">1</definedName>
    <definedName name="assignment_list_nalogearth" localSheetId="1">[1]TECHSHEET!$BU$2:$BU$3</definedName>
    <definedName name="assignment_list_nalogearth">[2]TECHSHEET!$BU$2:$BU$3</definedName>
    <definedName name="assignment_list_rentearth" localSheetId="1">[1]TECHSHEET!$BW$2:$BW$13</definedName>
    <definedName name="assignment_list_rentearth">[2]TECHSHEET!$BW$2:$BW$13</definedName>
    <definedName name="assignment_list_rentearth_directory" localSheetId="1">[1]TECHSHEET!$BX$2:$BX$13</definedName>
    <definedName name="assignment_list_rentearth_directory">[2]TECHSHEET!$BX$2:$BX$13</definedName>
    <definedName name="AUTHORIZED_PERSON" localSheetId="1">[1]Титульный!$AD$79</definedName>
    <definedName name="AUTHORIZED_PERSON">[2]Титульный!$AD$79</definedName>
    <definedName name="BALANCE_PP_MO_TESTPRELOAD" localSheetId="1">'[1]Баланс ПП МО'!#REF!</definedName>
    <definedName name="BALANCE_PP_MO_TESTPRELOAD">'[2]Баланс ПП МО'!#REF!</definedName>
    <definedName name="base_rasred" localSheetId="1">[1]Списки!$L$4:$L$6</definedName>
    <definedName name="base_rasred">[2]Списки!$L$4:$L$6</definedName>
    <definedName name="BASE_ZEM_UCH" localSheetId="1">[1]TECHSHEET!$EK$2:$EK$3</definedName>
    <definedName name="BASE_ZEM_UCH">[2]TECHSHEET!$EK$2:$EK$3</definedName>
    <definedName name="BESHOZ_PRELOAD_TEST_AREA" localSheetId="1">[1]Бесхоз!#REF!</definedName>
    <definedName name="BESHOZ_PRELOAD_TEST_AREA">[2]Бесхоз!#REF!</definedName>
    <definedName name="BILL_23_PRELOAD_TEST_AREA" localSheetId="1">'[1]Счет 23'!#REF!</definedName>
    <definedName name="BILL_23_PRELOAD_TEST_AREA">'[2]Счет 23'!#REF!</definedName>
    <definedName name="BILL_23_REG_DATA" localSheetId="1">'[1]Счет 23'!$BY$92:$BY$250,'[1]Счет 23'!$BZ$92:$BZ$250,'[1]Счет 23'!$CC$92:$CC$250,'[1]Счет 23'!$CE$93:$CE$250,'[1]Счет 23'!$CG$93:$CG$250,'[1]Счет 23'!$CI$93:$CI$250,'[1]Счет 23'!$CK$93:$CK$250</definedName>
    <definedName name="BILL_23_REG_DATA">'[2]Счет 23'!$BY$92:$BY$237,'[2]Счет 23'!$BZ$92:$BZ$237,'[2]Счет 23'!$CC$92:$CC$237,'[2]Счет 23'!$CE$93:$CE$237,'[2]Счет 23'!$CG$93:$CG$237,'[2]Счет 23'!$CI$93:$CI$237,'[2]Счет 23'!$CK$93:$CK$237</definedName>
    <definedName name="BILL_23_TESTPRELOAD" localSheetId="1">'[1]Счет 23'!#REF!</definedName>
    <definedName name="BILL_23_TESTPRELOAD">'[2]Счет 23'!#REF!</definedName>
    <definedName name="BILL_25_PRELOAD_TEST_AREA" localSheetId="1">'[1]Счет 25'!#REF!</definedName>
    <definedName name="BILL_25_PRELOAD_TEST_AREA">'[2]Счет 25'!#REF!</definedName>
    <definedName name="BILL_25_REG_DATA" localSheetId="1">'[1]Счет 25'!$BY$93:$BY$177,'[1]Счет 25'!$CC$93:$CC$177,'[1]Счет 25'!$CE$93:$CE$177,'[1]Счет 25'!$CG$93:$CG$177,'[1]Счет 25'!$CI$93:$CI$177,'[1]Счет 25'!$CK$93:$CK$177</definedName>
    <definedName name="BILL_25_REG_DATA">'[2]Счет 25'!$BY$93:$BY$177,'[2]Счет 25'!$CC$93:$CC$177,'[2]Счет 25'!$CE$93:$CE$177,'[2]Счет 25'!$CG$93:$CG$177,'[2]Счет 25'!$CI$93:$CI$177,'[2]Счет 25'!$CK$93:$CK$177</definedName>
    <definedName name="BILL_25_TESTPRELOAD" localSheetId="1">'[1]Счет 25'!#REF!</definedName>
    <definedName name="BILL_25_TESTPRELOAD">'[2]Счет 25'!#REF!</definedName>
    <definedName name="BILL_26_PRELOAD_TEST_AREA" localSheetId="1">[1]Адм.расходы!#REF!</definedName>
    <definedName name="BILL_26_PRELOAD_TEST_AREA">[2]Адм.расходы!#REF!</definedName>
    <definedName name="BILL_26_REG_DATA" localSheetId="1">[1]Адм.расходы!$BY$92:$BY$198,[1]Адм.расходы!$CE$92:$CE$198,[1]Адм.расходы!$CG$92:$CG$198,[1]Адм.расходы!$CI$92:$CI$198,[1]Адм.расходы!$CK$92:$CK$198</definedName>
    <definedName name="BILL_26_REG_DATA">[2]Адм.расходы!$BY$92:$BY$201,[2]Адм.расходы!$CE$92:$CE$201,[2]Адм.расходы!$CG$92:$CG$201,[2]Адм.расходы!$CI$92:$CI$201,[2]Адм.расходы!$CK$92:$CK$201</definedName>
    <definedName name="BILL_26_TESTPRELOAD" localSheetId="1">[1]Адм.расходы!#REF!</definedName>
    <definedName name="BILL_26_TESTPRELOAD">[2]Адм.расходы!#REF!</definedName>
    <definedName name="Button_1">"НоваяОборотка_Лист1_Таблица"</definedName>
    <definedName name="CACL_TARIFF_REG_DATA" localSheetId="1">'[1]Расчет тарифа(корректировка) МИ'!$U$92:$U$138,'[1]Расчет тарифа(корректировка) МИ'!$Y$92:$Y$138,'[1]Расчет тарифа(корректировка) МИ'!$AD$92:$AD$138,'[1]Расчет тарифа(корректировка) МИ'!$AH$92:$AH$138,'[1]Расчет тарифа(корректировка) МИ'!$AL$92:$AL$138,'[1]Расчет тарифа(корректировка) МИ'!$AP$92:$AP$138,'[1]Расчет тарифа(корректировка) МИ'!$AT$92:$AT$139</definedName>
    <definedName name="CACL_TARIFF_REG_DATA">'[2]Расчет тарифа(корректировка) МИ'!$U$92:$U$138,'[2]Расчет тарифа(корректировка) МИ'!$Y$92:$Y$138,'[2]Расчет тарифа(корректировка) МИ'!$AD$92:$AD$138,'[2]Расчет тарифа(корректировка) МИ'!$AH$92:$AH$138,'[2]Расчет тарифа(корректировка) МИ'!$AL$92:$AL$138,'[2]Расчет тарифа(корректировка) МИ'!$AP$92:$AP$138,'[2]Расчет тарифа(корректировка) МИ'!$AT$92:$AT$139</definedName>
    <definedName name="CALC_COST_FACT" localSheetId="1">[1]TECHSHEET!$Q$2:$Q$3</definedName>
    <definedName name="CALC_COST_FACT">[2]TECHSHEET!$Q$2:$Q$3</definedName>
    <definedName name="CALC_METHOD" localSheetId="1">'[1]Настройка списков'!$F$21:$F$23</definedName>
    <definedName name="CALC_METHOD">'[2]Настройка списков'!$F$21:$F$23</definedName>
    <definedName name="CALC_OR" localSheetId="1">[1]TECHSHEET!$P$2:$P$3</definedName>
    <definedName name="CALC_OR">[2]TECHSHEET!$P$2:$P$3</definedName>
    <definedName name="CALC_TARIFF_ANALOG_PRELOAD_TEST_AREA" localSheetId="1">'[1]Расчет тарифа (аналог)'!#REF!</definedName>
    <definedName name="CALC_TARIFF_ANALOG_PRELOAD_TEST_AREA">'[2]Расчет тарифа (аналог)'!#REF!</definedName>
    <definedName name="CALC_TAX_PRELOAD_TEST_AREA" localSheetId="1">'[1]Расчет тарифа (аналог)'!#REF!</definedName>
    <definedName name="CALC_TAX_PRELOAD_TEST_AREA">'[2]Расчет тарифа (аналог)'!#REF!</definedName>
    <definedName name="CALC_TAX_REG_DATA" localSheetId="1">'[1]Расчет тарифа (аналог)'!$AN$92:$AN$112,'[1]Расчет тарифа (аналог)'!$AP$92:$AP$112,'[1]Расчет тарифа (аналог)'!$AT$92:$AT$112,'[1]Расчет тарифа (аналог)'!$AW$92:$AW$112</definedName>
    <definedName name="CALC_TAX_REG_DATA">'[2]Расчет тарифа (аналог)'!$AN$92:$AN$112,'[2]Расчет тарифа (аналог)'!$AP$92:$AP$112,'[2]Расчет тарифа (аналог)'!$AT$92:$AT$112,'[2]Расчет тарифа (аналог)'!$AW$92:$AW$112</definedName>
    <definedName name="CALC_TAX_TESTPRELOAD" localSheetId="1">'[1]Расчет тарифа (аналог)'!#REF!</definedName>
    <definedName name="CALC_TAX_TESTPRELOAD">'[2]Расчет тарифа (аналог)'!#REF!</definedName>
    <definedName name="CALC_VOLUME" localSheetId="1">[1]TECHSHEET!$R$2:$R$3</definedName>
    <definedName name="CALC_VOLUME">[2]TECHSHEET!$R$2:$R$3</definedName>
    <definedName name="CHECK_LINK_RANGE_1">"Калькуляция!$I$11:$I$132"</definedName>
    <definedName name="choice_ee_list" localSheetId="1">[1]TECHSHEET!$BC$2:$BC$3</definedName>
    <definedName name="choice_ee_list">[2]TECHSHEET!$BC$2:$BC$3</definedName>
    <definedName name="CON_METERS_PRELOAD_TEST_AREA" localSheetId="1">'[1]Условные метры'!#REF!</definedName>
    <definedName name="CON_METERS_PRELOAD_TEST_AREA">'[2]Условные метры'!#REF!</definedName>
    <definedName name="CON_METERS_REG_DATA" localSheetId="1">'[1]Условные метры'!$BB$93:$BC$194,'[1]Условные метры'!$BF$93:$BG$194,'[1]Условные метры'!$BJ$93:$BK$194,'[1]Условные метры'!$BN$93:$BO$194,'[1]Условные метры'!$BR$93:$BS$194,'[1]Условные метры'!$BV$93:$BW$194</definedName>
    <definedName name="CON_METERS_REG_DATA">'[2]Условные метры'!$BB$93:$BC$171,'[2]Условные метры'!$BF$93:$BG$171,'[2]Условные метры'!$BJ$93:$BK$171,'[2]Условные метры'!$BN$93:$BO$171,'[2]Условные метры'!$BR$93:$BS$171,'[2]Условные метры'!$BV$93:$BW$171</definedName>
    <definedName name="CON_METERS_TESTPRELOAD" localSheetId="1">'[1]Условные метры'!#REF!</definedName>
    <definedName name="CON_METERS_TESTPRELOAD">'[2]Условные метры'!#REF!</definedName>
    <definedName name="COR_FACT_PRELOAD_TEST_AREA" localSheetId="1">'[1]Корр по факту'!#REF!</definedName>
    <definedName name="COR_FACT_PRELOAD_TEST_AREA">'[2]Корр по факту'!#REF!</definedName>
    <definedName name="COR_FACT_TESTPRELOAD" localSheetId="1">'[1]Корр по факту'!#REF!</definedName>
    <definedName name="COR_FACT_TESTPRELOAD">'[2]Корр по факту'!#REF!</definedName>
    <definedName name="COSTS_PRELOAD_TEST_AREA" localSheetId="1">'[1]Корр по периодам'!#REF!</definedName>
    <definedName name="COSTS_PRELOAD_TEST_AREA">'[2]Корр по периодам'!#REF!</definedName>
    <definedName name="COSTS_TESTPRELOAD" localSheetId="1">'[1]Корр по периодам'!#REF!</definedName>
    <definedName name="COSTS_TESTPRELOAD">'[2]Корр по периодам'!#REF!</definedName>
    <definedName name="DATA_VALUE">"NO"</definedName>
    <definedName name="Database" localSheetId="1">[1]TECHSHEET!$L$29:$L$31</definedName>
    <definedName name="Database">[2]TECHSHEET!$L$29:$L$31</definedName>
    <definedName name="Database_reestrsource" localSheetId="1">[1]TECHSHEET!$L$29:$L$30</definedName>
    <definedName name="Database_reestrsource">[2]TECHSHEET!$L$29:$L$30</definedName>
    <definedName name="deep_ground" localSheetId="1">[1]TECHSHEET!$DI$2:$DI$5</definedName>
    <definedName name="deep_ground">[2]TECHSHEET!$DI$2:$DI$5</definedName>
    <definedName name="DemoDate">"test"</definedName>
    <definedName name="DICTIONARY_EQUIPMENT_BASE" localSheetId="1">[1]Списки!$A$43:$A$45</definedName>
    <definedName name="DICTIONARY_EQUIPMENT_BASE">[2]Списки!$A$43:$A$46</definedName>
    <definedName name="DICTIONARY_EQUIPMENT_TYPE_TARIFF" localSheetId="1">[1]TECHSHEET!$AL$27:$AL$28</definedName>
    <definedName name="DICTIONARY_EQUIPMENT_TYPE_TARIFF">[2]TECHSHEET!$AL$27:$AL$28</definedName>
    <definedName name="DICTIONARY_TYPE_EQUIPMENT" localSheetId="1">[1]TECHSHEET!$AL$22:$AL$25</definedName>
    <definedName name="DICTIONARY_TYPE_EQUIPMENT">[2]TECHSHEET!$AL$22:$AL$25</definedName>
    <definedName name="DICTIONARY_VD" localSheetId="1">[1]TECHSHEET!$AJ$2:$AJ$3</definedName>
    <definedName name="DICTIONARY_VD">[2]TECHSHEET!$AJ$2:$AJ$3</definedName>
    <definedName name="DIFF_FEATURE_VBLAG_LIST" localSheetId="1">[1]TECHSHEET!$GF$3:$GF$89</definedName>
    <definedName name="DIFF_FEATURE_VBLAG_LIST">[2]TECHSHEET!$GF$3:$GF$89</definedName>
    <definedName name="DIFFERENC" localSheetId="1">[1]TECHSHEET!$AO$17:$AO$19</definedName>
    <definedName name="DIFFERENC">[2]TECHSHEET!$AO$17:$AO$19</definedName>
    <definedName name="DOCUMENT_TYPES" localSheetId="1">'[1]Новые списки'!$C$3:$C$10</definedName>
    <definedName name="DOCUMENT_TYPES">'[2]Новые списки'!$C$3:$C$10</definedName>
    <definedName name="dop_priznak_list_hvs" localSheetId="1">[1]LIST_DPR!$A$1:$A$23</definedName>
    <definedName name="dop_priznak_list_hvs">[2]LIST_DPR!$A$1:$A$23</definedName>
    <definedName name="ECON_EE_PRELOAD_TEST_AREA" localSheetId="1">'[1]Экон. ЭЭ'!#REF!</definedName>
    <definedName name="ECON_EE_PRELOAD_TEST_AREA">'[2]Экон. ЭЭ'!#REF!</definedName>
    <definedName name="ECON_EE_TESTPRELOAD" localSheetId="1">'[1]Экон. ЭЭ'!#REF!</definedName>
    <definedName name="ECON_EE_TESTPRELOAD">'[2]Экон. ЭЭ'!#REF!</definedName>
    <definedName name="ECON_OR_PRELOAD_TEST_AREA" localSheetId="1">'[1]Экон. ОР'!#REF!</definedName>
    <definedName name="ECON_OR_PRELOAD_TEST_AREA">'[2]Экон. ОР'!#REF!</definedName>
    <definedName name="ECON_OTH_PRELOAD_TEST_AREA" localSheetId="1">'[1]Экон. проч'!#REF!</definedName>
    <definedName name="ECON_OTH_PRELOAD_TEST_AREA">'[2]Экон. проч'!#REF!</definedName>
    <definedName name="ECON_OTHER_PRELOAD_TEST_AREA" localSheetId="1">'[1]Экон. проч'!#REF!</definedName>
    <definedName name="ECON_OTHER_PRELOAD_TEST_AREA">'[2]Экон. проч'!#REF!</definedName>
    <definedName name="ECON_OTHER_TESTPRELOAD" localSheetId="1">'[1]Экон. проч'!#REF!</definedName>
    <definedName name="ECON_OTHER_TESTPRELOAD">'[2]Экон. проч'!#REF!</definedName>
    <definedName name="ECONOM_OR_PRELOAD_TEST_AREA" localSheetId="1">'[1]Экон. ОР'!#REF!</definedName>
    <definedName name="ECONOM_OR_PRELOAD_TEST_AREA">'[2]Экон. ОР'!#REF!</definedName>
    <definedName name="ECONOM_OR_TESTPRELOAD" localSheetId="1">'[1]Экон. ОР'!#REF!</definedName>
    <definedName name="ECONOM_OR_TESTPRELOAD">'[2]Экон. ОР'!#REF!</definedName>
    <definedName name="Economic_district_list" localSheetId="1">[1]TECHSHEET!$BL$2:$BL$13</definedName>
    <definedName name="Economic_district_list">[2]TECHSHEET!$BL$2:$BL$13</definedName>
    <definedName name="ECONOMIC_REGION1" localSheetId="1">[1]Налоги!$AU$95</definedName>
    <definedName name="ECONOMIC_REGION1">[2]Налоги!$AU$95</definedName>
    <definedName name="EE_PERIOD" localSheetId="1">'[1]Общие настройки'!$G$60</definedName>
    <definedName name="EE_PERIOD">'[2]Общие настройки'!$G$60</definedName>
    <definedName name="EE_PERIOD_VALUE" localSheetId="1">[1]TECHSHEET!$AU$2:$AU$3</definedName>
    <definedName name="EE_PERIOD_VALUE">[2]TECHSHEET!$AU$2:$AU$3</definedName>
    <definedName name="EE_PRELOAD_TEST_AREA" localSheetId="1">[1]ЭЭ!#REF!</definedName>
    <definedName name="EE_PRELOAD_TEST_AREA">[2]ЭЭ!#REF!</definedName>
    <definedName name="EE_TESTPRELOAD" localSheetId="1">[1]ЭЭ!#REF!</definedName>
    <definedName name="EE_TESTPRELOAD">[2]ЭЭ!#REF!</definedName>
    <definedName name="END_COLUMN_ITOG" localSheetId="1">'ВО-2021-2025'!$DC$71</definedName>
    <definedName name="END_COLUMN_ITOG">'ВС 2021-2025'!$BN$71</definedName>
    <definedName name="END_ROW_ITOG" localSheetId="1">'ВО-2021-2025'!$AA$384</definedName>
    <definedName name="END_ROW_ITOG">'ВС 2021-2025'!$AA$384</definedName>
    <definedName name="ESTIMATE_ADJUSTMENT" localSheetId="1">[1]Смета!$K$94,[1]Смета!$O$94:$P$94,[1]Смета!$K$108,[1]Смета!$O$108,[1]Смета!$P$108,[1]Смета!$P$119:$P$122,[1]Смета!$O$119:$O$122,[1]Смета!$K$119:$K$122,[1]Смета!$P$125,[1]Смета!$O$125,[1]Смета!$K$125,[1]Смета!$P$131:$P$132,[1]Смета!$O$131:$O$132,[1]Смета!$K$131:$K$132,[1]Смета!$P$137:$P$169,[1]Смета!$O$137:$O$169,[1]Смета!$K$137:$K$169,[1]Смета!$K$170,[1]Смета!$O$170:$P$170</definedName>
    <definedName name="ESTIMATE_ADJUSTMENT">[2]Смета!$K$94,[2]Смета!$O$94:$P$94,[2]Смета!$K$108,[2]Смета!$O$108,[2]Смета!$P$108,[2]Смета!$P$119:$P$122,[2]Смета!$O$119:$O$122,[2]Смета!$K$119:$K$122,[2]Смета!$P$125,[2]Смета!$O$125,[2]Смета!$K$125,[2]Смета!$P$131:$P$132,[2]Смета!$O$131:$O$132,[2]Смета!$K$131:$K$132,[2]Смета!$P$137:$P$169,[2]Смета!$O$137:$O$169,[2]Смета!$K$137:$K$169,[2]Смета!$K$170,[2]Смета!$O$170:$P$170</definedName>
    <definedName name="FHD_PRELOAD_TEST_AREA" localSheetId="1">'[1]Анализ ФХД'!#REF!</definedName>
    <definedName name="FHD_PRELOAD_TEST_AREA">'[2]Анализ ФХД'!#REF!</definedName>
    <definedName name="FHD_TESTPRELOAD" localSheetId="1">'[1]Анализ ФХД'!#REF!</definedName>
    <definedName name="FHD_TESTPRELOAD">'[2]Анализ ФХД'!#REF!</definedName>
    <definedName name="FILLING_MODE" localSheetId="1">[1]Титульный!$AD$12</definedName>
    <definedName name="FILLING_MODE">[2]Титульный!$AD$12</definedName>
    <definedName name="FIO_DIRECTOR" localSheetId="1">[1]Титульный!$AD$37</definedName>
    <definedName name="FIO_DIRECTOR">[2]Титульный!$AD$37</definedName>
    <definedName name="FIRST_DATE_IN_LT" localSheetId="1">[1]Титульный!$AD$76</definedName>
    <definedName name="FIRST_DATE_IN_LT">[2]Титульный!$AD$76</definedName>
    <definedName name="FIRST_PERIOD_IN_LT" localSheetId="1">[1]Титульный!$AD$64</definedName>
    <definedName name="FIRST_PERIOD_IN_LT">[2]Титульный!$AD$64</definedName>
    <definedName name="FOT_ON_VD_PRELOAD_TEST_AREA" localSheetId="1">'[1]ФОТ (по ВД)'!#REF!</definedName>
    <definedName name="FOT_ON_VD_PRELOAD_TEST_AREA">'[2]ФОТ (по ВД)'!#REF!</definedName>
    <definedName name="FOT_ON_VD_TESTPRELOAD" localSheetId="1">'[1]ФОТ (по ВД)'!#REF!</definedName>
    <definedName name="FOT_ON_VD_TESTPRELOAD">'[2]ФОТ (по ВД)'!#REF!</definedName>
    <definedName name="FOT_PRELOAD_TEST_AREA" localSheetId="1">[1]ФОТ!#REF!</definedName>
    <definedName name="FOT_PRELOAD_TEST_AREA">[2]ФОТ!#REF!</definedName>
    <definedName name="FOT_TESTPRELOAD" localSheetId="1">[1]ФОТ!#REF!</definedName>
    <definedName name="FOT_TESTPRELOAD">[2]ФОТ!#REF!</definedName>
    <definedName name="FUEL_LIST" localSheetId="1">'[1]Настройка списков'!$F$30:$F$72</definedName>
    <definedName name="FUEL_LIST">'[2]Настройка списков'!$F$30:$F$72</definedName>
    <definedName name="FUEL_PERIOD" localSheetId="1">'[1]Общие настройки'!$G$61</definedName>
    <definedName name="FUEL_PERIOD">'[2]Общие настройки'!$G$61</definedName>
    <definedName name="FUEL_PERIOD_VALUE" localSheetId="1">[1]TECHSHEET!$AU$6:$AU$8</definedName>
    <definedName name="FUEL_PERIOD_VALUE">[2]TECHSHEET!$AU$6:$AU$8</definedName>
    <definedName name="FUEL_PRELOAD_TEST_AREA" localSheetId="1">[1]Топливо!#REF!</definedName>
    <definedName name="FUEL_PRELOAD_TEST_AREA">[2]Топливо!#REF!</definedName>
    <definedName name="FUEL_TESTPRELOAD" localSheetId="1">[1]Топливо!#REF!</definedName>
    <definedName name="FUEL_TESTPRELOAD">[2]Топливо!#REF!</definedName>
    <definedName name="GENERAL_INDICATORS_TESTPRELOAD" localSheetId="1">'[1]Общие показатели'!#REF!</definedName>
    <definedName name="GENERAL_INDICATORS_TESTPRELOAD">'[2]Общие показатели'!#REF!</definedName>
    <definedName name="god" localSheetId="1">[1]Титульный!$AD$14</definedName>
    <definedName name="god">[2]Титульный!$AD$14</definedName>
    <definedName name="god_reagenty" localSheetId="1">[1]TECHSHEET!$DE$2</definedName>
    <definedName name="god_reagenty">[2]TECHSHEET!$DE$2</definedName>
    <definedName name="group_index_1" localSheetId="1">[1]TECHSHEET!$FN$2:$FN$5</definedName>
    <definedName name="group_index_1">[2]TECHSHEET!$FN$2:$FN$5</definedName>
    <definedName name="group_index_2" localSheetId="1">[1]TECHSHEET!$FP$2:$FP$4</definedName>
    <definedName name="group_index_2">[2]TECHSHEET!$FP$2:$FP$4</definedName>
    <definedName name="GUID_VALUE">"NO"</definedName>
    <definedName name="HP_REG_DATA" localSheetId="1">[1]НР!$Z$92:$Z$132,[1]НР!$AD$92:$AD$132,[1]НР!$AH$92:$AH$132,[1]НР!$AL$92:$AL$132</definedName>
    <definedName name="HP_REG_DATA">[2]НР!$Z$92:$Z$132,[2]НР!$AD$92:$AD$132,[2]НР!$AH$92:$AH$132,[2]НР!$AL$92:$AL$132</definedName>
    <definedName name="HTML_Header">"Лист1"</definedName>
    <definedName name="HTML_LineAfter">FALSE</definedName>
    <definedName name="HTML_LineBefore">FALSE</definedName>
    <definedName name="HTML_OBDlg2">TRUE</definedName>
    <definedName name="HTML_OBDlg4">TRUE</definedName>
    <definedName name="HTML_Title">"Климатические зоны Томской области"</definedName>
    <definedName name="IIKA_REG_DATA" localSheetId="1">[1]ИИКА!$W$92:$W$98,[1]ИИКА!$AA$92:$AA$98,[1]ИИКА!$AC$92:$AC$98,[1]ИИКА!$AE$92:$AE$98,[1]ИИКА!$AG$92:$AG$98,[1]ИИКА!$AI$92:$AI$98</definedName>
    <definedName name="IIKA_REG_DATA">[2]ИИКА!$W$92:$W$98,[2]ИИКА!$AA$92:$AA$98,[2]ИИКА!$AC$92:$AC$98,[2]ИИКА!$AE$92:$AE$98,[2]ИИКА!$AG$92:$AG$98,[2]ИИКА!$AI$92:$AI$98</definedName>
    <definedName name="ind_ee_0" localSheetId="1">[1]Индексы!$AK$95</definedName>
    <definedName name="ind_ee_0">[2]Индексы!$AK$95</definedName>
    <definedName name="ind_ee_0_vr" localSheetId="1">[1]Индексы!$AX$95</definedName>
    <definedName name="ind_ee_0_vr">[2]Индексы!$AX$95</definedName>
    <definedName name="ind_ee_1_vr" localSheetId="1">[1]Индексы!$AY$95</definedName>
    <definedName name="ind_ee_1_vr">[2]Индексы!$AY$95</definedName>
    <definedName name="ind_ee_2_vr" localSheetId="1">[1]Индексы!$AZ$95</definedName>
    <definedName name="ind_ee_2_vr">[2]Индексы!$AZ$95</definedName>
    <definedName name="ind_ee_3_vr" localSheetId="1">[1]Индексы!$BA$95</definedName>
    <definedName name="ind_ee_3_vr">[2]Индексы!$BA$95</definedName>
    <definedName name="ind_ee_4_vr" localSheetId="1">[1]Индексы!$BB$95</definedName>
    <definedName name="ind_ee_4_vr">[2]Индексы!$BB$95</definedName>
    <definedName name="ind_ee_m1ozh" localSheetId="1">[1]Индексы!$AJ$95</definedName>
    <definedName name="ind_ee_m1ozh">[2]Индексы!$AJ$95</definedName>
    <definedName name="ind_ee_m1ozh_vr" localSheetId="1">[1]Индексы!$AW$95</definedName>
    <definedName name="ind_ee_m1ozh_vr">[2]Индексы!$AW$95</definedName>
    <definedName name="ind_ipc_0_vr" localSheetId="1">[1]Индексы!$AX$93</definedName>
    <definedName name="ind_ipc_0_vr">[2]Индексы!$AX$93</definedName>
    <definedName name="ind_ipc_1_vr" localSheetId="1">[1]Индексы!$AY$93</definedName>
    <definedName name="ind_ipc_1_vr">[2]Индексы!$AY$93</definedName>
    <definedName name="ind_ipc_2_vr" localSheetId="1">[1]Индексы!$AZ$93</definedName>
    <definedName name="ind_ipc_2_vr">[2]Индексы!$AZ$93</definedName>
    <definedName name="ind_ipc_3_vr" localSheetId="1">[1]Индексы!$BA$93</definedName>
    <definedName name="ind_ipc_3_vr">[2]Индексы!$BA$93</definedName>
    <definedName name="ind_ipc_4_vr" localSheetId="1">[1]Индексы!$BB$93</definedName>
    <definedName name="ind_ipc_4_vr">[2]Индексы!$BB$93</definedName>
    <definedName name="ind_ipc_m1ozh" localSheetId="1">[1]Индексы!$AJ$93</definedName>
    <definedName name="ind_ipc_m1ozh">[2]Индексы!$AJ$93</definedName>
    <definedName name="ind_ipc_m1ozh_vr" localSheetId="1">[1]Индексы!$AW$93</definedName>
    <definedName name="ind_ipc_m1ozh_vr">[2]Индексы!$AW$93</definedName>
    <definedName name="ind_ipc_m2f" localSheetId="1">[1]Индексы!$AH$93</definedName>
    <definedName name="ind_ipc_m2f">[2]Индексы!$AH$93</definedName>
    <definedName name="ind_ipc_m2f_vr" localSheetId="1">[1]Индексы!$AU$93</definedName>
    <definedName name="ind_ipc_m2f_vr">[2]Индексы!$AU$93</definedName>
    <definedName name="INDEX_TESTPRELOAD" localSheetId="1">[1]Индексы!#REF!</definedName>
    <definedName name="INDEX_TESTPRELOAD">[2]Индексы!#REF!</definedName>
    <definedName name="INDEXS_PRELOAD_TEST_AREA" localSheetId="1">[1]Индексы!#REF!</definedName>
    <definedName name="INDEXS_PRELOAD_TEST_AREA">[2]Индексы!#REF!</definedName>
    <definedName name="INDICATORS_PRELOAD_TEST_AREA" localSheetId="1">[1]Показатели!#REF!</definedName>
    <definedName name="INDICATORS_PRELOAD_TEST_AREA">[2]Показатели!#REF!</definedName>
    <definedName name="INDICATORS_TESTPRELOAD" localSheetId="1">[1]Показатели!#REF!</definedName>
    <definedName name="INDICATORS_TESTPRELOAD">[2]Показатели!#REF!</definedName>
    <definedName name="inn" localSheetId="1">[1]Титульный!$AD$25</definedName>
    <definedName name="inn">[2]Титульный!$AD$25</definedName>
    <definedName name="isFIRST_PERIOD" localSheetId="1">[1]Титульный!$AD$62</definedName>
    <definedName name="isFIRST_PERIOD">[2]Титульный!$AD$62</definedName>
    <definedName name="ISSUE_TESTPRELOAD" localSheetId="1">'[1]Отпуск воды'!#REF!</definedName>
    <definedName name="ISSUE_TESTPRELOAD">'[2]Отпуск воды'!#REF!</definedName>
    <definedName name="ISSUE_WATER_PRELOAD_TEST_AREA" localSheetId="1">'[1]Отпуск воды'!#REF!</definedName>
    <definedName name="ISSUE_WATER_PRELOAD_TEST_AREA">'[2]Отпуск воды'!#REF!</definedName>
    <definedName name="ITOG_BASE" localSheetId="1">'ВО-2021-2025'!$107:$383</definedName>
    <definedName name="ITOG_BASE">'ВС 2021-2025'!$107:$383</definedName>
    <definedName name="ITOG_PRELOAD" localSheetId="1">'ВО-2021-2025'!$AD$107:$CO$353</definedName>
    <definedName name="ITOG_PRELOAD">'ВС 2021-2025'!$AD$107:$BA$353</definedName>
    <definedName name="ITOG_PRELOAD_spec1" localSheetId="1">'ВО-2021-2025'!$AD$190:$CO$190</definedName>
    <definedName name="ITOG_PRELOAD_spec1">'ВС 2021-2025'!$AD$190:$BA$190</definedName>
    <definedName name="ITOG_PRELOAD_TEST_AREA" localSheetId="1">'ВО-2021-2025'!#REF!</definedName>
    <definedName name="ITOG_PRELOAD_TEST_AREA">'ВС 2021-2025'!#REF!</definedName>
    <definedName name="ITOG_PRELOAD_WO_ZERO_1" localSheetId="1">'ВО-2021-2025'!$AD$71:$AE$71</definedName>
    <definedName name="ITOG_PRELOAD_WO_ZERO_1">'ВС 2021-2025'!$AD$71:$AE$71</definedName>
    <definedName name="ITOG_PRELOAD_WO_ZERO_2" localSheetId="1">'ВО-2021-2025'!$AF$1:$CO$71</definedName>
    <definedName name="ITOG_PRELOAD_WO_ZERO_2">'ВС 2021-2025'!$AF$1:$BA$71</definedName>
    <definedName name="ITOG_PRELOAD_ZERO_1" localSheetId="1">'ВО-2021-2025'!#REF!</definedName>
    <definedName name="ITOG_PRELOAD_ZERO_1">'ВС 2021-2025'!#REF!</definedName>
    <definedName name="ITOG_START_CELL" localSheetId="1">'ВО-2021-2025'!$Z$71</definedName>
    <definedName name="ITOG_START_CELL">'ВС 2021-2025'!$Z$71</definedName>
    <definedName name="ITOG_TESTPRELOAD" localSheetId="1">'ВО-2021-2025'!#REF!</definedName>
    <definedName name="ITOG_TESTPRELOAD">'ВС 2021-2025'!#REF!</definedName>
    <definedName name="ITOG_vis_flags" localSheetId="1">'ВО-2021-2025'!$A$107:$A$384</definedName>
    <definedName name="ITOG_vis_flags">'ВС 2021-2025'!$A$107:$A$384</definedName>
    <definedName name="ITOG_vis_flags_2" localSheetId="1">'ВО-2021-2025'!$AD$1:$CP$1</definedName>
    <definedName name="ITOG_vis_flags_2">'ВС 2021-2025'!$AD$1:$BA$1</definedName>
    <definedName name="ITOG_vis_flags_3" localSheetId="1">'ВО-2021-2025'!$A$90:$A$106</definedName>
    <definedName name="ITOG_vis_flags_3">'ВС 2021-2025'!$A$90:$A$106</definedName>
    <definedName name="ITOG_vis_reg_flags" localSheetId="1">'ВО-2021-2025'!$AD$2:$DB$2</definedName>
    <definedName name="ITOG_vis_reg_flags">'ВС 2021-2025'!$AD$2:$BM$2</definedName>
    <definedName name="ITOG_vis_reg_flags_3" localSheetId="1">'ВО-2021-2025'!$B$86:$B$108</definedName>
    <definedName name="ITOG_vis_reg_flags_3">'ВС 2021-2025'!$B$86:$B$108</definedName>
    <definedName name="ITOG_vis_reg_flags_4" localSheetId="1">'ВО-2021-2025'!$B$245:$B$384</definedName>
    <definedName name="ITOG_vis_reg_flags_4">'ВС 2021-2025'!$B$245:$B$384</definedName>
    <definedName name="KN_PRELOAD_TEST_AREA" localSheetId="1">'[1]Коэффициент невыходов'!#REF!</definedName>
    <definedName name="KN_PRELOAD_TEST_AREA">'[2]Коэффициент невыходов'!#REF!</definedName>
    <definedName name="KN_TESTPRELOAD" localSheetId="1">'[1]Коэффициент невыходов'!#REF!</definedName>
    <definedName name="KN_TESTPRELOAD">'[2]Коэффициент невыходов'!#REF!</definedName>
    <definedName name="kpp" localSheetId="1">[1]Титульный!$AD$26</definedName>
    <definedName name="kpp">[2]Титульный!$AD$26</definedName>
    <definedName name="LAND_PLOT_PRELOAD_TEST_AREA" localSheetId="1">'[1]Земел. уч.'!#REF!</definedName>
    <definedName name="LAND_PLOT_PRELOAD_TEST_AREA">'[2]Земел. уч.'!#REF!</definedName>
    <definedName name="LAND_PLOT_TESTPRELOAD" localSheetId="1">'[1]Земел. уч.'!#REF!</definedName>
    <definedName name="LAND_PLOT_TESTPRELOAD">'[2]Земел. уч.'!#REF!</definedName>
    <definedName name="limcount">1</definedName>
    <definedName name="LIST_1" localSheetId="1">'[1]Общие настройки'!$G$179:$G$180</definedName>
    <definedName name="LIST_1">'[2]Общие настройки'!$G$179:$G$180</definedName>
    <definedName name="LIST_3" localSheetId="1">'[1]Общие настройки'!$G$185:$G$186</definedName>
    <definedName name="LIST_3">'[2]Общие настройки'!$G$185:$G$186</definedName>
    <definedName name="LIST_4" localSheetId="1">'[1]Общие настройки'!$G$188:$G$189</definedName>
    <definedName name="LIST_4">'[2]Общие настройки'!$G$188:$G$189</definedName>
    <definedName name="LIST_AMORTIZATION" localSheetId="1">[1]TECHSHEET!$EI$2:$EI$3</definedName>
    <definedName name="LIST_AMORTIZATION">[2]TECHSHEET!$EI$2:$EI$3</definedName>
    <definedName name="List_calc_diff_tariff" localSheetId="1">[1]TECHSHEET!$EQ$2:$EQ$3</definedName>
    <definedName name="List_calc_diff_tariff">[2]TECHSHEET!$EQ$2:$EQ$3</definedName>
    <definedName name="LIST_INDEXNUMBERSTAFF" localSheetId="1">[1]TECHSHEET!$S$2:$S$3</definedName>
    <definedName name="LIST_INDEXNUMBERSTAFF">[2]TECHSHEET!$S$2:$S$3</definedName>
    <definedName name="list_method_old" localSheetId="1">[1]Списки!$C$12:$C$15</definedName>
    <definedName name="list_method_old">[2]Списки!$C$12:$C$15</definedName>
    <definedName name="LIST_NAME_OBJECTS" localSheetId="1">[1]Списки!$A$56:$A$114</definedName>
    <definedName name="LIST_NAME_OBJECTS">[2]Списки!$A$57:$A$129</definedName>
    <definedName name="list_operations_amortization" localSheetId="1">[1]TECHSHEET!$CF$2:$CF$7</definedName>
    <definedName name="list_operations_amortization">[2]TECHSHEET!$CF$2:$CF$7</definedName>
    <definedName name="LIST_RIVER1" localSheetId="1">[1]Налоги!$AU$96</definedName>
    <definedName name="LIST_RIVER1">[2]Налоги!$AU$96</definedName>
    <definedName name="list_set_1" localSheetId="1">'[1]Общие настройки'!$H$144:$I$144</definedName>
    <definedName name="list_set_1">'[2]Общие настройки'!$H$144:$I$144</definedName>
    <definedName name="list_STAVKAUSN" localSheetId="1">[1]TECHSHEET!$CY$2:$CY$4</definedName>
    <definedName name="list_STAVKAUSN">[2]TECHSHEET!$CY$2:$CY$4</definedName>
    <definedName name="list_type_facility" localSheetId="1">[1]TECHSHEET!$CB$2:$CB$42</definedName>
    <definedName name="list_type_facility">[2]TECHSHEET!$CB$2:$CB$42</definedName>
    <definedName name="list_type_repair" localSheetId="1">[1]TECHSHEET!$FL$2:$FL$9</definedName>
    <definedName name="list_type_repair">[2]TECHSHEET!$FL$2:$FL$9</definedName>
    <definedName name="LIST_TYPE_TARIFF_VO">[1]TECHSHEET!$M$14:$M$15</definedName>
    <definedName name="LIST_TYPE_TARIFF_VS">[2]TECHSHEET!$L$14:$L$17</definedName>
    <definedName name="list_type_things" localSheetId="1">[1]TECHSHEET!$CD$2:$CD$3</definedName>
    <definedName name="list_type_things">[2]TECHSHEET!$CD$2:$CD$3</definedName>
    <definedName name="list_type_transport" localSheetId="1">[1]TECHSHEET!$BZ$2:$BZ$15</definedName>
    <definedName name="list_type_transport">[2]TECHSHEET!$BZ$2:$BZ$15</definedName>
    <definedName name="LIST_VD" localSheetId="1">[1]TECHSHEET!$EG$2:$EG$11</definedName>
    <definedName name="LIST_VD">[2]TECHSHEET!$EG$2:$EG$11</definedName>
    <definedName name="logic" localSheetId="1">[1]TECHSHEET!$J$2:$J$3</definedName>
    <definedName name="logic">[2]TECHSHEET!$J$2:$J$3</definedName>
    <definedName name="mark" localSheetId="1">[1]TECHSHEET!$E$2</definedName>
    <definedName name="mark">[2]TECHSHEET!$E$2</definedName>
    <definedName name="MATERIALS_PRELOAD_TEST_AREA" localSheetId="1">'[1]Сырье и материалы'!#REF!</definedName>
    <definedName name="MATERIALS_PRELOAD_TEST_AREA">'[2]Сырье и материалы'!#REF!</definedName>
    <definedName name="MATERIALS_TESTPRELOAD" localSheetId="1">'[1]Сырье и материалы'!#REF!</definedName>
    <definedName name="MATERIALS_TESTPRELOAD">'[2]Сырье и материалы'!#REF!</definedName>
    <definedName name="MO_TER" localSheetId="1">[1]Списки!$A$51</definedName>
    <definedName name="MO_TER">[2]Списки!$A$52</definedName>
    <definedName name="MONTH" localSheetId="1">[1]TECHSHEET!$I$3:$I$14</definedName>
    <definedName name="MONTH">[2]TECHSHEET!$I$3:$I$14</definedName>
    <definedName name="MONTHS_PERIOD_LENGTH" localSheetId="1">[1]Титульный!$AD$78</definedName>
    <definedName name="MONTHS_PERIOD_LENGTH">[2]Титульный!$AD$78</definedName>
    <definedName name="NDS" localSheetId="1">[1]Титульный!$AD$44</definedName>
    <definedName name="NDS">[2]Титульный!$AD$44</definedName>
    <definedName name="NORMATIVPERSONAL" localSheetId="1">'[1]Новые списки'!$D$3:$D$82</definedName>
    <definedName name="NORMATIVPERSONAL">'[2]Новые списки'!$D$3:$D$82</definedName>
    <definedName name="OGRN" localSheetId="1">[1]Титульный!$AD$22</definedName>
    <definedName name="OGRN">[2]Титульный!$AD$22</definedName>
    <definedName name="OKATO" localSheetId="1">[1]Титульный!$AD$28</definedName>
    <definedName name="OKATO">[2]Титульный!$AD$28</definedName>
    <definedName name="OKOG" localSheetId="1">[1]Титульный!$AD$29</definedName>
    <definedName name="OKOG">[2]Титульный!$AD$29</definedName>
    <definedName name="OKPO" localSheetId="1">[1]Титульный!$AD$27</definedName>
    <definedName name="OKPO">[2]Титульный!$AD$27</definedName>
    <definedName name="org" localSheetId="1">[1]Титульный!$AD$19</definedName>
    <definedName name="org">[2]Титульный!$AD$19</definedName>
    <definedName name="ORG_FULLNAME" localSheetId="1">[1]Титульный!$AD$18</definedName>
    <definedName name="ORG_FULLNAME">[2]Титульный!$AD$18</definedName>
    <definedName name="OTH_DIRECT_PRELOAD_TEST_AREA" localSheetId="1">'[1]Прочие прямые'!#REF!</definedName>
    <definedName name="OTH_DIRECT_PRELOAD_TEST_AREA">'[2]Прочие прямые'!#REF!</definedName>
    <definedName name="OTHER_STRAIGHT_LIST_TYPE_COSTS" localSheetId="1">[1]TECHSHEET!$AQ$23:$AQ$24</definedName>
    <definedName name="OTHER_STRAIGHT_LIST_TYPE_COSTS">[2]TECHSHEET!$AQ$23:$AQ$24</definedName>
    <definedName name="OTHER_STRAIGHT_LIST_TYPE_COSTS_26_25_23" localSheetId="1">[1]TECHSHEET!$AQ$27:$AQ$30</definedName>
    <definedName name="OTHER_STRAIGHT_LIST_TYPE_COSTS_26_25_23">[2]TECHSHEET!$AQ$27:$AQ$30</definedName>
    <definedName name="OTHER_STRAIGHT_PRELOAD_TEST_AREA" localSheetId="1">'[1]Прочие прямые'!#REF!</definedName>
    <definedName name="OTHER_STRAIGHT_PRELOAD_TEST_AREA">'[2]Прочие прямые'!#REF!</definedName>
    <definedName name="OTHER_STRAIGHT_TESTPRELOAD" localSheetId="1">'[1]Прочие прямые'!#REF!</definedName>
    <definedName name="OTHER_STRAIGHT_TESTPRELOAD">'[2]Прочие прямые'!#REF!</definedName>
    <definedName name="OVERHAUL_1" localSheetId="1">[1]Капремонт!$BA$147</definedName>
    <definedName name="OVERHAUL_1">[2]Капремонт!$BA$173</definedName>
    <definedName name="OVERHAUL_2" localSheetId="1">[1]Капремонт!$BA$216</definedName>
    <definedName name="OVERHAUL_2">[2]Капремонт!$BA$267</definedName>
    <definedName name="OVERHAUL_LIST" localSheetId="1">[1]TECHSHEET!$AR$17:$AR$18</definedName>
    <definedName name="OVERHAUL_LIST">[2]TECHSHEET!$AR$17:$AR$18</definedName>
    <definedName name="OVERHAUL_PRELOAD_TEST_AREA" localSheetId="1">[1]Капремонт!#REF!</definedName>
    <definedName name="OVERHAUL_PRELOAD_TEST_AREA">[2]Капремонт!#REF!</definedName>
    <definedName name="OVERHAUL_TESTPRELOAD" localSheetId="1">[1]Капремонт!#REF!</definedName>
    <definedName name="OVERHAUL_TESTPRELOAD">[2]Капремонт!#REF!</definedName>
    <definedName name="OWNERLESS_TESTPRELOAD" localSheetId="1">[1]Бесхоз!#REF!</definedName>
    <definedName name="OWNERLESS_TESTPRELOAD">[2]Бесхоз!#REF!</definedName>
    <definedName name="OWNERSHIP_TYPE" localSheetId="1">'[1]Новые списки'!$B$3:$B$6</definedName>
    <definedName name="OWNERSHIP_TYPE">'[2]Новые списки'!$B$3:$B$6</definedName>
    <definedName name="PAYMENT_FOR_NEG_PRELOAD_TEST_AREA" localSheetId="1">'[1]Плата за негативное возд'!#REF!</definedName>
    <definedName name="PAYMENT_FOR_NEG_PRELOAD_TEST_AREA">'[2]Плата за негативное возд'!#REF!</definedName>
    <definedName name="PAYMENT_FOR_NEG_TESTPRELOAD" localSheetId="1">'[1]Плата за негативное возд'!#REF!</definedName>
    <definedName name="PAYMENT_FOR_NEG_TESTPRELOAD">'[2]Плата за негативное возд'!#REF!</definedName>
    <definedName name="PAYMENT_SERVICES_PRELOAD_TEST_AREA" localSheetId="1">'[1]Оплата услуг ВО'!#REF!</definedName>
    <definedName name="PAYMENT_SERVICES_PRELOAD_TEST_AREA">'[2]Оплата услуг ВО'!#REF!</definedName>
    <definedName name="PAYMENT_SERVICES_TESTPRELOAD" localSheetId="1">'[1]Оплата услуг ВО'!#REF!</definedName>
    <definedName name="PAYMENT_SERVICES_TESTPRELOAD">'[2]Оплата услуг ВО'!#REF!</definedName>
    <definedName name="PAYMENT_VO_PRELOAD_TEST_AREA" localSheetId="1">'[1]Оплата услуг ВО'!#REF!</definedName>
    <definedName name="PAYMENT_VO_PRELOAD_TEST_AREA">'[2]Оплата услуг ВО'!#REF!</definedName>
    <definedName name="PAYMENT_WATER_PRELOAD_TEST_AREA" localSheetId="1">'[1]Покупка воды'!#REF!</definedName>
    <definedName name="PAYMENT_WATER_PRELOAD_TEST_AREA">'[2]Покупка воды'!#REF!</definedName>
    <definedName name="PAYMENT_WATER_TESTPRELOAD" localSheetId="1">'[1]Покупка воды'!#REF!</definedName>
    <definedName name="PAYMENT_WATER_TESTPRELOAD">'[2]Покупка воды'!#REF!</definedName>
    <definedName name="pbStartPageNumber">1</definedName>
    <definedName name="pbUpdatePageNumbering">TRUE</definedName>
    <definedName name="PERIOD_LENGTH" localSheetId="1">[1]Титульный!$AD$67</definedName>
    <definedName name="PERIOD_LENGTH">[2]Титульный!$AD$67</definedName>
    <definedName name="POSSIBLE_PERIOD_LENGTH" localSheetId="1">'[1]Настройка списков'!$F$7:$F$10</definedName>
    <definedName name="POSSIBLE_PERIOD_LENGTH">'[2]Настройка списков'!$F$7:$F$10</definedName>
    <definedName name="POST_DIRECTOR" localSheetId="1">[1]Титульный!$AD$38</definedName>
    <definedName name="POST_DIRECTOR">[2]Титульный!$AD$38</definedName>
    <definedName name="postav_ee_list" localSheetId="1">[1]Списки!$A$32:$A$34</definedName>
    <definedName name="postav_ee_list">[2]Списки!$A$32:$A$34</definedName>
    <definedName name="PREVIOUS_PERIOD_LENGTH" localSheetId="1">[1]Титульный!$AD$75</definedName>
    <definedName name="PREVIOUS_PERIOD_LENGTH">[2]Титульный!$AD$75</definedName>
    <definedName name="PREVIOUS_REGULATION_METHODS" localSheetId="1">[1]Титульный!$AD$74</definedName>
    <definedName name="PREVIOUS_REGULATION_METHODS">[2]Титульный!$AD$74</definedName>
    <definedName name="PURCHASE_WATER_PRELOAD_TEST_AREA" localSheetId="1">'[1]Покупка воды'!#REF!</definedName>
    <definedName name="PURCHASE_WATER_PRELOAD_TEST_AREA">'[2]Покупка воды'!#REF!</definedName>
    <definedName name="purpose_vo_list" localSheetId="1">[1]TECHSHEET!$BG$2:$BG$8</definedName>
    <definedName name="purpose_vo_list">[2]TECHSHEET!$BG$2:$BG$8</definedName>
    <definedName name="purpose_vs_list" localSheetId="1">[1]TECHSHEET!$BE$2:$BE$7</definedName>
    <definedName name="purpose_vs_list">[2]TECHSHEET!$BE$2:$BE$7</definedName>
    <definedName name="RAW_MATERIAL_PRELOAD_TEST_AREA" localSheetId="1">'[1]Сырье и материалы'!#REF!</definedName>
    <definedName name="RAW_MATERIAL_PRELOAD_TEST_AREA">'[2]Сырье и материалы'!#REF!</definedName>
    <definedName name="razm_predz" localSheetId="1">'[1]Новые списки'!$J$3:$J$4</definedName>
    <definedName name="razm_predz">'[2]Новые списки'!$J$3:$J$4</definedName>
    <definedName name="RC_TESTPRELOAD" localSheetId="1">'[1]Реестр потребителей'!#REF!</definedName>
    <definedName name="RC_TESTPRELOAD">'[2]Реестр потребителей'!#REF!</definedName>
    <definedName name="reagenty_list" localSheetId="1">[1]TECHSHEET!$AT$2:$AT$107</definedName>
    <definedName name="reagenty_list">[2]TECHSHEET!$AT$2:$AT$107</definedName>
    <definedName name="REESTR_CONSUMER_ADDRESS" localSheetId="1">'[1]Реестр потребителей'!$AF$1</definedName>
    <definedName name="REESTR_CONSUMER_ADDRESS">'[2]Реестр потребителей'!$AF$1</definedName>
    <definedName name="REESTR_CONSUMER_filter_columns" localSheetId="1">'[1]Реестр потребителей'!$AB$92:$AG$126,'[1]Реестр потребителей'!$AI$92:$AI$126</definedName>
    <definedName name="REESTR_CONSUMER_filter_columns">'[2]Реестр потребителей'!$AB$92:$AG$128,'[2]Реестр потребителей'!$AI$92:$AI$128</definedName>
    <definedName name="REESTR_CONSUMER_PRELOAD_TEST_AREA" localSheetId="1">'[1]Реестр потребителей'!#REF!</definedName>
    <definedName name="REESTR_CONSUMER_PRELOAD_TEST_AREA">'[2]Реестр потребителей'!#REF!</definedName>
    <definedName name="REG_YEAR" localSheetId="1">[1]TECHSHEET!$N$2:$N$6</definedName>
    <definedName name="REG_YEAR">[2]TECHSHEET!$N$2:$N$6</definedName>
    <definedName name="REGION" localSheetId="1">[1]TECHSHEET!$B$1:$B$85</definedName>
    <definedName name="REGION">[2]TECHSHEET!$B$1:$B$85</definedName>
    <definedName name="region_name" localSheetId="1">[1]Титульный!$AD$11</definedName>
    <definedName name="region_name">[2]Титульный!$AD$11</definedName>
    <definedName name="REGULATION_METHODS" localSheetId="1">[1]Титульный!$AD$63</definedName>
    <definedName name="REGULATION_METHODS">[2]Титульный!$AD$63</definedName>
    <definedName name="RENT_EQUIPMENT_PRELOAD_TEST_AREA" localSheetId="1">[1]Аренда!#REF!</definedName>
    <definedName name="RENT_EQUIPMENT_PRELOAD_TEST_AREA">[2]Аренда!#REF!</definedName>
    <definedName name="RENT_PRELOAD_TEST_AREA" localSheetId="1">[1]Аренда!#REF!</definedName>
    <definedName name="RENT_PRELOAD_TEST_AREA">[2]Аренда!#REF!</definedName>
    <definedName name="RENT_tESTPRELOAD" localSheetId="1">[1]Аренда!#REF!</definedName>
    <definedName name="RENT_tESTPRELOAD">[2]Аренда!#REF!</definedName>
    <definedName name="REPAIRS_PRELOAD_TEST_AREA" localSheetId="1">[1]Текремонт!#REF!</definedName>
    <definedName name="REPAIRS_PRELOAD_TEST_AREA">[2]Текремонт!#REF!</definedName>
    <definedName name="REPAIRS_TESTPRELOAD" localSheetId="1">[1]Текремонт!#REF!</definedName>
    <definedName name="REPAIRS_TESTPRELOAD">[2]Текремонт!#REF!</definedName>
    <definedName name="REPORT_OWNER" localSheetId="1">[1]Титульный!$AD$13</definedName>
    <definedName name="REPORT_OWNER">[2]Титульный!$AD$13</definedName>
    <definedName name="RESALE" localSheetId="1">[1]Тарифы!$AL$87</definedName>
    <definedName name="RESALE">[2]Тарифы!$AL$87</definedName>
    <definedName name="RESOURCE_IDENTIFIER" localSheetId="1">[1]Тарифы!$O$87</definedName>
    <definedName name="RESOURCE_IDENTIFIER">[2]Тарифы!$O$87</definedName>
    <definedName name="rgfsdh" localSheetId="1">MAIN.SAPF4HELP()</definedName>
    <definedName name="rgfsdh">MAIN.SAPF4HELP()</definedName>
    <definedName name="River_list" localSheetId="1">[1]TECHSHEET!$BN$2:$BN$21</definedName>
    <definedName name="River_list">[2]TECHSHEET!$BN$2:$BN$21</definedName>
    <definedName name="SAPBEXrevision">1</definedName>
    <definedName name="SAPBEXsysID">"BW2"</definedName>
    <definedName name="SAPBEXwbID">"479GSPMTNK9HM4ZSIVE5K2SH6"</definedName>
    <definedName name="SBYT_PRELOAD_TEST_AREA" localSheetId="1">[1]Сбыт!#REF!</definedName>
    <definedName name="SBYT_PRELOAD_TEST_AREA">[2]Сбыт!#REF!</definedName>
    <definedName name="SBYT_TESTPRELOAD" localSheetId="1">[1]Сбыт!#REF!</definedName>
    <definedName name="SBYT_TESTPRELOAD">[2]Сбыт!#REF!</definedName>
    <definedName name="sencount">1</definedName>
    <definedName name="SETTING_ADD_EE_BLOCK" localSheetId="1">'[1]Общие настройки'!$G$148</definedName>
    <definedName name="SETTING_ADD_EE_BLOCK">'[2]Общие настройки'!$G$148</definedName>
    <definedName name="SETTING_BASE" localSheetId="1">'[1]Общие настройки'!$G$64</definedName>
    <definedName name="SETTING_BASE">'[2]Общие настройки'!$G$64</definedName>
    <definedName name="SETTING_CALC_EE_EQUIPMENT" localSheetId="1">'[1]Общие настройки'!$G$33</definedName>
    <definedName name="SETTING_CALC_EE_EQUIPMENT">'[2]Общие настройки'!$G$33</definedName>
    <definedName name="SETTING_CALC_JOINTCOST" localSheetId="1">'[1]Общие настройки'!$G$123</definedName>
    <definedName name="SETTING_CALC_JOINTCOST">'[2]Общие настройки'!$G$123</definedName>
    <definedName name="SETTING_COUNT_YEAR_TITLE" localSheetId="1">'[1]Общие настройки'!$G$107</definedName>
    <definedName name="SETTING_COUNT_YEAR_TITLE">'[2]Общие настройки'!$G$107</definedName>
    <definedName name="SETTING_IMPROVEMENTS_PO_NAS" localSheetId="1">'[1]Общие настройки'!$G$42</definedName>
    <definedName name="SETTING_IMPROVEMENTS_PO_NAS">'[2]Общие настройки'!$G$42</definedName>
    <definedName name="SETTING_OTHER_STRAIGHT" localSheetId="1">'[1]Общие настройки'!$G$34</definedName>
    <definedName name="SETTING_OTHER_STRAIGHT">'[2]Общие настройки'!$G$34</definedName>
    <definedName name="SETTING_SEPARATION_EFFLUENTS" localSheetId="1">'[1]Общие настройки'!$G$160</definedName>
    <definedName name="SETTING_SEPARATION_EFFLUENTS">'[2]Общие настройки'!$G$160</definedName>
    <definedName name="SETTING_TECH_WATER_IN_SUPPLY_SOURCES" localSheetId="1">'[1]Общие настройки'!$G$156</definedName>
    <definedName name="SETTING_TECH_WATER_IN_SUPPLY_SOURCES">'[2]Общие настройки'!$G$156</definedName>
    <definedName name="SETTING_TECH_WATER_POPULATION" localSheetId="1">'[1]Общие настройки'!$G$149</definedName>
    <definedName name="SETTING_TECH_WATER_POPULATION">'[2]Общие настройки'!$G$149</definedName>
    <definedName name="SETTING_VIEW_CALC_NALOG" localSheetId="1">'[1]Общие настройки'!$G$66</definedName>
    <definedName name="SETTING_VIEW_CALC_NALOG">'[2]Общие настройки'!$G$66</definedName>
    <definedName name="SETTING_VISIVLE_LIST_OBJECT" localSheetId="1">'[1]Общие настройки'!$G$54</definedName>
    <definedName name="SETTING_VISIVLE_LIST_OBJECT">'[2]Общие настройки'!$G$54</definedName>
    <definedName name="SETTINGS_FOT_othergroup" localSheetId="1">'[1]Общие настройки'!$G$73</definedName>
    <definedName name="SETTINGS_FOT_othergroup">'[2]Общие настройки'!$G$73</definedName>
    <definedName name="settings_god" localSheetId="1">'[1]Общие настройки'!$G$12</definedName>
    <definedName name="settings_god">'[2]Общие настройки'!$G$12</definedName>
    <definedName name="SETTINGS_MONTHS_2017" localSheetId="1">'[1]Общие настройки'!$G$90</definedName>
    <definedName name="SETTINGS_MONTHS_2017">'[2]Общие настройки'!$G$90</definedName>
    <definedName name="SETTINGS_MONTHS_PERIOD_LENGTH" localSheetId="1">'[1]Общие настройки'!$G$68</definedName>
    <definedName name="SETTINGS_MONTHS_PERIOD_LENGTH">'[2]Общие настройки'!$G$68</definedName>
    <definedName name="SETTINGS_OWN_NEEDS_INCLUDE" localSheetId="1">'[1]Общие настройки'!$G$71</definedName>
    <definedName name="SETTINGS_OWN_NEEDS_INCLUDE">'[2]Общие настройки'!$G$71</definedName>
    <definedName name="SETTINGS_REAGENTS_5" localSheetId="1">'[1]Общие настройки'!$G$80</definedName>
    <definedName name="SETTINGS_REAGENTS_5">'[2]Общие настройки'!$G$80</definedName>
    <definedName name="SETTINGS_REAGENTS_BLOCK_2_3" localSheetId="1">'[1]Общие настройки'!$G$70</definedName>
    <definedName name="SETTINGS_REAGENTS_BLOCK_2_3">'[2]Общие настройки'!$G$70</definedName>
    <definedName name="SETTINGS_STATEMENT" localSheetId="1">'[1]Общие настройки'!$G$69</definedName>
    <definedName name="SETTINGS_STATEMENT">'[2]Общие настройки'!$G$69</definedName>
    <definedName name="SHEET_TITLE_REPORT_OWNER_PRELOAD" localSheetId="1">[1]TECHSHEET!$E$4</definedName>
    <definedName name="SHEET_TITLE_REPORT_OWNER_PRELOAD">[2]TECHSHEET!$E$4</definedName>
    <definedName name="SIM_PRELOAD_TEST_AREA" localSheetId="1">'[1]СиМ (детально)'!#REF!</definedName>
    <definedName name="SIM_PRELOAD_TEST_AREA">'[2]СиМ (детально)'!#REF!</definedName>
    <definedName name="SIM_TESTPRELOAD" localSheetId="1">'[1]СиМ (детально)'!#REF!</definedName>
    <definedName name="SIM_TESTPRELOAD">'[2]СиМ (детально)'!#REF!</definedName>
    <definedName name="sphere" localSheetId="1">[1]Титульный!$AD$15</definedName>
    <definedName name="sphere">[2]Титульный!$AD$15</definedName>
    <definedName name="SPHERE_MULTI" localSheetId="1">[1]Тарифы!$AB$87</definedName>
    <definedName name="SPHERE_MULTI">[2]Тарифы!$AB$87</definedName>
    <definedName name="STAFF_PRELOAD_TEST_AREA" localSheetId="1">[1]Персонал!#REF!</definedName>
    <definedName name="STAFF_PRELOAD_TEST_AREA">[2]Персонал!#REF!</definedName>
    <definedName name="STAFF_TESTPRELOAD" localSheetId="1">[1]Персонал!#REF!</definedName>
    <definedName name="STAFF_TESTPRELOAD">[2]Персонал!#REF!</definedName>
    <definedName name="STATE_SHARE" localSheetId="1">'[1]Новые списки'!$A$3:$A$6</definedName>
    <definedName name="STATE_SHARE">'[2]Новые списки'!$A$3:$A$6</definedName>
    <definedName name="SystemSbor" localSheetId="1">[1]TECHSHEET!$L$34:$L$35</definedName>
    <definedName name="SystemSbor">[2]TECHSHEET!$L$34:$L$35</definedName>
    <definedName name="TARIFF_GRID_PRELOAD_TEST_AREA" localSheetId="1">'[1]Тарифная сетка'!#REF!</definedName>
    <definedName name="TARIFF_GRID_PRELOAD_TEST_AREA">'[2]Тарифная сетка'!#REF!</definedName>
    <definedName name="TARIFF_GRID_TESTPRELOAD" localSheetId="1">'[1]Тарифная сетка'!#REF!</definedName>
    <definedName name="TARIFF_GRID_TESTPRELOAD">'[2]Тарифная сетка'!#REF!</definedName>
    <definedName name="tariff_net" localSheetId="1">'[1]Тарифная сетка'!$AA$85:$AD$102</definedName>
    <definedName name="tariff_net">'[2]Тарифная сетка'!$AA$85:$AD$102</definedName>
    <definedName name="TARIFF_PERIOD_PRELOAD_TEST_AREA" localSheetId="1">'[1]Тарифы по периодам'!#REF!</definedName>
    <definedName name="TARIFF_PERIOD_PRELOAD_TEST_AREA">'[2]Тарифы по периодам'!#REF!</definedName>
    <definedName name="TARIFF_PERIOD_TESTPRELOAD" localSheetId="1">'[1]Тарифы по периодам'!#REF!</definedName>
    <definedName name="TARIFF_PERIOD_TESTPRELOAD">'[2]Тарифы по периодам'!#REF!</definedName>
    <definedName name="TARIFF_SPHERE_TYPE_MONO" localSheetId="1">[1]Тарифы!$AC$87</definedName>
    <definedName name="TARIFF_SPHERE_TYPE_MONO">[2]Тарифы!$AC$87</definedName>
    <definedName name="TARIFF_STATUS_GUAR_ORG_MONO" localSheetId="1">[1]Тарифы!$AM$87</definedName>
    <definedName name="TARIFF_STATUS_GUAR_ORG_MONO">[2]Тарифы!$AM$87</definedName>
    <definedName name="TAXES_BASE_1" localSheetId="1">[1]Налоги!$AB$136</definedName>
    <definedName name="TAXES_BASE_1">[2]Налоги!$AB$136</definedName>
    <definedName name="TAXES_PRELOAD_TEST_AREA" localSheetId="1">[1]Налоги!#REF!</definedName>
    <definedName name="TAXES_PRELOAD_TEST_AREA">[2]Налоги!#REF!</definedName>
    <definedName name="TAXES_TESTPRELOAD" localSheetId="1">[1]Налоги!#REF!</definedName>
    <definedName name="TAXES_TESTPRELOAD">[2]Налоги!#REF!</definedName>
    <definedName name="TE_PRELOAD_TEST_AREA" localSheetId="1">[1]ТЭ!#REF!</definedName>
    <definedName name="TE_PRELOAD_TEST_AREA">[2]ТЭ!#REF!</definedName>
    <definedName name="TE_TESTPRELOAD" localSheetId="1">[1]ТЭ!#REF!</definedName>
    <definedName name="TE_TESTPRELOAD">[2]ТЭ!#REF!</definedName>
    <definedName name="TEK_REM_PRELOAD_TEST_AREA" localSheetId="1">[1]Текремонт!#REF!</definedName>
    <definedName name="TEK_REM_PRELOAD_TEST_AREA">[2]Текремонт!#REF!</definedName>
    <definedName name="TEMPLATE_SPHERE" localSheetId="1">[1]Тарифы!$Q$87</definedName>
    <definedName name="TEMPLATE_SPHERE">[2]Тарифы!$Q$87</definedName>
    <definedName name="TEMPLATE_SPHERE_CODE" localSheetId="1">[1]Тарифы!$P$87</definedName>
    <definedName name="TEMPLATE_SPHERE_CODE">[2]Тарифы!$P$87</definedName>
    <definedName name="TERR_PRELOAD_TEST_AREA" localSheetId="1">'[1]Земел. уч.'!#REF!</definedName>
    <definedName name="TERR_PRELOAD_TEST_AREA">'[2]Земел. уч.'!#REF!</definedName>
    <definedName name="TH_PRELOAD_TEST_AREA" localSheetId="1">[1]ТН!#REF!</definedName>
    <definedName name="TH_PRELOAD_TEST_AREA">[2]ТН!#REF!</definedName>
    <definedName name="TN_PRELOAD_TEST_AREA" localSheetId="1">[1]ТН!#REF!</definedName>
    <definedName name="TN_PRELOAD_TEST_AREA">[2]ТН!#REF!</definedName>
    <definedName name="TN_TESTPRELOAD" localSheetId="1">[1]ТН!#REF!</definedName>
    <definedName name="TN_TESTPRELOAD">[2]ТН!#REF!</definedName>
    <definedName name="TOTAL" localSheetId="1">P1_TOTAL,P2_TOTAL,P3_TOTAL,P4_TOTAL,P5_TOTAL</definedName>
    <definedName name="TOTAL">P1_TOTAL,P2_TOTAL,P3_TOTAL,P4_TOTAL,P5_TOTAL</definedName>
    <definedName name="TRANSPORT_PRELOAD_TEST_AREA" localSheetId="1">[1]Транспортировка!#REF!</definedName>
    <definedName name="TRANSPORT_PRELOAD_TEST_AREA">[2]Транспортировка!#REF!</definedName>
    <definedName name="TRANSPORTATION_PRELOAD_TEST_AREA" localSheetId="1">[1]Транспортировка!#REF!</definedName>
    <definedName name="TRANSPORTATION_PRELOAD_TEST_AREA">[2]Транспортировка!#REF!</definedName>
    <definedName name="TRANSPORTATION_TESTPRELOAD" localSheetId="1">[1]Транспортировка!#REF!</definedName>
    <definedName name="TRANSPORTATION_TESTPRELOAD">[2]Транспортировка!#REF!</definedName>
    <definedName name="TYPE" localSheetId="1">[1]Титульный!$AD$72</definedName>
    <definedName name="TYPE">[2]Титульный!$AD$72</definedName>
    <definedName name="type_ground" localSheetId="1">[1]TECHSHEET!$DK$2:$DK$9</definedName>
    <definedName name="type_ground">[2]TECHSHEET!$DK$2:$DK$9</definedName>
    <definedName name="TYPE_KOR_YEAR" localSheetId="1">[1]Титульный!$AD$73</definedName>
    <definedName name="TYPE_KOR_YEAR">[2]Титульный!$AD$73</definedName>
    <definedName name="type_list_dover1" localSheetId="1">[1]TECHSHEET!$CV$2:$CV$3</definedName>
    <definedName name="type_list_dover1">[2]TECHSHEET!$CV$2:$CV$3</definedName>
    <definedName name="type_list_nalog" localSheetId="1">[1]TECHSHEET!$CJ$2:$CJ$7</definedName>
    <definedName name="type_list_nalog">[2]TECHSHEET!$CJ$2:$CJ$7</definedName>
    <definedName name="type_list_NALOGBASEUSN" localSheetId="1">[1]TECHSHEET!$CX$2:$CX$4</definedName>
    <definedName name="type_list_NALOGBASEUSN">[2]TECHSHEET!$CX$2:$CX$4</definedName>
    <definedName name="type_list_personal" localSheetId="1">[1]TECHSHEET!$CP$2:$CP$8</definedName>
    <definedName name="type_list_personal">[2]TECHSHEET!$CP$2:$CP$8</definedName>
    <definedName name="type_list_toplivoauto" localSheetId="1">[1]TECHSHEET!$CT$2:$CT$5</definedName>
    <definedName name="type_list_toplivoauto">[2]TECHSHEET!$CT$2:$CT$5</definedName>
    <definedName name="TYPE_MATERIALS_CON_METERS_LIST" localSheetId="1">[1]TECHSHEET!$BI$2:$BI$15</definedName>
    <definedName name="TYPE_MATERIALS_CON_METERS_LIST">[2]TECHSHEET!$BI$2:$BI$15</definedName>
    <definedName name="type_rashod_list" localSheetId="1">[1]TECHSHEET!$BP$2:$BP$4</definedName>
    <definedName name="type_rashod_list">[2]TECHSHEET!$BP$2:$BP$4</definedName>
    <definedName name="type_station_DELETE" localSheetId="1">[1]TECHSHEET!$AY$14:$AY$24</definedName>
    <definedName name="type_station_DELETE">[2]TECHSHEET!$AY$14:$AY$24</definedName>
    <definedName name="UPD_ORG" localSheetId="1">[1]TECHSHEET!$E$6</definedName>
    <definedName name="UPD_ORG">[2]TECHSHEET!$E$6</definedName>
    <definedName name="VDET_MONO" localSheetId="1">[1]Тарифы!$AE$87</definedName>
    <definedName name="VDET_MONO">[2]Тарифы!$AE$87</definedName>
    <definedName name="version_PP" localSheetId="1">[1]TECHSHEET!$DG$2:$DG$3</definedName>
    <definedName name="version_PP">[2]TECHSHEET!$DG$2:$DG$3</definedName>
    <definedName name="VOLTAGE_LEVEL_ONE" localSheetId="1">[1]TECHSHEET!$W$29:$W$33</definedName>
    <definedName name="VOLTAGE_LEVEL_ONE">[2]TECHSHEET!$W$29:$W$33</definedName>
    <definedName name="VOLTAGE_LEVEL_TWO" localSheetId="1">[1]TECHSHEET!$W$36:$W$40</definedName>
    <definedName name="VOLTAGE_LEVEL_TWO">[2]TECHSHEET!$W$36:$W$40</definedName>
    <definedName name="VOLUME_METHOD_TESTPRELOAD" localSheetId="1">'[1]Объемы по методике'!#REF!</definedName>
    <definedName name="VOLUME_METHOD_TESTPRELOAD">'[2]Объемы по методике'!#REF!</definedName>
    <definedName name="VOTV_DIFF_TARIFF_LIST" localSheetId="1">[1]TECHSHEET!$O$2:$O$8</definedName>
    <definedName name="VOTV_DIFF_TARIFF_LIST">[2]TECHSHEET!$O$2:$O$8</definedName>
    <definedName name="WASTEWATER_PRELOAD_TEST_AREA" localSheetId="1">'[1]Объемы ВО'!#REF!</definedName>
    <definedName name="WASTEWATER_PRELOAD_TEST_AREA">'[2]Объемы ВО'!#REF!</definedName>
    <definedName name="WASTEWATER_TESTPRELOAD" localSheetId="1">'[1]Объемы ВО'!#REF!</definedName>
    <definedName name="WASTEWATER_TESTPRELOAD">'[2]Объемы ВО'!#REF!</definedName>
    <definedName name="YEAR" localSheetId="1">[1]TECHSHEET!$H$5:$H$11</definedName>
    <definedName name="YEAR">[2]TECHSHEET!$H$5:$H$11</definedName>
    <definedName name="График">"Диагр. 4"</definedName>
  </definedNames>
  <calcPr calcId="145621"/>
</workbook>
</file>

<file path=xl/calcChain.xml><?xml version="1.0" encoding="utf-8"?>
<calcChain xmlns="http://schemas.openxmlformats.org/spreadsheetml/2006/main">
  <c r="AO352" i="5" l="1"/>
  <c r="AO351" i="5"/>
  <c r="AO350" i="5"/>
  <c r="CP21" i="5" l="1" a="1"/>
  <c r="CP21" i="5"/>
  <c r="CP2" i="5" s="1" a="1"/>
  <c r="CP2" i="5" s="1"/>
  <c r="CP9" i="5" l="1" a="1"/>
  <c r="CP9" i="5" s="1"/>
  <c r="CP8" i="5" a="1"/>
  <c r="CP8" i="5" s="1"/>
  <c r="CP5" i="5" a="1"/>
  <c r="CP5" i="5" s="1"/>
  <c r="CP1" i="5" a="1"/>
  <c r="CP1" i="5" s="1"/>
  <c r="CP6" i="5" a="1"/>
  <c r="CP6" i="5" s="1"/>
  <c r="CT371" i="5"/>
  <c r="AA371" i="5"/>
  <c r="B371" i="5"/>
  <c r="AY349" i="5"/>
  <c r="AR349" i="5"/>
  <c r="AI349" i="5"/>
  <c r="AU348" i="5" a="1"/>
  <c r="AU348" i="5" s="1"/>
  <c r="AN348" i="5" a="1"/>
  <c r="AN348" i="5" s="1"/>
  <c r="AU347" i="5" a="1"/>
  <c r="AU347" i="5" s="1"/>
  <c r="AN347" i="5" a="1"/>
  <c r="AN347" i="5" s="1"/>
  <c r="G345" i="5" a="1"/>
  <c r="G345" i="5" s="1"/>
  <c r="A345" i="5"/>
  <c r="B345" i="5" s="1" a="1"/>
  <c r="B345" i="5" s="1"/>
  <c r="G344" i="5" a="1"/>
  <c r="G344" i="5" s="1"/>
  <c r="A344" i="5"/>
  <c r="B344" i="5" s="1" a="1"/>
  <c r="B344" i="5" s="1"/>
  <c r="G343" i="5" a="1"/>
  <c r="G343" i="5" s="1"/>
  <c r="G342" i="5" a="1"/>
  <c r="G342" i="5" s="1"/>
  <c r="G341" i="5" a="1"/>
  <c r="G341" i="5" s="1"/>
  <c r="CU339" i="5"/>
  <c r="CU339" i="5" a="1"/>
  <c r="CO339" i="5"/>
  <c r="CN339" i="5"/>
  <c r="CG339" i="5"/>
  <c r="CF339" i="5"/>
  <c r="BY339" i="5"/>
  <c r="BX339" i="5"/>
  <c r="BQ339" i="5"/>
  <c r="BP339" i="5"/>
  <c r="BH339" i="5"/>
  <c r="AY339" i="5" a="1"/>
  <c r="AY339" i="5" s="1"/>
  <c r="BI339" i="5" s="1"/>
  <c r="AU339" i="5" a="1"/>
  <c r="AU339" i="5" s="1"/>
  <c r="AR339" i="5" a="1"/>
  <c r="AR339" i="5" s="1"/>
  <c r="BG339" i="5" s="1"/>
  <c r="AN339" i="5" a="1"/>
  <c r="AN339" i="5" s="1"/>
  <c r="AI339" i="5" a="1"/>
  <c r="AI339" i="5" s="1"/>
  <c r="CU338" i="5" a="1"/>
  <c r="CU338" i="5" s="1"/>
  <c r="CO338" i="5"/>
  <c r="CN338" i="5"/>
  <c r="CG338" i="5"/>
  <c r="CF338" i="5"/>
  <c r="BY338" i="5"/>
  <c r="BX338" i="5"/>
  <c r="BQ338" i="5"/>
  <c r="BP338" i="5"/>
  <c r="BH338" i="5"/>
  <c r="AY338" i="5" a="1"/>
  <c r="AY338" i="5" s="1"/>
  <c r="BI338" i="5" s="1"/>
  <c r="AU338" i="5" a="1"/>
  <c r="AU338" i="5" s="1"/>
  <c r="AR338" i="5" a="1"/>
  <c r="AR338" i="5" s="1"/>
  <c r="BG338" i="5" s="1"/>
  <c r="AN338" i="5" a="1"/>
  <c r="AN338" i="5" s="1"/>
  <c r="AI338" i="5" a="1"/>
  <c r="AI338" i="5" s="1"/>
  <c r="CT338" i="5" s="1"/>
  <c r="CU337" i="5" a="1"/>
  <c r="CU337" i="5" s="1"/>
  <c r="CO337" i="5"/>
  <c r="CN337" i="5"/>
  <c r="CG337" i="5"/>
  <c r="CF337" i="5"/>
  <c r="BY337" i="5"/>
  <c r="BX337" i="5"/>
  <c r="BQ337" i="5"/>
  <c r="BP337" i="5"/>
  <c r="BI337" i="5"/>
  <c r="BH337" i="5"/>
  <c r="BG337" i="5"/>
  <c r="AU337" i="5" a="1"/>
  <c r="AU337" i="5" s="1"/>
  <c r="AN337" i="5" a="1"/>
  <c r="AN337" i="5" s="1"/>
  <c r="AI337" i="5" a="1"/>
  <c r="AI337" i="5" s="1"/>
  <c r="CU336" i="5" a="1"/>
  <c r="CU336" i="5" s="1"/>
  <c r="CO336" i="5"/>
  <c r="CN336" i="5"/>
  <c r="CG336" i="5"/>
  <c r="CF336" i="5"/>
  <c r="BY336" i="5"/>
  <c r="BX336" i="5"/>
  <c r="BQ336" i="5"/>
  <c r="BP336" i="5"/>
  <c r="BH336" i="5"/>
  <c r="BG336" i="5"/>
  <c r="AY336" i="5" a="1"/>
  <c r="AY336" i="5" s="1"/>
  <c r="BI336" i="5" s="1"/>
  <c r="AU336" i="5" a="1"/>
  <c r="AU336" i="5" s="1"/>
  <c r="AN336" i="5" a="1"/>
  <c r="AN336" i="5" s="1"/>
  <c r="AI336" i="5" a="1"/>
  <c r="AI336" i="5" s="1"/>
  <c r="CU335" i="5" a="1"/>
  <c r="CU335" i="5" s="1"/>
  <c r="CO335" i="5"/>
  <c r="CN335" i="5"/>
  <c r="CG335" i="5"/>
  <c r="CF335" i="5"/>
  <c r="BY335" i="5"/>
  <c r="BX335" i="5"/>
  <c r="BQ335" i="5"/>
  <c r="BP335" i="5"/>
  <c r="BH335" i="5"/>
  <c r="AY335" i="5" a="1"/>
  <c r="AY335" i="5" s="1"/>
  <c r="BI335" i="5" s="1"/>
  <c r="AU335" i="5" a="1"/>
  <c r="AU335" i="5" s="1"/>
  <c r="AR335" i="5" a="1"/>
  <c r="AR335" i="5" s="1"/>
  <c r="BG335" i="5" s="1"/>
  <c r="AN335" i="5" a="1"/>
  <c r="AN335" i="5" s="1"/>
  <c r="AI335" i="5" a="1"/>
  <c r="AI335" i="5" s="1"/>
  <c r="CU334" i="5" a="1"/>
  <c r="CU334" i="5" s="1"/>
  <c r="CO334" i="5"/>
  <c r="CN334" i="5"/>
  <c r="CG334" i="5"/>
  <c r="CF334" i="5"/>
  <c r="BY334" i="5"/>
  <c r="BX334" i="5"/>
  <c r="BQ334" i="5"/>
  <c r="BP334" i="5"/>
  <c r="BH334" i="5"/>
  <c r="BG334" i="5"/>
  <c r="AY334" i="5" a="1"/>
  <c r="AY334" i="5" s="1"/>
  <c r="BI334" i="5" s="1"/>
  <c r="AU334" i="5" a="1"/>
  <c r="AU334" i="5" s="1"/>
  <c r="AN334" i="5"/>
  <c r="AN334" i="5" a="1"/>
  <c r="AI334" i="5" a="1"/>
  <c r="AI334" i="5" s="1"/>
  <c r="A330" i="5"/>
  <c r="A331" i="5" s="1" a="1"/>
  <c r="A331" i="5" s="1"/>
  <c r="CK329" i="5" a="1"/>
  <c r="CK329" i="5" s="1"/>
  <c r="CO329" i="5" s="1"/>
  <c r="CC329" i="5" a="1"/>
  <c r="CC329" i="5" s="1"/>
  <c r="CG329" i="5" s="1"/>
  <c r="BU329" i="5" a="1"/>
  <c r="BU329" i="5" s="1"/>
  <c r="BY329" i="5" s="1"/>
  <c r="BM329" i="5" a="1"/>
  <c r="BM329" i="5" s="1"/>
  <c r="BQ329" i="5" s="1"/>
  <c r="BD329" i="5" a="1"/>
  <c r="BD329" i="5" s="1"/>
  <c r="BH329" i="5" s="1"/>
  <c r="AU329" i="5" a="1"/>
  <c r="AU329" i="5" s="1"/>
  <c r="AN329" i="5" a="1"/>
  <c r="AN329" i="5" s="1"/>
  <c r="CT329" i="5" s="1"/>
  <c r="A329" i="5"/>
  <c r="B329" i="5" s="1" a="1"/>
  <c r="B329" i="5" s="1"/>
  <c r="CK328" i="5" a="1"/>
  <c r="CK328" i="5" s="1"/>
  <c r="CC328" i="5" a="1"/>
  <c r="CC328" i="5" s="1"/>
  <c r="BU328" i="5" a="1"/>
  <c r="BU328" i="5" s="1"/>
  <c r="CF328" i="5" s="1"/>
  <c r="BM328" i="5" a="1"/>
  <c r="BM328" i="5" s="1"/>
  <c r="BD328" i="5" a="1"/>
  <c r="BD328" i="5" s="1"/>
  <c r="AY328" i="5" a="1"/>
  <c r="AY328" i="5" s="1"/>
  <c r="AU328" i="5" a="1"/>
  <c r="AU328" i="5" s="1"/>
  <c r="AN328" i="5" a="1"/>
  <c r="AN328" i="5" s="1"/>
  <c r="CT328" i="5" s="1"/>
  <c r="CO327" i="5"/>
  <c r="CN327" i="5"/>
  <c r="CG327" i="5"/>
  <c r="CF327" i="5"/>
  <c r="BY327" i="5"/>
  <c r="BX327" i="5"/>
  <c r="BQ327" i="5"/>
  <c r="AY327" i="5" a="1"/>
  <c r="AY327" i="5" s="1"/>
  <c r="AU327" i="5" a="1"/>
  <c r="AU327" i="5" s="1"/>
  <c r="AR327" i="5" a="1"/>
  <c r="AR327" i="5" s="1"/>
  <c r="BG327" i="5" s="1"/>
  <c r="AN327" i="5" a="1"/>
  <c r="AN327" i="5" s="1"/>
  <c r="CT327" i="5" s="1"/>
  <c r="CU326" i="5" a="1"/>
  <c r="CU326" i="5" s="1"/>
  <c r="CO326" i="5"/>
  <c r="CN326" i="5"/>
  <c r="CG326" i="5"/>
  <c r="CF326" i="5"/>
  <c r="BY326" i="5"/>
  <c r="BX326" i="5"/>
  <c r="BQ326" i="5"/>
  <c r="BP326" i="5"/>
  <c r="BH326" i="5"/>
  <c r="AY326" i="5" a="1"/>
  <c r="AY326" i="5" s="1"/>
  <c r="BI326" i="5" s="1"/>
  <c r="AU326" i="5" a="1"/>
  <c r="AU326" i="5" s="1"/>
  <c r="AR326" i="5" a="1"/>
  <c r="AR326" i="5" s="1"/>
  <c r="BG326" i="5" s="1"/>
  <c r="AN326" i="5" a="1"/>
  <c r="AN326" i="5" s="1"/>
  <c r="AI326" i="5" a="1"/>
  <c r="AI326" i="5" s="1"/>
  <c r="BD324" i="5" s="1"/>
  <c r="CU325" i="5" a="1"/>
  <c r="CU325" i="5" s="1"/>
  <c r="CO325" i="5"/>
  <c r="CN325" i="5"/>
  <c r="CG325" i="5"/>
  <c r="CF325" i="5"/>
  <c r="BY325" i="5"/>
  <c r="BX325" i="5"/>
  <c r="BQ325" i="5"/>
  <c r="BP325" i="5"/>
  <c r="BH325" i="5"/>
  <c r="AY325" i="5" a="1"/>
  <c r="AY325" i="5" s="1"/>
  <c r="BI325" i="5" s="1"/>
  <c r="AU325" i="5" a="1"/>
  <c r="AU325" i="5" s="1"/>
  <c r="AR325" i="5" a="1"/>
  <c r="AR325" i="5" s="1"/>
  <c r="BG325" i="5" s="1"/>
  <c r="AN325" i="5" a="1"/>
  <c r="AN325" i="5" s="1"/>
  <c r="AI325" i="5" a="1"/>
  <c r="AI325" i="5" s="1"/>
  <c r="CO324" i="5"/>
  <c r="CN324" i="5"/>
  <c r="CG324" i="5"/>
  <c r="CF324" i="5"/>
  <c r="BY324" i="5"/>
  <c r="BX324" i="5"/>
  <c r="BQ324" i="5"/>
  <c r="AU324" i="5" a="1"/>
  <c r="AU324" i="5" s="1"/>
  <c r="AR324" i="5" a="1"/>
  <c r="AR324" i="5" s="1"/>
  <c r="AN324" i="5" a="1"/>
  <c r="AN324" i="5" s="1"/>
  <c r="AI324" i="5" a="1"/>
  <c r="AI324" i="5" s="1"/>
  <c r="CO323" i="5"/>
  <c r="CN323" i="5"/>
  <c r="CG323" i="5"/>
  <c r="CF323" i="5"/>
  <c r="BY323" i="5"/>
  <c r="BX323" i="5"/>
  <c r="BQ323" i="5"/>
  <c r="AY323" i="5" a="1"/>
  <c r="AY323" i="5" s="1"/>
  <c r="AU323" i="5" a="1"/>
  <c r="AU323" i="5" s="1"/>
  <c r="AR323" i="5" a="1"/>
  <c r="AR323" i="5" s="1"/>
  <c r="BG323" i="5" s="1"/>
  <c r="AN323" i="5" a="1"/>
  <c r="AN323" i="5" s="1"/>
  <c r="AI323" i="5" a="1"/>
  <c r="AI323" i="5" s="1"/>
  <c r="CO322" i="5"/>
  <c r="CN322" i="5"/>
  <c r="CG322" i="5"/>
  <c r="CF322" i="5"/>
  <c r="BY322" i="5"/>
  <c r="BX322" i="5"/>
  <c r="BQ322" i="5"/>
  <c r="AY322" i="5"/>
  <c r="AY322" i="5" a="1"/>
  <c r="AU322" i="5" a="1"/>
  <c r="AU322" i="5" s="1"/>
  <c r="AR322" i="5" a="1"/>
  <c r="AR322" i="5" s="1"/>
  <c r="BG322" i="5" s="1"/>
  <c r="AN322" i="5" a="1"/>
  <c r="AN322" i="5" s="1"/>
  <c r="AI322" i="5"/>
  <c r="AI322" i="5" a="1"/>
  <c r="CU321" i="5" a="1"/>
  <c r="CU321" i="5" s="1"/>
  <c r="CO321" i="5"/>
  <c r="CN321" i="5"/>
  <c r="CG321" i="5"/>
  <c r="CF321" i="5"/>
  <c r="BY321" i="5"/>
  <c r="BX321" i="5"/>
  <c r="BQ321" i="5"/>
  <c r="BP321" i="5"/>
  <c r="BH321" i="5"/>
  <c r="AY321" i="5" a="1"/>
  <c r="AY321" i="5" s="1"/>
  <c r="BI321" i="5" s="1"/>
  <c r="AU321" i="5" a="1"/>
  <c r="AU321" i="5" s="1"/>
  <c r="AR321" i="5" a="1"/>
  <c r="AR321" i="5" s="1"/>
  <c r="BG321" i="5" s="1"/>
  <c r="AN321" i="5" a="1"/>
  <c r="AN321" i="5" s="1"/>
  <c r="AI321" i="5" a="1"/>
  <c r="AI321" i="5" s="1"/>
  <c r="CH320" i="5"/>
  <c r="BZ320" i="5"/>
  <c r="BR320" i="5"/>
  <c r="BJ320" i="5"/>
  <c r="AI320" i="5"/>
  <c r="A320" i="5"/>
  <c r="CU319" i="5" a="1"/>
  <c r="CU319" i="5" s="1"/>
  <c r="CN319" i="5"/>
  <c r="CF319" i="5"/>
  <c r="BX319" i="5"/>
  <c r="BP319" i="5"/>
  <c r="AY318" i="5" a="1"/>
  <c r="AY318" i="5" s="1"/>
  <c r="AR318" i="5" a="1"/>
  <c r="AR318" i="5" s="1"/>
  <c r="BG318" i="5" s="1"/>
  <c r="AI318" i="5" a="1"/>
  <c r="AI318" i="5" s="1"/>
  <c r="A315" i="5"/>
  <c r="B315" i="5" s="1" a="1"/>
  <c r="B315" i="5" s="1"/>
  <c r="CU314" i="5" a="1"/>
  <c r="CU314" i="5" s="1"/>
  <c r="CO314" i="5"/>
  <c r="CN314" i="5"/>
  <c r="CG314" i="5"/>
  <c r="CF314" i="5"/>
  <c r="BY314" i="5"/>
  <c r="BX314" i="5"/>
  <c r="BQ314" i="5"/>
  <c r="BP314" i="5"/>
  <c r="BI314" i="5"/>
  <c r="BG314" i="5"/>
  <c r="AU314" i="5" a="1"/>
  <c r="AU314" i="5" s="1"/>
  <c r="AN314" i="5" a="1"/>
  <c r="AN314" i="5" s="1"/>
  <c r="CT314" i="5" s="1"/>
  <c r="CU313" i="5" a="1"/>
  <c r="CU313" i="5" s="1"/>
  <c r="CO313" i="5"/>
  <c r="CN313" i="5"/>
  <c r="CG313" i="5"/>
  <c r="CF313" i="5"/>
  <c r="BY313" i="5"/>
  <c r="BX313" i="5"/>
  <c r="BQ313" i="5"/>
  <c r="BP313" i="5"/>
  <c r="BH313" i="5"/>
  <c r="AY313" i="5" a="1"/>
  <c r="AY313" i="5" s="1"/>
  <c r="BI313" i="5" s="1"/>
  <c r="AU313" i="5" a="1"/>
  <c r="AU313" i="5" s="1"/>
  <c r="AR313" i="5" a="1"/>
  <c r="AR313" i="5" s="1"/>
  <c r="BG313" i="5" s="1"/>
  <c r="AN313" i="5" a="1"/>
  <c r="AN313" i="5" s="1"/>
  <c r="AI313" i="5" a="1"/>
  <c r="AI313" i="5" s="1"/>
  <c r="CT313" i="5" s="1"/>
  <c r="CU312" i="5" a="1"/>
  <c r="CU312" i="5" s="1"/>
  <c r="CO312" i="5"/>
  <c r="CN312" i="5"/>
  <c r="CG312" i="5"/>
  <c r="CF312" i="5"/>
  <c r="BY312" i="5"/>
  <c r="BX312" i="5"/>
  <c r="BQ312" i="5"/>
  <c r="BP312" i="5"/>
  <c r="BH312" i="5"/>
  <c r="AY312" i="5" a="1"/>
  <c r="AY312" i="5" s="1"/>
  <c r="BI312" i="5" s="1"/>
  <c r="AU312" i="5" a="1"/>
  <c r="AU312" i="5" s="1"/>
  <c r="AR312" i="5" a="1"/>
  <c r="AR312" i="5" s="1"/>
  <c r="BG312" i="5" s="1"/>
  <c r="AN312" i="5" a="1"/>
  <c r="AN312" i="5" s="1"/>
  <c r="AI312" i="5" a="1"/>
  <c r="AI312" i="5" s="1"/>
  <c r="CU311" i="5" a="1"/>
  <c r="CU311" i="5" s="1"/>
  <c r="CO311" i="5"/>
  <c r="CN311" i="5"/>
  <c r="CG311" i="5"/>
  <c r="CF311" i="5"/>
  <c r="BY311" i="5"/>
  <c r="BX311" i="5"/>
  <c r="BQ311" i="5"/>
  <c r="BP311" i="5"/>
  <c r="BH311" i="5"/>
  <c r="AY311" i="5" a="1"/>
  <c r="AY311" i="5" s="1"/>
  <c r="AU311" i="5" a="1"/>
  <c r="AU311" i="5" s="1"/>
  <c r="AR311" i="5" a="1"/>
  <c r="AR311" i="5" s="1"/>
  <c r="BG311" i="5" s="1"/>
  <c r="AN311" i="5"/>
  <c r="AN310" i="5" s="1"/>
  <c r="AN311" i="5" a="1"/>
  <c r="AI311" i="5" a="1"/>
  <c r="AI311" i="5" s="1"/>
  <c r="AI310" i="5" s="1"/>
  <c r="CK310" i="5"/>
  <c r="CK309" i="5" s="1"/>
  <c r="CH310" i="5"/>
  <c r="CH309" i="5" s="1"/>
  <c r="CC310" i="5"/>
  <c r="BZ310" i="5"/>
  <c r="BZ309" i="5" s="1"/>
  <c r="BU310" i="5"/>
  <c r="CF310" i="5" s="1"/>
  <c r="BR310" i="5"/>
  <c r="BR309" i="5" s="1"/>
  <c r="BM310" i="5"/>
  <c r="BX310" i="5" s="1"/>
  <c r="BJ310" i="5"/>
  <c r="BJ309" i="5" s="1"/>
  <c r="BD310" i="5"/>
  <c r="BU309" i="5"/>
  <c r="CF309" i="5" s="1"/>
  <c r="BM309" i="5"/>
  <c r="BX309" i="5" s="1"/>
  <c r="AY307" i="5" a="1"/>
  <c r="AY307" i="5" s="1"/>
  <c r="AR307" i="5" a="1"/>
  <c r="AR307" i="5" s="1"/>
  <c r="BG307" i="5" s="1"/>
  <c r="AI307" i="5" a="1"/>
  <c r="AI307" i="5" s="1"/>
  <c r="AY306" i="5" a="1"/>
  <c r="AY306" i="5" s="1"/>
  <c r="AR306" i="5" a="1"/>
  <c r="AR306" i="5" s="1"/>
  <c r="BG306" i="5" s="1"/>
  <c r="AI306" i="5" a="1"/>
  <c r="AI306" i="5" s="1"/>
  <c r="AY305" i="5" a="1"/>
  <c r="AY305" i="5" s="1"/>
  <c r="AR305" i="5" a="1"/>
  <c r="AR305" i="5" s="1"/>
  <c r="AI305" i="5" a="1"/>
  <c r="AI305" i="5" s="1"/>
  <c r="Y305" i="5"/>
  <c r="CU304" i="5" a="1"/>
  <c r="CU304" i="5" s="1"/>
  <c r="CO304" i="5"/>
  <c r="CN304" i="5"/>
  <c r="CG304" i="5"/>
  <c r="CF304" i="5"/>
  <c r="BY304" i="5"/>
  <c r="BX304" i="5"/>
  <c r="BQ304" i="5"/>
  <c r="BP304" i="5"/>
  <c r="BH304" i="5"/>
  <c r="AY304" i="5" a="1"/>
  <c r="AY304" i="5" s="1"/>
  <c r="BI304" i="5" s="1"/>
  <c r="AU304" i="5" a="1"/>
  <c r="AU304" i="5" s="1"/>
  <c r="AR304" i="5" a="1"/>
  <c r="AR304" i="5" s="1"/>
  <c r="BG304" i="5" s="1"/>
  <c r="AN304" i="5"/>
  <c r="AN304" i="5" a="1"/>
  <c r="AI304" i="5" a="1"/>
  <c r="AI304" i="5" s="1"/>
  <c r="CK303" i="5"/>
  <c r="CH303" i="5"/>
  <c r="CC303" i="5"/>
  <c r="CN303" i="5" s="1"/>
  <c r="BZ303" i="5"/>
  <c r="BU303" i="5"/>
  <c r="CF303" i="5" s="1"/>
  <c r="BR303" i="5"/>
  <c r="BM303" i="5"/>
  <c r="BX303" i="5" s="1"/>
  <c r="BJ303" i="5"/>
  <c r="BD303" i="5"/>
  <c r="BP303" i="5" s="1"/>
  <c r="AU303" i="5"/>
  <c r="AN303" i="5"/>
  <c r="CK301" i="5" a="1"/>
  <c r="CK301" i="5" s="1"/>
  <c r="CH301" i="5" a="1"/>
  <c r="CH301" i="5" s="1"/>
  <c r="CC301" i="5" a="1"/>
  <c r="CC301" i="5" s="1"/>
  <c r="CG301" i="5" s="1"/>
  <c r="BZ301" i="5" a="1"/>
  <c r="BZ301" i="5" s="1"/>
  <c r="BU301" i="5" a="1"/>
  <c r="BU301" i="5" s="1"/>
  <c r="BR301" i="5" a="1"/>
  <c r="BR301" i="5" s="1"/>
  <c r="BM301" i="5" a="1"/>
  <c r="BM301" i="5" s="1"/>
  <c r="BJ301" i="5" a="1"/>
  <c r="BJ301" i="5" s="1"/>
  <c r="BD301" i="5" a="1"/>
  <c r="BD301" i="5" s="1"/>
  <c r="BH301" i="5" s="1"/>
  <c r="AY301" i="5" a="1"/>
  <c r="AY301" i="5" s="1"/>
  <c r="AU301" i="5" a="1"/>
  <c r="AU301" i="5" s="1"/>
  <c r="AR301" i="5" a="1"/>
  <c r="AR301" i="5" s="1"/>
  <c r="BG301" i="5" s="1"/>
  <c r="AN301" i="5" a="1"/>
  <c r="AN301" i="5" s="1"/>
  <c r="CK300" i="5" a="1"/>
  <c r="CK300" i="5" s="1"/>
  <c r="CH300" i="5" a="1"/>
  <c r="CH300" i="5" s="1"/>
  <c r="CC300" i="5" a="1"/>
  <c r="CC300" i="5" s="1"/>
  <c r="BZ300" i="5" a="1"/>
  <c r="BZ300" i="5" s="1"/>
  <c r="BU300" i="5" a="1"/>
  <c r="BU300" i="5" s="1"/>
  <c r="BR300" i="5" a="1"/>
  <c r="BR300" i="5" s="1"/>
  <c r="BM300" i="5" a="1"/>
  <c r="BM300" i="5" s="1"/>
  <c r="BJ300" i="5" a="1"/>
  <c r="BJ300" i="5" s="1"/>
  <c r="BD300" i="5" a="1"/>
  <c r="BD300" i="5" s="1"/>
  <c r="AY300" i="5" a="1"/>
  <c r="AY300" i="5" s="1"/>
  <c r="AU300" i="5" a="1"/>
  <c r="AU300" i="5" s="1"/>
  <c r="AR300" i="5" a="1"/>
  <c r="AR300" i="5" s="1"/>
  <c r="BG300" i="5" s="1"/>
  <c r="AN300" i="5" a="1"/>
  <c r="AN300" i="5" s="1"/>
  <c r="AI300" i="5" a="1"/>
  <c r="AI300" i="5" s="1"/>
  <c r="CK299" i="5" a="1"/>
  <c r="CK299" i="5" s="1"/>
  <c r="CH299" i="5" a="1"/>
  <c r="CH299" i="5" s="1"/>
  <c r="CC299" i="5" a="1"/>
  <c r="CC299" i="5" s="1"/>
  <c r="BZ299" i="5" a="1"/>
  <c r="BZ299" i="5" s="1"/>
  <c r="BU299" i="5" a="1"/>
  <c r="BU299" i="5" s="1"/>
  <c r="CF299" i="5" s="1"/>
  <c r="BR299" i="5" a="1"/>
  <c r="BR299" i="5" s="1"/>
  <c r="BM299" i="5"/>
  <c r="BX299" i="5" s="1"/>
  <c r="BM299" i="5" a="1"/>
  <c r="BJ299" i="5" a="1"/>
  <c r="BJ299" i="5" s="1"/>
  <c r="BD299" i="5" a="1"/>
  <c r="BD299" i="5" s="1"/>
  <c r="CU299" i="5" s="1" a="1"/>
  <c r="CU299" i="5" s="1"/>
  <c r="AY299" i="5" a="1"/>
  <c r="AY299" i="5" s="1"/>
  <c r="AU299" i="5" a="1"/>
  <c r="AU299" i="5" s="1"/>
  <c r="AR299" i="5" a="1"/>
  <c r="AR299" i="5" s="1"/>
  <c r="BG299" i="5" s="1"/>
  <c r="AN299" i="5" a="1"/>
  <c r="AN299" i="5" s="1"/>
  <c r="AI299" i="5" a="1"/>
  <c r="AI299" i="5" s="1"/>
  <c r="CK298" i="5" a="1"/>
  <c r="CK298" i="5" s="1"/>
  <c r="CH298" i="5" a="1"/>
  <c r="CH298" i="5" s="1"/>
  <c r="CC298" i="5" a="1"/>
  <c r="CC298" i="5" s="1"/>
  <c r="BZ298" i="5" a="1"/>
  <c r="BZ298" i="5" s="1"/>
  <c r="BU298" i="5" a="1"/>
  <c r="BU298" i="5" s="1"/>
  <c r="BR298" i="5" a="1"/>
  <c r="BR298" i="5" s="1"/>
  <c r="BM298" i="5" a="1"/>
  <c r="BM298" i="5" s="1"/>
  <c r="BJ298" i="5" a="1"/>
  <c r="BJ298" i="5" s="1"/>
  <c r="BD298" i="5" a="1"/>
  <c r="BD298" i="5" s="1"/>
  <c r="BH298" i="5" s="1"/>
  <c r="AY298" i="5" a="1"/>
  <c r="AY298" i="5" s="1"/>
  <c r="AU298" i="5" a="1"/>
  <c r="AU298" i="5" s="1"/>
  <c r="AR298" i="5" a="1"/>
  <c r="AR298" i="5" s="1"/>
  <c r="BG298" i="5" s="1"/>
  <c r="AN298" i="5" a="1"/>
  <c r="AN298" i="5" s="1"/>
  <c r="AI298" i="5" a="1"/>
  <c r="AI298" i="5" s="1"/>
  <c r="CU297" i="5" a="1"/>
  <c r="CU297" i="5" s="1"/>
  <c r="CO297" i="5"/>
  <c r="CN297" i="5"/>
  <c r="CG297" i="5"/>
  <c r="CF297" i="5"/>
  <c r="BY297" i="5"/>
  <c r="BX297" i="5"/>
  <c r="BQ297" i="5"/>
  <c r="BP297" i="5"/>
  <c r="BH297" i="5"/>
  <c r="AY297" i="5" a="1"/>
  <c r="AY297" i="5" s="1"/>
  <c r="BI297" i="5" s="1"/>
  <c r="AU297" i="5" a="1"/>
  <c r="AU297" i="5" s="1"/>
  <c r="AR297" i="5" a="1"/>
  <c r="AR297" i="5" s="1"/>
  <c r="BG297" i="5" s="1"/>
  <c r="AN297" i="5" a="1"/>
  <c r="AN297" i="5" s="1"/>
  <c r="AI297" i="5" a="1"/>
  <c r="AI297" i="5" s="1"/>
  <c r="A297" i="5"/>
  <c r="B297" i="5" s="1" a="1"/>
  <c r="B297" i="5" s="1"/>
  <c r="CU296" i="5" a="1"/>
  <c r="CU296" i="5" s="1"/>
  <c r="CO296" i="5"/>
  <c r="CN296" i="5"/>
  <c r="CG296" i="5"/>
  <c r="CF296" i="5"/>
  <c r="BY296" i="5"/>
  <c r="BX296" i="5"/>
  <c r="BQ296" i="5"/>
  <c r="BP296" i="5"/>
  <c r="BH296" i="5"/>
  <c r="AY296" i="5" a="1"/>
  <c r="AY296" i="5" s="1"/>
  <c r="BI296" i="5" s="1"/>
  <c r="AU296" i="5" a="1"/>
  <c r="AU296" i="5" s="1"/>
  <c r="AR296" i="5" a="1"/>
  <c r="AR296" i="5" s="1"/>
  <c r="BG296" i="5" s="1"/>
  <c r="AN296" i="5" a="1"/>
  <c r="AN296" i="5" s="1"/>
  <c r="AI296" i="5" a="1"/>
  <c r="AI296" i="5" s="1"/>
  <c r="AI294" i="5" s="1"/>
  <c r="CU295" i="5" a="1"/>
  <c r="CU295" i="5" s="1"/>
  <c r="CO295" i="5"/>
  <c r="CN295" i="5"/>
  <c r="CG295" i="5"/>
  <c r="CF295" i="5"/>
  <c r="BY295" i="5"/>
  <c r="BX295" i="5"/>
  <c r="BQ295" i="5"/>
  <c r="BP295" i="5"/>
  <c r="BH295" i="5"/>
  <c r="AY295" i="5" a="1"/>
  <c r="AY295" i="5" s="1"/>
  <c r="BI295" i="5" s="1"/>
  <c r="AU295" i="5" a="1"/>
  <c r="AU295" i="5" s="1"/>
  <c r="AR295" i="5" a="1"/>
  <c r="AR295" i="5" s="1"/>
  <c r="BG295" i="5" s="1"/>
  <c r="AN295" i="5" a="1"/>
  <c r="AN295" i="5" s="1"/>
  <c r="AI295" i="5" a="1"/>
  <c r="AI295" i="5" s="1"/>
  <c r="CO294" i="5"/>
  <c r="CK294" i="5"/>
  <c r="CH294" i="5"/>
  <c r="CC294" i="5"/>
  <c r="CN294" i="5" s="1"/>
  <c r="BZ294" i="5"/>
  <c r="BU294" i="5"/>
  <c r="CF294" i="5" s="1"/>
  <c r="BR294" i="5"/>
  <c r="BM294" i="5"/>
  <c r="BX294" i="5" s="1"/>
  <c r="BJ294" i="5"/>
  <c r="BD294" i="5"/>
  <c r="BP294" i="5" s="1"/>
  <c r="A294" i="5"/>
  <c r="A295" i="5" s="1" a="1"/>
  <c r="A295" i="5" s="1"/>
  <c r="B295" i="5" s="1" a="1"/>
  <c r="B295" i="5" s="1"/>
  <c r="CU293" i="5" a="1"/>
  <c r="CU293" i="5" s="1"/>
  <c r="CO293" i="5"/>
  <c r="CN293" i="5"/>
  <c r="CG293" i="5"/>
  <c r="CF293" i="5"/>
  <c r="BY293" i="5"/>
  <c r="BX293" i="5"/>
  <c r="BQ293" i="5"/>
  <c r="BP293" i="5"/>
  <c r="BH293" i="5"/>
  <c r="AY293" i="5" a="1"/>
  <c r="AY293" i="5" s="1"/>
  <c r="BI293" i="5" s="1"/>
  <c r="AU293" i="5" a="1"/>
  <c r="AU293" i="5" s="1"/>
  <c r="AR293" i="5" a="1"/>
  <c r="AR293" i="5" s="1"/>
  <c r="BG293" i="5" s="1"/>
  <c r="AN293" i="5" a="1"/>
  <c r="AN293" i="5" s="1"/>
  <c r="AI293" i="5"/>
  <c r="AI293" i="5" a="1"/>
  <c r="A293" i="5"/>
  <c r="CU292" i="5" a="1"/>
  <c r="CU292" i="5" s="1"/>
  <c r="CO292" i="5"/>
  <c r="CN292" i="5"/>
  <c r="CG292" i="5"/>
  <c r="CF292" i="5"/>
  <c r="BY292" i="5"/>
  <c r="BX292" i="5"/>
  <c r="BQ292" i="5"/>
  <c r="BP292" i="5"/>
  <c r="BH292" i="5"/>
  <c r="AY292" i="5" a="1"/>
  <c r="AY292" i="5" s="1"/>
  <c r="BI292" i="5" s="1"/>
  <c r="AU292" i="5" a="1"/>
  <c r="AU292" i="5" s="1"/>
  <c r="AR292" i="5" a="1"/>
  <c r="AR292" i="5" s="1"/>
  <c r="BG292" i="5" s="1"/>
  <c r="AI292" i="5" a="1"/>
  <c r="AI292" i="5" s="1"/>
  <c r="A292" i="5"/>
  <c r="B292" i="5" s="1" a="1"/>
  <c r="B292" i="5" s="1"/>
  <c r="CU291" i="5" a="1"/>
  <c r="CU291" i="5" s="1"/>
  <c r="CO291" i="5"/>
  <c r="CN291" i="5"/>
  <c r="CG291" i="5"/>
  <c r="CF291" i="5"/>
  <c r="BY291" i="5"/>
  <c r="BX291" i="5"/>
  <c r="BQ291" i="5"/>
  <c r="BP291" i="5"/>
  <c r="BH291" i="5"/>
  <c r="AY291" i="5" a="1"/>
  <c r="AY291" i="5" s="1"/>
  <c r="BI291" i="5" s="1"/>
  <c r="AU291" i="5" a="1"/>
  <c r="AU291" i="5" s="1"/>
  <c r="AR291" i="5" a="1"/>
  <c r="AR291" i="5" s="1"/>
  <c r="BG291" i="5" s="1"/>
  <c r="AN291" i="5" a="1"/>
  <c r="AN291" i="5" s="1"/>
  <c r="AI291" i="5" a="1"/>
  <c r="AI291" i="5" s="1"/>
  <c r="A291" i="5"/>
  <c r="B291" i="5" s="1" a="1"/>
  <c r="B291" i="5" s="1"/>
  <c r="CU290" i="5" a="1"/>
  <c r="CU290" i="5" s="1"/>
  <c r="CO290" i="5"/>
  <c r="CN290" i="5"/>
  <c r="CG290" i="5"/>
  <c r="CF290" i="5"/>
  <c r="BY290" i="5"/>
  <c r="BX290" i="5"/>
  <c r="BQ290" i="5"/>
  <c r="BP290" i="5"/>
  <c r="BI290" i="5"/>
  <c r="BH290" i="5"/>
  <c r="BG290" i="5"/>
  <c r="AU290" i="5" a="1"/>
  <c r="AU290" i="5" s="1"/>
  <c r="AN290" i="5" a="1"/>
  <c r="AN290" i="5" s="1"/>
  <c r="CT290" i="5" s="1"/>
  <c r="CK289" i="5"/>
  <c r="CH289" i="5"/>
  <c r="CC289" i="5"/>
  <c r="CN289" i="5" s="1"/>
  <c r="BZ289" i="5"/>
  <c r="CG289" i="5" s="1"/>
  <c r="BU289" i="5"/>
  <c r="CF289" i="5" s="1"/>
  <c r="BR289" i="5"/>
  <c r="BM289" i="5"/>
  <c r="BX289" i="5" s="1"/>
  <c r="BJ289" i="5"/>
  <c r="BD289" i="5"/>
  <c r="BP289" i="5" s="1"/>
  <c r="AY289" i="5" a="1"/>
  <c r="AY289" i="5" s="1"/>
  <c r="AU289" i="5"/>
  <c r="AR289" i="5" a="1"/>
  <c r="AR289" i="5" s="1"/>
  <c r="BG289" i="5" s="1"/>
  <c r="AN289" i="5"/>
  <c r="CH288" i="5"/>
  <c r="BZ288" i="5"/>
  <c r="BR288" i="5"/>
  <c r="BJ288" i="5"/>
  <c r="AY288" i="5" a="1"/>
  <c r="AY288" i="5" s="1"/>
  <c r="AR288" i="5" a="1"/>
  <c r="AR288" i="5" s="1"/>
  <c r="BG288" i="5" s="1"/>
  <c r="AN288" i="5"/>
  <c r="AI288" i="5" a="1"/>
  <c r="AI288" i="5" s="1"/>
  <c r="CK287" i="5"/>
  <c r="CH287" i="5"/>
  <c r="CC287" i="5"/>
  <c r="CN287" i="5" s="1"/>
  <c r="BZ287" i="5"/>
  <c r="BU287" i="5"/>
  <c r="CF287" i="5" s="1"/>
  <c r="BR287" i="5"/>
  <c r="BM287" i="5"/>
  <c r="BX287" i="5" s="1"/>
  <c r="BJ287" i="5"/>
  <c r="BD287" i="5"/>
  <c r="BP287" i="5" s="1"/>
  <c r="AY287" i="5" a="1"/>
  <c r="AY287" i="5" s="1"/>
  <c r="AU287" i="5"/>
  <c r="AR287" i="5" a="1"/>
  <c r="AR287" i="5" s="1"/>
  <c r="BG287" i="5" s="1"/>
  <c r="AN287" i="5"/>
  <c r="AI287" i="5" a="1"/>
  <c r="AI287" i="5" s="1"/>
  <c r="Y287" i="5"/>
  <c r="CU285" i="5" a="1"/>
  <c r="CU285" i="5" s="1"/>
  <c r="BP285" i="5"/>
  <c r="BM285" i="5" a="1"/>
  <c r="BM285" i="5" s="1"/>
  <c r="BH285" i="5"/>
  <c r="AY285" i="5" a="1"/>
  <c r="AY285" i="5" s="1"/>
  <c r="BI285" i="5" s="1"/>
  <c r="AU285" i="5" a="1"/>
  <c r="AU285" i="5" s="1"/>
  <c r="AR285" i="5" a="1"/>
  <c r="AR285" i="5" s="1"/>
  <c r="BG285" i="5" s="1"/>
  <c r="AN285" i="5" a="1"/>
  <c r="AN285" i="5" s="1"/>
  <c r="AI285" i="5" a="1"/>
  <c r="AI285" i="5" s="1"/>
  <c r="AY284" i="5" a="1"/>
  <c r="AY284" i="5" s="1"/>
  <c r="AR284" i="5"/>
  <c r="AR284" i="5" a="1"/>
  <c r="AI284" i="5" a="1"/>
  <c r="AI284" i="5" s="1"/>
  <c r="CK282" i="5" a="1"/>
  <c r="CK282" i="5" s="1"/>
  <c r="CH282" i="5" a="1"/>
  <c r="CH282" i="5" s="1"/>
  <c r="CC282" i="5" a="1"/>
  <c r="CC282" i="5" s="1"/>
  <c r="BZ282" i="5" a="1"/>
  <c r="BZ282" i="5" s="1"/>
  <c r="BU282" i="5" a="1"/>
  <c r="BU282" i="5" s="1"/>
  <c r="BR282" i="5" a="1"/>
  <c r="BR282" i="5" s="1"/>
  <c r="BM282" i="5" a="1"/>
  <c r="BM282" i="5" s="1"/>
  <c r="BJ282" i="5" a="1"/>
  <c r="BJ282" i="5" s="1"/>
  <c r="BD282" i="5"/>
  <c r="BH282" i="5" s="1"/>
  <c r="BD282" i="5" a="1"/>
  <c r="AY282" i="5" a="1"/>
  <c r="AY282" i="5" s="1"/>
  <c r="AU282" i="5" a="1"/>
  <c r="AU282" i="5" s="1"/>
  <c r="AR282" i="5" a="1"/>
  <c r="AR282" i="5" s="1"/>
  <c r="BG282" i="5" s="1"/>
  <c r="AN282" i="5" a="1"/>
  <c r="AN282" i="5" s="1"/>
  <c r="AI282" i="5" a="1"/>
  <c r="AI282" i="5" s="1"/>
  <c r="CK281" i="5" a="1"/>
  <c r="CK281" i="5" s="1"/>
  <c r="CH281" i="5" a="1"/>
  <c r="CH281" i="5" s="1"/>
  <c r="CC281" i="5" a="1"/>
  <c r="CC281" i="5" s="1"/>
  <c r="BZ281" i="5" a="1"/>
  <c r="BZ281" i="5" s="1"/>
  <c r="BU281" i="5" a="1"/>
  <c r="BU281" i="5" s="1"/>
  <c r="BR281" i="5" a="1"/>
  <c r="BR281" i="5" s="1"/>
  <c r="BM281" i="5" a="1"/>
  <c r="BM281" i="5" s="1"/>
  <c r="BJ281" i="5" a="1"/>
  <c r="BJ281" i="5" s="1"/>
  <c r="BD281" i="5" a="1"/>
  <c r="BD281" i="5" s="1"/>
  <c r="BH281" i="5" s="1"/>
  <c r="AY281" i="5" a="1"/>
  <c r="AY281" i="5" s="1"/>
  <c r="AU281" i="5"/>
  <c r="AU281" i="5" a="1"/>
  <c r="AR281" i="5" a="1"/>
  <c r="AR281" i="5" s="1"/>
  <c r="BG281" i="5" s="1"/>
  <c r="AN281" i="5" a="1"/>
  <c r="AN281" i="5" s="1"/>
  <c r="AI281" i="5" a="1"/>
  <c r="AI281" i="5" s="1"/>
  <c r="CK280" i="5" a="1"/>
  <c r="CK280" i="5" s="1"/>
  <c r="CH280" i="5" a="1"/>
  <c r="CH280" i="5" s="1"/>
  <c r="CC280" i="5" a="1"/>
  <c r="CC280" i="5" s="1"/>
  <c r="BZ280" i="5" a="1"/>
  <c r="BZ280" i="5" s="1"/>
  <c r="BU280" i="5" a="1"/>
  <c r="BU280" i="5" s="1"/>
  <c r="BR280" i="5" a="1"/>
  <c r="BR280" i="5" s="1"/>
  <c r="BM280" i="5" a="1"/>
  <c r="BM280" i="5" s="1"/>
  <c r="BJ280" i="5" a="1"/>
  <c r="BJ280" i="5" s="1"/>
  <c r="BD280" i="5" a="1"/>
  <c r="BD280" i="5" s="1"/>
  <c r="BH280" i="5" s="1"/>
  <c r="AU280" i="5" a="1"/>
  <c r="AU280" i="5" s="1"/>
  <c r="AN280" i="5" a="1"/>
  <c r="AN280" i="5" s="1"/>
  <c r="AI280" i="5" a="1"/>
  <c r="AI280" i="5" s="1"/>
  <c r="CK279" i="5" a="1"/>
  <c r="CK279" i="5" s="1"/>
  <c r="CH279" i="5" a="1"/>
  <c r="CH279" i="5" s="1"/>
  <c r="CC279" i="5" a="1"/>
  <c r="CC279" i="5" s="1"/>
  <c r="BZ279" i="5" a="1"/>
  <c r="BZ279" i="5" s="1"/>
  <c r="BU279" i="5" a="1"/>
  <c r="BU279" i="5" s="1"/>
  <c r="BR279" i="5" a="1"/>
  <c r="BR279" i="5" s="1"/>
  <c r="BM279" i="5" a="1"/>
  <c r="BM279" i="5" s="1"/>
  <c r="BJ279" i="5" a="1"/>
  <c r="BJ279" i="5" s="1"/>
  <c r="BD279" i="5"/>
  <c r="CU279" i="5" s="1" a="1"/>
  <c r="CU279" i="5" s="1"/>
  <c r="BD279" i="5" a="1"/>
  <c r="AU279" i="5" a="1"/>
  <c r="AU279" i="5" s="1"/>
  <c r="AN279" i="5" a="1"/>
  <c r="AN279" i="5" s="1"/>
  <c r="CK276" i="5" a="1"/>
  <c r="CK276" i="5" s="1"/>
  <c r="CH276" i="5" a="1"/>
  <c r="CH276" i="5" s="1"/>
  <c r="CC276" i="5" a="1"/>
  <c r="CC276" i="5" s="1"/>
  <c r="BZ276" i="5" a="1"/>
  <c r="BZ276" i="5" s="1"/>
  <c r="BU276" i="5" a="1"/>
  <c r="BU276" i="5" s="1"/>
  <c r="CF276" i="5" s="1"/>
  <c r="BR276" i="5" a="1"/>
  <c r="BR276" i="5" s="1"/>
  <c r="BM276" i="5" a="1"/>
  <c r="BM276" i="5" s="1"/>
  <c r="BJ276" i="5" a="1"/>
  <c r="BJ276" i="5" s="1"/>
  <c r="BD276" i="5" a="1"/>
  <c r="BD276" i="5" s="1"/>
  <c r="AY276" i="5" a="1"/>
  <c r="AY276" i="5" s="1"/>
  <c r="AU276" i="5" a="1"/>
  <c r="AU276" i="5" s="1"/>
  <c r="AR276" i="5" a="1"/>
  <c r="AR276" i="5" s="1"/>
  <c r="BG276" i="5" s="1"/>
  <c r="AN276" i="5" a="1"/>
  <c r="AN276" i="5" s="1"/>
  <c r="AI276" i="5" a="1"/>
  <c r="AI276" i="5" s="1"/>
  <c r="CK275" i="5" a="1"/>
  <c r="CK275" i="5" s="1"/>
  <c r="CH275" i="5" a="1"/>
  <c r="CH275" i="5" s="1"/>
  <c r="CC275" i="5" a="1"/>
  <c r="CC275" i="5" s="1"/>
  <c r="CN275" i="5" s="1"/>
  <c r="BZ275" i="5" a="1"/>
  <c r="BZ275" i="5" s="1"/>
  <c r="BU275" i="5" a="1"/>
  <c r="BU275" i="5" s="1"/>
  <c r="CF275" i="5" s="1"/>
  <c r="BR275" i="5" a="1"/>
  <c r="BR275" i="5" s="1"/>
  <c r="BM275" i="5" a="1"/>
  <c r="BM275" i="5" s="1"/>
  <c r="BX275" i="5" s="1"/>
  <c r="BJ275" i="5" a="1"/>
  <c r="BJ275" i="5" s="1"/>
  <c r="BD275" i="5" a="1"/>
  <c r="BD275" i="5" s="1"/>
  <c r="AU275" i="5" a="1"/>
  <c r="AU275" i="5" s="1"/>
  <c r="AN275" i="5" a="1"/>
  <c r="AN275" i="5" s="1"/>
  <c r="Y275" i="5"/>
  <c r="Y276" i="5" s="1"/>
  <c r="CK274" i="5" a="1"/>
  <c r="CK274" i="5" s="1"/>
  <c r="CH274" i="5" a="1"/>
  <c r="CH274" i="5" s="1"/>
  <c r="CC274" i="5" a="1"/>
  <c r="CC274" i="5" s="1"/>
  <c r="BZ274" i="5" a="1"/>
  <c r="BZ274" i="5" s="1"/>
  <c r="BU274" i="5" a="1"/>
  <c r="BU274" i="5" s="1"/>
  <c r="BR274" i="5" a="1"/>
  <c r="BR274" i="5" s="1"/>
  <c r="BM274" i="5" a="1"/>
  <c r="BM274" i="5" s="1"/>
  <c r="BJ274" i="5" a="1"/>
  <c r="BJ274" i="5" s="1"/>
  <c r="BD274" i="5" a="1"/>
  <c r="BD274" i="5" s="1"/>
  <c r="AY274" i="5" a="1"/>
  <c r="AY274" i="5" s="1"/>
  <c r="AU274" i="5" a="1"/>
  <c r="AU274" i="5" s="1"/>
  <c r="AR274" i="5" a="1"/>
  <c r="AR274" i="5" s="1"/>
  <c r="AN274" i="5" a="1"/>
  <c r="AN274" i="5" s="1"/>
  <c r="AI274" i="5" a="1"/>
  <c r="AI274" i="5" s="1"/>
  <c r="BD272" i="5" a="1"/>
  <c r="BD272" i="5" s="1"/>
  <c r="BH272" i="5" s="1"/>
  <c r="AI272" i="5"/>
  <c r="CK271" i="5" a="1"/>
  <c r="CK271" i="5" s="1"/>
  <c r="CH271" i="5" a="1"/>
  <c r="CH271" i="5" s="1"/>
  <c r="CC271" i="5" a="1"/>
  <c r="CC271" i="5" s="1"/>
  <c r="CN271" i="5" s="1"/>
  <c r="BZ271" i="5" a="1"/>
  <c r="BZ271" i="5" s="1"/>
  <c r="BU271" i="5" a="1"/>
  <c r="BU271" i="5" s="1"/>
  <c r="BR271" i="5" a="1"/>
  <c r="BR271" i="5" s="1"/>
  <c r="BM271" i="5" a="1"/>
  <c r="BM271" i="5" s="1"/>
  <c r="BX271" i="5" s="1"/>
  <c r="BJ271" i="5" a="1"/>
  <c r="BJ271" i="5" s="1"/>
  <c r="BD271" i="5" a="1"/>
  <c r="BD271" i="5" s="1"/>
  <c r="CU271" i="5" s="1" a="1"/>
  <c r="CU271" i="5" s="1"/>
  <c r="AY271" i="5"/>
  <c r="AU271" i="5" a="1"/>
  <c r="AU271" i="5" s="1"/>
  <c r="AR271" i="5"/>
  <c r="BG271" i="5" s="1"/>
  <c r="AN271" i="5" a="1"/>
  <c r="AN271" i="5" s="1"/>
  <c r="AI271" i="5"/>
  <c r="CK270" i="5" a="1"/>
  <c r="CK270" i="5" s="1"/>
  <c r="CO270" i="5" s="1"/>
  <c r="CH270" i="5" a="1"/>
  <c r="CH270" i="5" s="1"/>
  <c r="CC270" i="5" a="1"/>
  <c r="CC270" i="5" s="1"/>
  <c r="BZ270" i="5" a="1"/>
  <c r="BZ270" i="5" s="1"/>
  <c r="BU270" i="5" a="1"/>
  <c r="BU270" i="5" s="1"/>
  <c r="BY270" i="5" s="1"/>
  <c r="BR270" i="5" a="1"/>
  <c r="BR270" i="5" s="1"/>
  <c r="BM270" i="5" a="1"/>
  <c r="BM270" i="5" s="1"/>
  <c r="BJ270" i="5" a="1"/>
  <c r="BJ270" i="5" s="1"/>
  <c r="BD270" i="5"/>
  <c r="BH270" i="5" s="1"/>
  <c r="BD270" i="5" a="1"/>
  <c r="AU270" i="5" a="1"/>
  <c r="AU270" i="5" s="1"/>
  <c r="AN270" i="5" a="1"/>
  <c r="AN270" i="5" s="1"/>
  <c r="AI270" i="5"/>
  <c r="CK264" i="5" a="1"/>
  <c r="CK264" i="5" s="1"/>
  <c r="CH264" i="5" a="1"/>
  <c r="CH264" i="5" s="1"/>
  <c r="CC264" i="5" a="1"/>
  <c r="CC264" i="5" s="1"/>
  <c r="CN264" i="5" s="1"/>
  <c r="BZ264" i="5" a="1"/>
  <c r="BZ264" i="5" s="1"/>
  <c r="BU264" i="5" a="1"/>
  <c r="BU264" i="5" s="1"/>
  <c r="CF264" i="5" s="1"/>
  <c r="BR264" i="5" a="1"/>
  <c r="BR264" i="5" s="1"/>
  <c r="BM264" i="5" a="1"/>
  <c r="BM264" i="5" s="1"/>
  <c r="BJ264" i="5"/>
  <c r="BJ264" i="5" a="1"/>
  <c r="BD264" i="5" a="1"/>
  <c r="BD264" i="5" s="1"/>
  <c r="CU264" i="5" s="1" a="1"/>
  <c r="CU264" i="5" s="1"/>
  <c r="AY264" i="5"/>
  <c r="AU264" i="5" a="1"/>
  <c r="AU264" i="5" s="1"/>
  <c r="AR264" i="5"/>
  <c r="BG264" i="5" s="1"/>
  <c r="AN264" i="5" a="1"/>
  <c r="AN264" i="5" s="1"/>
  <c r="AI264" i="5"/>
  <c r="CK262" i="5" a="1"/>
  <c r="CK262" i="5" s="1"/>
  <c r="CH262" i="5" a="1"/>
  <c r="CH262" i="5" s="1"/>
  <c r="CC262" i="5" a="1"/>
  <c r="CC262" i="5" s="1"/>
  <c r="BZ262" i="5" a="1"/>
  <c r="BZ262" i="5" s="1"/>
  <c r="BU262" i="5" a="1"/>
  <c r="BU262" i="5" s="1"/>
  <c r="CF262" i="5" s="1"/>
  <c r="BR262" i="5" a="1"/>
  <c r="BR262" i="5" s="1"/>
  <c r="BM262" i="5" a="1"/>
  <c r="BM262" i="5" s="1"/>
  <c r="BJ262" i="5" a="1"/>
  <c r="BJ262" i="5" s="1"/>
  <c r="BD262" i="5" a="1"/>
  <c r="BD262" i="5" s="1"/>
  <c r="BI262" i="5" s="1"/>
  <c r="AU262" i="5" a="1"/>
  <c r="AU262" i="5" s="1"/>
  <c r="AN262" i="5" a="1"/>
  <c r="AN262" i="5" s="1"/>
  <c r="CK261" i="5" a="1"/>
  <c r="CK261" i="5" s="1"/>
  <c r="CH261" i="5" a="1"/>
  <c r="CH261" i="5" s="1"/>
  <c r="CC261" i="5" a="1"/>
  <c r="CC261" i="5" s="1"/>
  <c r="CN261" i="5" s="1"/>
  <c r="BZ261" i="5" a="1"/>
  <c r="BZ261" i="5" s="1"/>
  <c r="BU261" i="5" a="1"/>
  <c r="BU261" i="5" s="1"/>
  <c r="CF261" i="5" s="1"/>
  <c r="BR261" i="5" a="1"/>
  <c r="BR261" i="5" s="1"/>
  <c r="BM261" i="5" a="1"/>
  <c r="BM261" i="5" s="1"/>
  <c r="BX261" i="5" s="1"/>
  <c r="BJ261" i="5" a="1"/>
  <c r="BJ261" i="5" s="1"/>
  <c r="BD261" i="5" a="1"/>
  <c r="BD261" i="5" s="1"/>
  <c r="CU261" i="5" s="1" a="1"/>
  <c r="CU261" i="5" s="1"/>
  <c r="AY261" i="5"/>
  <c r="AU261" i="5" a="1"/>
  <c r="AU261" i="5" s="1"/>
  <c r="AR261" i="5"/>
  <c r="BG261" i="5" s="1"/>
  <c r="AN261" i="5" a="1"/>
  <c r="AN261" i="5" s="1"/>
  <c r="AI261" i="5"/>
  <c r="Y261" i="5"/>
  <c r="CK260" i="5" a="1"/>
  <c r="CK260" i="5" s="1"/>
  <c r="CH260" i="5" a="1"/>
  <c r="CH260" i="5" s="1"/>
  <c r="CC260" i="5" a="1"/>
  <c r="CC260" i="5" s="1"/>
  <c r="BZ260" i="5" a="1"/>
  <c r="BZ260" i="5" s="1"/>
  <c r="BU260" i="5" a="1"/>
  <c r="BU260" i="5" s="1"/>
  <c r="BR260" i="5" a="1"/>
  <c r="BR260" i="5" s="1"/>
  <c r="BM260" i="5" a="1"/>
  <c r="BM260" i="5" s="1"/>
  <c r="BX260" i="5" s="1"/>
  <c r="BJ260" i="5"/>
  <c r="BJ260" i="5" a="1"/>
  <c r="BD260" i="5" a="1"/>
  <c r="BD260" i="5" s="1"/>
  <c r="CU260" i="5" s="1" a="1"/>
  <c r="CU260" i="5" s="1"/>
  <c r="AU260" i="5" a="1"/>
  <c r="AU260" i="5" s="1"/>
  <c r="AN260" i="5" a="1"/>
  <c r="AN260" i="5" s="1"/>
  <c r="CK257" i="5"/>
  <c r="CH257" i="5"/>
  <c r="CC257" i="5"/>
  <c r="CN257" i="5" s="1"/>
  <c r="BZ257" i="5"/>
  <c r="CG257" i="5" s="1"/>
  <c r="BU257" i="5"/>
  <c r="CF257" i="5" s="1"/>
  <c r="BR257" i="5"/>
  <c r="BM257" i="5"/>
  <c r="BX257" i="5" s="1"/>
  <c r="BJ257" i="5"/>
  <c r="BD257" i="5"/>
  <c r="AY257" i="5" a="1"/>
  <c r="AY257" i="5" s="1"/>
  <c r="AU257" i="5"/>
  <c r="AR257" i="5" a="1"/>
  <c r="AR257" i="5" s="1"/>
  <c r="BG257" i="5" s="1"/>
  <c r="AN257" i="5"/>
  <c r="AI257" i="5"/>
  <c r="AI257" i="5" a="1"/>
  <c r="CK256" i="5"/>
  <c r="CO256" i="5" s="1"/>
  <c r="CH256" i="5"/>
  <c r="CC256" i="5"/>
  <c r="CN256" i="5" s="1"/>
  <c r="BZ256" i="5"/>
  <c r="BU256" i="5"/>
  <c r="CF256" i="5" s="1"/>
  <c r="BR256" i="5"/>
  <c r="BM256" i="5"/>
  <c r="BX256" i="5" s="1"/>
  <c r="BJ256" i="5"/>
  <c r="BD256" i="5"/>
  <c r="BP256" i="5" s="1"/>
  <c r="AY256" i="5" a="1"/>
  <c r="AY256" i="5" s="1"/>
  <c r="AU256" i="5"/>
  <c r="AR256" i="5" a="1"/>
  <c r="AR256" i="5" s="1"/>
  <c r="BG256" i="5" s="1"/>
  <c r="AN256" i="5"/>
  <c r="AI256" i="5" a="1"/>
  <c r="AI256" i="5" s="1"/>
  <c r="CK255" i="5"/>
  <c r="CH255" i="5"/>
  <c r="CC255" i="5"/>
  <c r="CN255" i="5" s="1"/>
  <c r="BZ255" i="5"/>
  <c r="BU255" i="5"/>
  <c r="BR255" i="5"/>
  <c r="BM255" i="5"/>
  <c r="BX255" i="5" s="1"/>
  <c r="BJ255" i="5"/>
  <c r="BD255" i="5"/>
  <c r="BP255" i="5" s="1"/>
  <c r="AY255" i="5" a="1"/>
  <c r="AY255" i="5" s="1"/>
  <c r="AU255" i="5"/>
  <c r="AR255" i="5" a="1"/>
  <c r="AR255" i="5" s="1"/>
  <c r="AN255" i="5"/>
  <c r="AI255" i="5" a="1"/>
  <c r="AI255" i="5" s="1"/>
  <c r="Y255" i="5"/>
  <c r="Y256" i="5" s="1"/>
  <c r="CK254" i="5" a="1"/>
  <c r="CK254" i="5" s="1"/>
  <c r="CH254" i="5" a="1"/>
  <c r="CH254" i="5" s="1"/>
  <c r="CC254" i="5" a="1"/>
  <c r="CC254" i="5" s="1"/>
  <c r="BZ254" i="5" a="1"/>
  <c r="BZ254" i="5" s="1"/>
  <c r="BU254" i="5" a="1"/>
  <c r="BU254" i="5" s="1"/>
  <c r="BR254" i="5" a="1"/>
  <c r="BR254" i="5" s="1"/>
  <c r="BM254" i="5" a="1"/>
  <c r="BM254" i="5" s="1"/>
  <c r="BJ254" i="5" a="1"/>
  <c r="BJ254" i="5" s="1"/>
  <c r="BD254" i="5" a="1"/>
  <c r="BD254" i="5" s="1"/>
  <c r="BP254" i="5" s="1"/>
  <c r="AY254" i="5" a="1"/>
  <c r="AY254" i="5" s="1"/>
  <c r="AU254" i="5"/>
  <c r="AR254" i="5" a="1"/>
  <c r="AR254" i="5" s="1"/>
  <c r="AN254" i="5"/>
  <c r="AI254" i="5" a="1"/>
  <c r="AI254" i="5" s="1"/>
  <c r="CK253" i="5" a="1"/>
  <c r="CK253" i="5" s="1"/>
  <c r="CH253" i="5" a="1"/>
  <c r="CH253" i="5" s="1"/>
  <c r="CC253" i="5" a="1"/>
  <c r="CC253" i="5" s="1"/>
  <c r="CN253" i="5" s="1"/>
  <c r="BZ253" i="5" a="1"/>
  <c r="BZ253" i="5" s="1"/>
  <c r="BU253" i="5" a="1"/>
  <c r="BU253" i="5" s="1"/>
  <c r="CF253" i="5" s="1"/>
  <c r="BR253" i="5" a="1"/>
  <c r="BR253" i="5" s="1"/>
  <c r="BM253" i="5" a="1"/>
  <c r="BM253" i="5" s="1"/>
  <c r="BX253" i="5" s="1"/>
  <c r="BJ253" i="5" a="1"/>
  <c r="BJ253" i="5" s="1"/>
  <c r="BD253" i="5" a="1"/>
  <c r="BD253" i="5" s="1"/>
  <c r="AY253" i="5" a="1"/>
  <c r="AY253" i="5" s="1"/>
  <c r="AU253" i="5" a="1"/>
  <c r="AU253" i="5" s="1"/>
  <c r="AR253" i="5" a="1"/>
  <c r="AR253" i="5" s="1"/>
  <c r="AN253" i="5" a="1"/>
  <c r="AN253" i="5" s="1"/>
  <c r="AI253" i="5" a="1"/>
  <c r="AI253" i="5" s="1"/>
  <c r="CK252" i="5" a="1"/>
  <c r="CK252" i="5" s="1"/>
  <c r="CH252" i="5" a="1"/>
  <c r="CH252" i="5" s="1"/>
  <c r="CC252" i="5" a="1"/>
  <c r="CC252" i="5" s="1"/>
  <c r="BZ252" i="5" a="1"/>
  <c r="BZ252" i="5" s="1"/>
  <c r="BU252" i="5" a="1"/>
  <c r="BU252" i="5" s="1"/>
  <c r="BR252" i="5" a="1"/>
  <c r="BR252" i="5" s="1"/>
  <c r="BM252" i="5" a="1"/>
  <c r="BM252" i="5" s="1"/>
  <c r="BJ252" i="5" a="1"/>
  <c r="BJ252" i="5" s="1"/>
  <c r="BD252" i="5" a="1"/>
  <c r="BD252" i="5" s="1"/>
  <c r="AY252" i="5" a="1"/>
  <c r="AY252" i="5" s="1"/>
  <c r="AU252" i="5" a="1"/>
  <c r="AU252" i="5" s="1"/>
  <c r="AR252" i="5" a="1"/>
  <c r="AR252" i="5" s="1"/>
  <c r="AN252" i="5" a="1"/>
  <c r="AN252" i="5" s="1"/>
  <c r="AI252" i="5" a="1"/>
  <c r="AI252" i="5" s="1"/>
  <c r="CK251" i="5" a="1"/>
  <c r="CK251" i="5" s="1"/>
  <c r="CH251" i="5" a="1"/>
  <c r="CH251" i="5" s="1"/>
  <c r="CC251" i="5" a="1"/>
  <c r="CC251" i="5" s="1"/>
  <c r="CN251" i="5" s="1"/>
  <c r="BZ251" i="5" a="1"/>
  <c r="BZ251" i="5" s="1"/>
  <c r="BU251" i="5" a="1"/>
  <c r="BU251" i="5" s="1"/>
  <c r="CF251" i="5" s="1"/>
  <c r="BR251" i="5" a="1"/>
  <c r="BR251" i="5" s="1"/>
  <c r="BM251" i="5" a="1"/>
  <c r="BM251" i="5" s="1"/>
  <c r="BX251" i="5" s="1"/>
  <c r="BJ251" i="5" a="1"/>
  <c r="BJ251" i="5" s="1"/>
  <c r="BD251" i="5" a="1"/>
  <c r="BD251" i="5" s="1"/>
  <c r="AY251" i="5" a="1"/>
  <c r="AY251" i="5" s="1"/>
  <c r="AU251" i="5" a="1"/>
  <c r="AU251" i="5" s="1"/>
  <c r="AR251" i="5" a="1"/>
  <c r="AR251" i="5" s="1"/>
  <c r="AN251" i="5" a="1"/>
  <c r="AN251" i="5" s="1"/>
  <c r="AI251" i="5" a="1"/>
  <c r="AI251" i="5" s="1"/>
  <c r="CK250" i="5" a="1"/>
  <c r="CK250" i="5" s="1"/>
  <c r="CH250" i="5" a="1"/>
  <c r="CH250" i="5" s="1"/>
  <c r="CC250" i="5" a="1"/>
  <c r="CC250" i="5" s="1"/>
  <c r="BZ250" i="5" a="1"/>
  <c r="BZ250" i="5" s="1"/>
  <c r="BU250" i="5" a="1"/>
  <c r="BU250" i="5" s="1"/>
  <c r="BR250" i="5" a="1"/>
  <c r="BR250" i="5" s="1"/>
  <c r="BM250" i="5" a="1"/>
  <c r="BM250" i="5" s="1"/>
  <c r="BJ250" i="5" a="1"/>
  <c r="BJ250" i="5" s="1"/>
  <c r="BD250" i="5" a="1"/>
  <c r="BD250" i="5" s="1"/>
  <c r="BP250" i="5" s="1"/>
  <c r="AY250" i="5" a="1"/>
  <c r="AY250" i="5" s="1"/>
  <c r="AU250" i="5" a="1"/>
  <c r="AU250" i="5" s="1"/>
  <c r="AR250" i="5" a="1"/>
  <c r="AR250" i="5" s="1"/>
  <c r="AN250" i="5" a="1"/>
  <c r="AN250" i="5" s="1"/>
  <c r="AI250" i="5" a="1"/>
  <c r="AI250" i="5" s="1"/>
  <c r="CK249" i="5" a="1"/>
  <c r="CK249" i="5" s="1"/>
  <c r="CH249" i="5" a="1"/>
  <c r="CH249" i="5" s="1"/>
  <c r="CC249" i="5" a="1"/>
  <c r="CC249" i="5" s="1"/>
  <c r="BZ249" i="5" a="1"/>
  <c r="BZ249" i="5" s="1"/>
  <c r="BU249" i="5" a="1"/>
  <c r="BU249" i="5" s="1"/>
  <c r="BR249" i="5" a="1"/>
  <c r="BR249" i="5" s="1"/>
  <c r="BM249" i="5"/>
  <c r="BM249" i="5" a="1"/>
  <c r="BJ249" i="5" a="1"/>
  <c r="BJ249" i="5" s="1"/>
  <c r="BD249" i="5" a="1"/>
  <c r="BD249" i="5" s="1"/>
  <c r="AY249" i="5" a="1"/>
  <c r="AY249" i="5" s="1"/>
  <c r="AU249" i="5" a="1"/>
  <c r="AU249" i="5" s="1"/>
  <c r="AR249" i="5" a="1"/>
  <c r="AR249" i="5" s="1"/>
  <c r="AN249" i="5" a="1"/>
  <c r="AN249" i="5" s="1"/>
  <c r="AI249" i="5" a="1"/>
  <c r="AI249" i="5" s="1"/>
  <c r="CK248" i="5"/>
  <c r="CO248" i="5" s="1"/>
  <c r="CH248" i="5"/>
  <c r="CC248" i="5"/>
  <c r="BZ248" i="5"/>
  <c r="BU248" i="5"/>
  <c r="BY248" i="5" s="1"/>
  <c r="BR248" i="5"/>
  <c r="BM248" i="5"/>
  <c r="BJ248" i="5"/>
  <c r="BD248" i="5"/>
  <c r="CU248" i="5" s="1" a="1"/>
  <c r="CU248" i="5" s="1"/>
  <c r="AY248" i="5" a="1"/>
  <c r="AY248" i="5" s="1"/>
  <c r="AU248" i="5" a="1"/>
  <c r="AU248" i="5" s="1"/>
  <c r="AR248" i="5" a="1"/>
  <c r="AR248" i="5" s="1"/>
  <c r="AN248" i="5" a="1"/>
  <c r="AN248" i="5" s="1"/>
  <c r="AI248" i="5" a="1"/>
  <c r="AI248" i="5" s="1"/>
  <c r="CK247" i="5" a="1"/>
  <c r="CK247" i="5" s="1"/>
  <c r="CH247" i="5" a="1"/>
  <c r="CH247" i="5" s="1"/>
  <c r="CC247" i="5" a="1"/>
  <c r="CC247" i="5" s="1"/>
  <c r="CN247" i="5" s="1"/>
  <c r="BZ247" i="5" a="1"/>
  <c r="BZ247" i="5" s="1"/>
  <c r="BU247" i="5" a="1"/>
  <c r="BU247" i="5" s="1"/>
  <c r="BR247" i="5" a="1"/>
  <c r="BR247" i="5" s="1"/>
  <c r="BM247" i="5" a="1"/>
  <c r="BM247" i="5" s="1"/>
  <c r="BJ247" i="5" a="1"/>
  <c r="BJ247" i="5" s="1"/>
  <c r="BD247" i="5" a="1"/>
  <c r="BD247" i="5" s="1"/>
  <c r="AU247" i="5" a="1"/>
  <c r="AU247" i="5" s="1"/>
  <c r="AN247" i="5" a="1"/>
  <c r="AN247" i="5" s="1"/>
  <c r="CK246" i="5" a="1"/>
  <c r="CK246" i="5" s="1"/>
  <c r="CO246" i="5" s="1"/>
  <c r="CH246" i="5" a="1"/>
  <c r="CH246" i="5" s="1"/>
  <c r="CC246" i="5" a="1"/>
  <c r="CC246" i="5" s="1"/>
  <c r="CN246" i="5" s="1"/>
  <c r="BZ246" i="5" a="1"/>
  <c r="BZ246" i="5" s="1"/>
  <c r="BU246" i="5" a="1"/>
  <c r="BU246" i="5" s="1"/>
  <c r="BR246" i="5" a="1"/>
  <c r="BR246" i="5" s="1"/>
  <c r="BM246" i="5" a="1"/>
  <c r="BM246" i="5" s="1"/>
  <c r="BX246" i="5" s="1"/>
  <c r="BJ246" i="5" a="1"/>
  <c r="BJ246" i="5" s="1"/>
  <c r="BD246" i="5" a="1"/>
  <c r="BD246" i="5" s="1"/>
  <c r="CK245" i="5" a="1"/>
  <c r="CK245" i="5" s="1"/>
  <c r="CH245" i="5" a="1"/>
  <c r="CH245" i="5" s="1"/>
  <c r="CC245" i="5" a="1"/>
  <c r="CC245" i="5" s="1"/>
  <c r="BZ245" i="5" a="1"/>
  <c r="BZ245" i="5" s="1"/>
  <c r="BU245" i="5" a="1"/>
  <c r="BU245" i="5" s="1"/>
  <c r="BR245" i="5" a="1"/>
  <c r="BR245" i="5" s="1"/>
  <c r="BM245" i="5" a="1"/>
  <c r="BM245" i="5" s="1"/>
  <c r="BX245" i="5" s="1"/>
  <c r="BJ245" i="5" a="1"/>
  <c r="BJ245" i="5" s="1"/>
  <c r="BD245" i="5" a="1"/>
  <c r="BD245" i="5" s="1"/>
  <c r="AU245" i="5" a="1"/>
  <c r="AU245" i="5" s="1"/>
  <c r="AN245" i="5" a="1"/>
  <c r="AN245" i="5" s="1"/>
  <c r="CK244" i="5" a="1"/>
  <c r="CK244" i="5" s="1"/>
  <c r="CH244" i="5" a="1"/>
  <c r="CH244" i="5" s="1"/>
  <c r="CH243" i="5" s="1"/>
  <c r="CC244" i="5" a="1"/>
  <c r="CC244" i="5" s="1"/>
  <c r="CN244" i="5" s="1"/>
  <c r="BZ244" i="5" a="1"/>
  <c r="BZ244" i="5" s="1"/>
  <c r="BZ243" i="5" s="1"/>
  <c r="BU244" i="5" a="1"/>
  <c r="BU244" i="5" s="1"/>
  <c r="BR244" i="5" a="1"/>
  <c r="BR244" i="5" s="1"/>
  <c r="BR243" i="5" s="1"/>
  <c r="BM244" i="5" a="1"/>
  <c r="BM244" i="5" s="1"/>
  <c r="BX244" i="5" s="1"/>
  <c r="BJ244" i="5" a="1"/>
  <c r="BJ244" i="5" s="1"/>
  <c r="BJ243" i="5" s="1"/>
  <c r="BD244" i="5" a="1"/>
  <c r="BD244" i="5" s="1"/>
  <c r="CU244" i="5" s="1" a="1"/>
  <c r="CU244" i="5" s="1"/>
  <c r="CU243" i="5" s="1"/>
  <c r="AU244" i="5" a="1"/>
  <c r="AU244" i="5" s="1"/>
  <c r="AU243" i="5" s="1"/>
  <c r="AN244" i="5" a="1"/>
  <c r="AN244" i="5" s="1"/>
  <c r="BD243" i="5"/>
  <c r="BP243" i="5" s="1"/>
  <c r="CK242" i="5" a="1"/>
  <c r="CK242" i="5" s="1"/>
  <c r="CH242" i="5" a="1"/>
  <c r="CH242" i="5" s="1"/>
  <c r="CH241" i="5" s="1"/>
  <c r="CC242" i="5" a="1"/>
  <c r="CC242" i="5" s="1"/>
  <c r="BZ242" i="5" a="1"/>
  <c r="BZ242" i="5" s="1"/>
  <c r="BZ241" i="5" s="1"/>
  <c r="BU242" i="5" a="1"/>
  <c r="BU242" i="5" s="1"/>
  <c r="BU241" i="5" s="1"/>
  <c r="CF241" i="5" s="1"/>
  <c r="BR242" i="5" a="1"/>
  <c r="BR242" i="5" s="1"/>
  <c r="BR241" i="5" s="1"/>
  <c r="BM242" i="5" a="1"/>
  <c r="BM242" i="5" s="1"/>
  <c r="BJ242" i="5" a="1"/>
  <c r="BJ242" i="5" s="1"/>
  <c r="BJ241" i="5" s="1"/>
  <c r="BD242" i="5" a="1"/>
  <c r="BD242" i="5" s="1"/>
  <c r="AU242" i="5"/>
  <c r="AU241" i="5" s="1"/>
  <c r="AN242" i="5" a="1"/>
  <c r="AN242" i="5" s="1"/>
  <c r="AU240" i="5" a="1"/>
  <c r="AU240" i="5" s="1"/>
  <c r="AU239" i="5" a="1"/>
  <c r="AU239" i="5" s="1"/>
  <c r="AI239" i="5" a="1"/>
  <c r="AI239" i="5" s="1"/>
  <c r="AU238" i="5" a="1"/>
  <c r="AU238" i="5" s="1"/>
  <c r="AR238" i="5" a="1"/>
  <c r="AR238" i="5" s="1"/>
  <c r="AI238" i="5" a="1"/>
  <c r="AI238" i="5" s="1"/>
  <c r="AU237" i="5" a="1"/>
  <c r="AU237" i="5" s="1"/>
  <c r="AR237" i="5" a="1"/>
  <c r="AR237" i="5" s="1"/>
  <c r="AI237" i="5" a="1"/>
  <c r="AI237" i="5" s="1"/>
  <c r="AU236" i="5" a="1"/>
  <c r="AU236" i="5" s="1"/>
  <c r="AR236" i="5" a="1"/>
  <c r="AR236" i="5" s="1"/>
  <c r="BG236" i="5" s="1"/>
  <c r="AI236" i="5" a="1"/>
  <c r="AI236" i="5" s="1"/>
  <c r="AU234" i="5" a="1"/>
  <c r="AU234" i="5" s="1"/>
  <c r="AU233" i="5" a="1"/>
  <c r="AU233" i="5" s="1"/>
  <c r="AU232" i="5" s="1"/>
  <c r="AR233" i="5" a="1"/>
  <c r="AR233" i="5" s="1"/>
  <c r="BG233" i="5" s="1"/>
  <c r="AI233" i="5" a="1"/>
  <c r="AI233" i="5" s="1"/>
  <c r="AI232" i="5" s="1"/>
  <c r="AU231" i="5" a="1"/>
  <c r="AU231" i="5" s="1"/>
  <c r="AR231" i="5" a="1"/>
  <c r="AR231" i="5" s="1"/>
  <c r="BG231" i="5" s="1"/>
  <c r="AI231" i="5" a="1"/>
  <c r="AI231" i="5" s="1"/>
  <c r="AI235" i="5" s="1"/>
  <c r="G231" i="5" a="1"/>
  <c r="G231" i="5" s="1"/>
  <c r="AI230" i="5" a="1"/>
  <c r="AI230" i="5" s="1"/>
  <c r="AU229" i="5" a="1"/>
  <c r="AU229" i="5" s="1"/>
  <c r="AR229" i="5" a="1"/>
  <c r="AR229" i="5" s="1"/>
  <c r="AI229" i="5" a="1"/>
  <c r="AI229" i="5" s="1"/>
  <c r="AU228" i="5"/>
  <c r="AU227" i="5" s="1"/>
  <c r="AU228" i="5" a="1"/>
  <c r="AR228" i="5" a="1"/>
  <c r="AR228" i="5" s="1"/>
  <c r="AI228" i="5" a="1"/>
  <c r="AI228" i="5" s="1"/>
  <c r="AI227" i="5" a="1"/>
  <c r="AI227" i="5" s="1"/>
  <c r="AU226" i="5" a="1"/>
  <c r="AU226" i="5" s="1"/>
  <c r="AU225" i="5" a="1"/>
  <c r="AU225" i="5" s="1"/>
  <c r="AR225" i="5" a="1"/>
  <c r="AR225" i="5" s="1"/>
  <c r="AI225" i="5" a="1"/>
  <c r="AI225" i="5" s="1"/>
  <c r="AU224" i="5" a="1"/>
  <c r="AU224" i="5" s="1"/>
  <c r="AR224" i="5" a="1"/>
  <c r="AR224" i="5" s="1"/>
  <c r="AI224" i="5" a="1"/>
  <c r="AI224" i="5" s="1"/>
  <c r="AU223" i="5" a="1"/>
  <c r="AU223" i="5" s="1"/>
  <c r="AR223" i="5" a="1"/>
  <c r="AR223" i="5" s="1"/>
  <c r="AU222" i="5" a="1"/>
  <c r="AU222" i="5" s="1"/>
  <c r="AR222" i="5" a="1"/>
  <c r="AR222" i="5" s="1"/>
  <c r="AI222" i="5" a="1"/>
  <c r="AI222" i="5" s="1"/>
  <c r="AU221" i="5" a="1"/>
  <c r="AU221" i="5" s="1"/>
  <c r="AR221" i="5" a="1"/>
  <c r="AR221" i="5" s="1"/>
  <c r="BG221" i="5" s="1"/>
  <c r="AI221" i="5" a="1"/>
  <c r="AI221" i="5" s="1"/>
  <c r="AU220" i="5" a="1"/>
  <c r="AU220" i="5" s="1"/>
  <c r="AR220" i="5" a="1"/>
  <c r="AR220" i="5" s="1"/>
  <c r="AI220" i="5" a="1"/>
  <c r="AI220" i="5" s="1"/>
  <c r="AU218" i="5" a="1"/>
  <c r="AU218" i="5" s="1"/>
  <c r="AR218" i="5" a="1"/>
  <c r="AR218" i="5" s="1"/>
  <c r="AU217" i="5" a="1"/>
  <c r="AU217" i="5" s="1"/>
  <c r="AU216" i="5" a="1"/>
  <c r="AU216" i="5" s="1"/>
  <c r="AI216" i="5" a="1"/>
  <c r="AI216" i="5" s="1"/>
  <c r="AU215" i="5" a="1"/>
  <c r="AU215" i="5" s="1"/>
  <c r="AR215" i="5" a="1"/>
  <c r="AR215" i="5" s="1"/>
  <c r="BG215" i="5" s="1"/>
  <c r="AI215" i="5" a="1"/>
  <c r="AI215" i="5" s="1"/>
  <c r="AY214" i="5"/>
  <c r="AR214" i="5"/>
  <c r="AI214" i="5"/>
  <c r="AU213" i="5" a="1"/>
  <c r="AU213" i="5" s="1"/>
  <c r="AU212" i="5" a="1"/>
  <c r="AU212" i="5" s="1"/>
  <c r="AU211" i="5" s="1"/>
  <c r="AU210" i="5" a="1"/>
  <c r="AU210" i="5" s="1"/>
  <c r="AU209" i="5" s="1"/>
  <c r="AY209" i="5"/>
  <c r="AR209" i="5"/>
  <c r="AI209" i="5"/>
  <c r="AU208" i="5" a="1"/>
  <c r="AU208" i="5" s="1"/>
  <c r="AR208" i="5" a="1"/>
  <c r="AR208" i="5" s="1"/>
  <c r="AU207" i="5" a="1"/>
  <c r="AU207" i="5" s="1"/>
  <c r="AI207" i="5" a="1"/>
  <c r="AI207" i="5" s="1"/>
  <c r="AU206" i="5" a="1"/>
  <c r="AU206" i="5" s="1"/>
  <c r="AR206" i="5" a="1"/>
  <c r="AR206" i="5" s="1"/>
  <c r="AU205" i="5" a="1"/>
  <c r="AU205" i="5" s="1"/>
  <c r="AU204" i="5" a="1"/>
  <c r="AU204" i="5" s="1"/>
  <c r="AR204" i="5" a="1"/>
  <c r="AR204" i="5" s="1"/>
  <c r="BG204" i="5" s="1"/>
  <c r="AI204" i="5" a="1"/>
  <c r="AI204" i="5" s="1"/>
  <c r="AU203" i="5" a="1"/>
  <c r="AU203" i="5" s="1"/>
  <c r="AR203" i="5" a="1"/>
  <c r="AR203" i="5" s="1"/>
  <c r="BG203" i="5" s="1"/>
  <c r="AI203" i="5" a="1"/>
  <c r="AI203" i="5" s="1"/>
  <c r="AI201" i="5" s="1"/>
  <c r="AU202" i="5" a="1"/>
  <c r="AU202" i="5" s="1"/>
  <c r="AY199" i="5"/>
  <c r="AR199" i="5"/>
  <c r="AI199" i="5"/>
  <c r="AU198" i="5" a="1"/>
  <c r="AU198" i="5" s="1"/>
  <c r="AU197" i="5" a="1"/>
  <c r="AU197" i="5" s="1"/>
  <c r="AU196" i="5" s="1"/>
  <c r="AU195" i="5" a="1"/>
  <c r="AU195" i="5" s="1"/>
  <c r="AY194" i="5"/>
  <c r="AY191" i="5" s="1"/>
  <c r="AR194" i="5"/>
  <c r="AI194" i="5"/>
  <c r="AU193" i="5"/>
  <c r="AI193" i="5" a="1"/>
  <c r="AI193" i="5" s="1"/>
  <c r="AU192" i="5"/>
  <c r="AR191" i="5"/>
  <c r="AU190" i="5" a="1"/>
  <c r="AU190" i="5" s="1"/>
  <c r="AI190" i="5" a="1"/>
  <c r="AI190" i="5" s="1"/>
  <c r="G190" i="5"/>
  <c r="A190" i="5"/>
  <c r="A189" i="5"/>
  <c r="AU188" i="5" a="1"/>
  <c r="AU188" i="5" s="1"/>
  <c r="AU187" i="5" a="1"/>
  <c r="AU187" i="5" s="1"/>
  <c r="AR187" i="5" a="1"/>
  <c r="AR187" i="5" s="1"/>
  <c r="AI187" i="5" a="1"/>
  <c r="AI187" i="5" s="1"/>
  <c r="AU186" i="5" a="1"/>
  <c r="AU186" i="5" s="1"/>
  <c r="AU185" i="5" a="1"/>
  <c r="AU185" i="5" s="1"/>
  <c r="AI185" i="5" a="1"/>
  <c r="AI185" i="5" s="1"/>
  <c r="AU184" i="5" a="1"/>
  <c r="AU184" i="5" s="1"/>
  <c r="AR184" i="5" a="1"/>
  <c r="AR184" i="5" s="1"/>
  <c r="AI184" i="5" a="1"/>
  <c r="AI184" i="5" s="1"/>
  <c r="AU183" i="5" a="1"/>
  <c r="AU183" i="5" s="1"/>
  <c r="AI183" i="5" a="1"/>
  <c r="AI183" i="5" s="1"/>
  <c r="AU182" i="5" a="1"/>
  <c r="AU182" i="5" s="1"/>
  <c r="AU181" i="5" s="1"/>
  <c r="AI182" i="5" a="1"/>
  <c r="AI182" i="5" s="1"/>
  <c r="AU178" i="5" a="1"/>
  <c r="AU178" i="5" s="1"/>
  <c r="AR178" i="5" a="1"/>
  <c r="AR178" i="5" s="1"/>
  <c r="BG178" i="5" s="1"/>
  <c r="AI178" i="5" a="1"/>
  <c r="AI178" i="5" s="1"/>
  <c r="AU177" i="5" a="1"/>
  <c r="AU177" i="5" s="1"/>
  <c r="AU176" i="5" s="1"/>
  <c r="AU175" i="5"/>
  <c r="AU175" i="5" a="1"/>
  <c r="AR175" i="5" a="1"/>
  <c r="AR175" i="5" s="1"/>
  <c r="AR174" i="5" s="1"/>
  <c r="BG174" i="5" s="1"/>
  <c r="AI175" i="5" a="1"/>
  <c r="AI175" i="5" s="1"/>
  <c r="AU173" i="5" a="1"/>
  <c r="AU173" i="5" s="1"/>
  <c r="AR173" i="5" a="1"/>
  <c r="AR173" i="5" s="1"/>
  <c r="AU172" i="5" a="1"/>
  <c r="AU172" i="5" s="1"/>
  <c r="AR172" i="5" a="1"/>
  <c r="AR172" i="5" s="1"/>
  <c r="AI172" i="5" a="1"/>
  <c r="AI172" i="5" s="1"/>
  <c r="AY171" i="5"/>
  <c r="AR171" i="5"/>
  <c r="AI171" i="5"/>
  <c r="AU170" i="5"/>
  <c r="AU170" i="5" a="1"/>
  <c r="AU169" i="5" a="1"/>
  <c r="AU169" i="5" s="1"/>
  <c r="AU168" i="5" s="1"/>
  <c r="AU167" i="5" a="1"/>
  <c r="AU167" i="5" s="1"/>
  <c r="AU171" i="5" s="1"/>
  <c r="AY166" i="5"/>
  <c r="AR166" i="5"/>
  <c r="AI166" i="5"/>
  <c r="AU165" i="5" a="1"/>
  <c r="AU165" i="5" s="1"/>
  <c r="AR165" i="5" a="1"/>
  <c r="AR165" i="5" s="1"/>
  <c r="BG165" i="5" s="1"/>
  <c r="AI165" i="5" a="1"/>
  <c r="AI165" i="5" s="1"/>
  <c r="AU164" i="5" a="1"/>
  <c r="AU164" i="5" s="1"/>
  <c r="AU163" i="5" a="1"/>
  <c r="AU163" i="5" s="1"/>
  <c r="CK162" i="5"/>
  <c r="CH162" i="5"/>
  <c r="CC162" i="5"/>
  <c r="BZ162" i="5"/>
  <c r="BU162" i="5"/>
  <c r="BR162" i="5"/>
  <c r="BM162" i="5"/>
  <c r="BJ162" i="5"/>
  <c r="BD162" i="5"/>
  <c r="BH162" i="5" s="1"/>
  <c r="AR162" i="5"/>
  <c r="BG162" i="5" s="1"/>
  <c r="AI161" i="5"/>
  <c r="G159" i="5"/>
  <c r="C159" i="5"/>
  <c r="CK155" i="5"/>
  <c r="CH155" i="5"/>
  <c r="CC155" i="5"/>
  <c r="BZ155" i="5"/>
  <c r="BU155" i="5"/>
  <c r="BR155" i="5"/>
  <c r="BM155" i="5"/>
  <c r="BJ155" i="5"/>
  <c r="BD155" i="5"/>
  <c r="CU155" i="5" s="1" a="1"/>
  <c r="CU155" i="5" s="1"/>
  <c r="AY155" i="5"/>
  <c r="AU155" i="5"/>
  <c r="AR155" i="5"/>
  <c r="BG155" i="5" s="1"/>
  <c r="AN155" i="5"/>
  <c r="AI155" i="5"/>
  <c r="CK154" i="5"/>
  <c r="CO154" i="5" s="1"/>
  <c r="CH154" i="5"/>
  <c r="CC154" i="5"/>
  <c r="CN154" i="5" s="1"/>
  <c r="BZ154" i="5"/>
  <c r="BU154" i="5"/>
  <c r="CF154" i="5" s="1"/>
  <c r="BR154" i="5"/>
  <c r="BM154" i="5"/>
  <c r="BJ154" i="5"/>
  <c r="BD154" i="5"/>
  <c r="AY154" i="5"/>
  <c r="AU154" i="5"/>
  <c r="AR154" i="5"/>
  <c r="AN154" i="5"/>
  <c r="AI154" i="5"/>
  <c r="CK153" i="5"/>
  <c r="CH153" i="5"/>
  <c r="CC153" i="5"/>
  <c r="BZ153" i="5"/>
  <c r="BU153" i="5"/>
  <c r="CF153" i="5" s="1"/>
  <c r="BR153" i="5"/>
  <c r="BM153" i="5"/>
  <c r="BJ153" i="5"/>
  <c r="BD153" i="5"/>
  <c r="AY153" i="5"/>
  <c r="AU153" i="5"/>
  <c r="AR153" i="5"/>
  <c r="AN153" i="5"/>
  <c r="AI153" i="5"/>
  <c r="CK152" i="5"/>
  <c r="CH152" i="5"/>
  <c r="CC152" i="5"/>
  <c r="BZ152" i="5"/>
  <c r="BU152" i="5"/>
  <c r="BR152" i="5"/>
  <c r="BM152" i="5"/>
  <c r="BJ152" i="5"/>
  <c r="BD152" i="5"/>
  <c r="BH152" i="5" s="1"/>
  <c r="AY152" i="5"/>
  <c r="AU152" i="5"/>
  <c r="AR152" i="5"/>
  <c r="AN152" i="5"/>
  <c r="AI152" i="5"/>
  <c r="CK151" i="5"/>
  <c r="CO151" i="5" s="1"/>
  <c r="CH151" i="5"/>
  <c r="CC151" i="5"/>
  <c r="BZ151" i="5"/>
  <c r="BU151" i="5"/>
  <c r="BR151" i="5"/>
  <c r="BM151" i="5"/>
  <c r="BJ151" i="5"/>
  <c r="BD151" i="5"/>
  <c r="BI151" i="5" s="1"/>
  <c r="AY151" i="5"/>
  <c r="AU151" i="5"/>
  <c r="AR151" i="5"/>
  <c r="AN151" i="5"/>
  <c r="AI151" i="5"/>
  <c r="CK150" i="5"/>
  <c r="CH150" i="5"/>
  <c r="CC150" i="5"/>
  <c r="BZ150" i="5"/>
  <c r="BU150" i="5"/>
  <c r="CF150" i="5" s="1"/>
  <c r="BR150" i="5"/>
  <c r="BM150" i="5"/>
  <c r="BJ150" i="5"/>
  <c r="BD150" i="5"/>
  <c r="BH150" i="5" s="1"/>
  <c r="AY150" i="5"/>
  <c r="AU150" i="5"/>
  <c r="AR150" i="5"/>
  <c r="AN150" i="5"/>
  <c r="AI150" i="5"/>
  <c r="CK149" i="5"/>
  <c r="CH149" i="5"/>
  <c r="CC149" i="5"/>
  <c r="BZ149" i="5"/>
  <c r="BU149" i="5"/>
  <c r="CF149" i="5" s="1"/>
  <c r="BR149" i="5"/>
  <c r="BM149" i="5"/>
  <c r="BX149" i="5" s="1"/>
  <c r="BJ149" i="5"/>
  <c r="BD149" i="5"/>
  <c r="BP149" i="5" s="1"/>
  <c r="AY149" i="5"/>
  <c r="AU149" i="5"/>
  <c r="AR149" i="5"/>
  <c r="AN149" i="5"/>
  <c r="AI149" i="5"/>
  <c r="CK148" i="5"/>
  <c r="CH148" i="5"/>
  <c r="CC148" i="5"/>
  <c r="CN148" i="5" s="1"/>
  <c r="BZ148" i="5"/>
  <c r="BU148" i="5"/>
  <c r="BR148" i="5"/>
  <c r="BM148" i="5"/>
  <c r="BX148" i="5" s="1"/>
  <c r="BJ148" i="5"/>
  <c r="BD148" i="5"/>
  <c r="BH148" i="5" s="1"/>
  <c r="AY148" i="5"/>
  <c r="AU148" i="5"/>
  <c r="AR148" i="5"/>
  <c r="BG148" i="5" s="1"/>
  <c r="AN148" i="5"/>
  <c r="AI148" i="5"/>
  <c r="CK147" i="5"/>
  <c r="CO147" i="5" s="1"/>
  <c r="CH147" i="5"/>
  <c r="CC147" i="5"/>
  <c r="BZ147" i="5"/>
  <c r="BU147" i="5"/>
  <c r="BY147" i="5" s="1"/>
  <c r="BR147" i="5"/>
  <c r="BM147" i="5"/>
  <c r="BJ147" i="5"/>
  <c r="BD147" i="5"/>
  <c r="BP147" i="5" s="1"/>
  <c r="AY147" i="5"/>
  <c r="AU147" i="5"/>
  <c r="AR147" i="5"/>
  <c r="AN147" i="5"/>
  <c r="AI147" i="5"/>
  <c r="BR146" i="5"/>
  <c r="CK144" i="5"/>
  <c r="CH144" i="5"/>
  <c r="CC144" i="5"/>
  <c r="CN144" i="5" s="1"/>
  <c r="BZ144" i="5"/>
  <c r="BU144" i="5"/>
  <c r="BR144" i="5"/>
  <c r="BM144" i="5"/>
  <c r="BX144" i="5" s="1"/>
  <c r="BJ144" i="5"/>
  <c r="BD144" i="5"/>
  <c r="AY144" i="5"/>
  <c r="AU144" i="5"/>
  <c r="AR144" i="5"/>
  <c r="BG144" i="5" s="1"/>
  <c r="AN144" i="5"/>
  <c r="AI144" i="5"/>
  <c r="CK143" i="5"/>
  <c r="CH143" i="5"/>
  <c r="CH138" i="5" s="1" a="1"/>
  <c r="CH138" i="5" s="1"/>
  <c r="CC143" i="5"/>
  <c r="BZ143" i="5"/>
  <c r="BU143" i="5"/>
  <c r="BR143" i="5"/>
  <c r="BR138" i="5" s="1" a="1"/>
  <c r="BR138" i="5" s="1"/>
  <c r="BM143" i="5"/>
  <c r="BJ143" i="5"/>
  <c r="BJ138" i="5" s="1" a="1"/>
  <c r="BJ138" i="5" s="1"/>
  <c r="BD143" i="5"/>
  <c r="BP143" i="5" s="1"/>
  <c r="AY143" i="5"/>
  <c r="AY138" i="5" s="1" a="1"/>
  <c r="AY138" i="5" s="1"/>
  <c r="AU143" i="5"/>
  <c r="AU138" i="5" s="1" a="1"/>
  <c r="AU138" i="5" s="1"/>
  <c r="AR143" i="5"/>
  <c r="BG143" i="5" s="1"/>
  <c r="AN143" i="5"/>
  <c r="AI143" i="5"/>
  <c r="CK140" i="5"/>
  <c r="CH140" i="5"/>
  <c r="CC140" i="5"/>
  <c r="BZ140" i="5"/>
  <c r="BU140" i="5"/>
  <c r="BX140" i="5" s="1"/>
  <c r="BR140" i="5"/>
  <c r="BM140" i="5"/>
  <c r="BJ140" i="5"/>
  <c r="BD140" i="5"/>
  <c r="BH140" i="5" s="1"/>
  <c r="AY140" i="5"/>
  <c r="AU140" i="5"/>
  <c r="AR140" i="5"/>
  <c r="AN140" i="5"/>
  <c r="AI140" i="5"/>
  <c r="CK139" i="5"/>
  <c r="CH139" i="5"/>
  <c r="CC139" i="5"/>
  <c r="BZ139" i="5"/>
  <c r="BU139" i="5"/>
  <c r="BR139" i="5"/>
  <c r="BM139" i="5"/>
  <c r="BJ139" i="5"/>
  <c r="BD139" i="5"/>
  <c r="BP139" i="5" s="1"/>
  <c r="AY139" i="5"/>
  <c r="AU139" i="5"/>
  <c r="AR139" i="5"/>
  <c r="AN139" i="5"/>
  <c r="AI139" i="5"/>
  <c r="CC138" i="5" a="1"/>
  <c r="CC138" i="5" s="1"/>
  <c r="BZ138" i="5" a="1"/>
  <c r="BZ138" i="5" s="1"/>
  <c r="BM138" i="5" a="1"/>
  <c r="BM138" i="5" s="1"/>
  <c r="BD138" i="5" a="1"/>
  <c r="BD138" i="5" s="1"/>
  <c r="BH138" i="5" s="1"/>
  <c r="AN138" i="5" a="1"/>
  <c r="AN138" i="5" s="1"/>
  <c r="AA138" i="5"/>
  <c r="AA140" i="5" s="1"/>
  <c r="Y125" i="5"/>
  <c r="Y126" i="5" s="1"/>
  <c r="CK120" i="5"/>
  <c r="CH120" i="5"/>
  <c r="CC120" i="5"/>
  <c r="BZ120" i="5"/>
  <c r="BU120" i="5"/>
  <c r="BR120" i="5"/>
  <c r="BM120" i="5"/>
  <c r="BJ120" i="5"/>
  <c r="BD120" i="5"/>
  <c r="CU120" i="5" s="1" a="1"/>
  <c r="CU120" i="5" s="1"/>
  <c r="AU120" i="5"/>
  <c r="AR120" i="5"/>
  <c r="AN120" i="5"/>
  <c r="AI120" i="5"/>
  <c r="AF120" i="5"/>
  <c r="AA120" i="5"/>
  <c r="AI119" i="5"/>
  <c r="AN119" i="5" s="1" a="1"/>
  <c r="AN119" i="5" s="1"/>
  <c r="CU118" i="5" a="1"/>
  <c r="CU118" i="5" s="1"/>
  <c r="AN118" i="5" a="1"/>
  <c r="AN118" i="5" s="1"/>
  <c r="CT118" i="5" s="1"/>
  <c r="CU117" i="5" a="1"/>
  <c r="CU117" i="5" s="1"/>
  <c r="CO117" i="5"/>
  <c r="CN117" i="5"/>
  <c r="CG117" i="5"/>
  <c r="CF117" i="5"/>
  <c r="BY117" i="5"/>
  <c r="BX117" i="5"/>
  <c r="BQ117" i="5"/>
  <c r="BP117" i="5"/>
  <c r="BH117" i="5"/>
  <c r="AU117" i="5" a="1"/>
  <c r="AU117" i="5" s="1"/>
  <c r="AN117" i="5" a="1"/>
  <c r="AN117" i="5" s="1"/>
  <c r="CT117" i="5" s="1"/>
  <c r="CK116" i="5"/>
  <c r="CH116" i="5"/>
  <c r="CC116" i="5"/>
  <c r="CN116" i="5" s="1"/>
  <c r="BZ116" i="5"/>
  <c r="BU116" i="5"/>
  <c r="BR116" i="5"/>
  <c r="BM116" i="5"/>
  <c r="BX116" i="5" s="1"/>
  <c r="BJ116" i="5"/>
  <c r="BD116" i="5"/>
  <c r="BP116" i="5" s="1"/>
  <c r="AU116" i="5"/>
  <c r="AN116" i="5" a="1"/>
  <c r="AN116" i="5" s="1"/>
  <c r="AY115" i="5" a="1"/>
  <c r="AY115" i="5" s="1"/>
  <c r="AR115" i="5" a="1"/>
  <c r="AR115" i="5" s="1"/>
  <c r="BG115" i="5" s="1"/>
  <c r="AI115" i="5" a="1"/>
  <c r="AI115" i="5" s="1"/>
  <c r="CK114" i="5"/>
  <c r="CH114" i="5"/>
  <c r="CC114" i="5"/>
  <c r="BZ114" i="5"/>
  <c r="BU114" i="5"/>
  <c r="BR114" i="5"/>
  <c r="BM114" i="5"/>
  <c r="BQ114" i="5" s="1"/>
  <c r="BJ114" i="5"/>
  <c r="BD114" i="5"/>
  <c r="BP114" i="5" s="1"/>
  <c r="AU114" i="5"/>
  <c r="AR114" i="5"/>
  <c r="AN114" i="5"/>
  <c r="AI114" i="5"/>
  <c r="AF114" i="5"/>
  <c r="BD113" i="5" a="1"/>
  <c r="BD113" i="5" s="1"/>
  <c r="AU113" i="5" a="1"/>
  <c r="AU113" i="5" s="1"/>
  <c r="AN113" i="5" a="1"/>
  <c r="AN113" i="5" s="1"/>
  <c r="AN112" i="5"/>
  <c r="AI112" i="5"/>
  <c r="AF112" i="5"/>
  <c r="AA112" i="5"/>
  <c r="E112" i="5" a="1"/>
  <c r="E112" i="5" s="1"/>
  <c r="AA111" i="5"/>
  <c r="AA114" i="5" s="1"/>
  <c r="E111" i="5" a="1"/>
  <c r="E111" i="5" s="1"/>
  <c r="AV109" i="5"/>
  <c r="AV385" i="5" s="1"/>
  <c r="AF109" i="5"/>
  <c r="AE109" i="5"/>
  <c r="AE385" i="5" s="1"/>
  <c r="AD109" i="5"/>
  <c r="AD385" i="5" s="1"/>
  <c r="AA109" i="5"/>
  <c r="A108" i="5"/>
  <c r="B108" i="5" s="1" a="1"/>
  <c r="B108" i="5" s="1"/>
  <c r="Y107" i="5" a="1"/>
  <c r="Y107" i="5" s="1"/>
  <c r="B107" i="5"/>
  <c r="M106" i="5" a="1"/>
  <c r="M106" i="5" s="1"/>
  <c r="A106" i="5"/>
  <c r="B106" i="5" s="1"/>
  <c r="M105" i="5" a="1"/>
  <c r="M105" i="5" s="1"/>
  <c r="A105" i="5"/>
  <c r="B105" i="5" s="1"/>
  <c r="M104" i="5" a="1"/>
  <c r="M104" i="5" s="1"/>
  <c r="A104" i="5"/>
  <c r="B104" i="5" s="1"/>
  <c r="M103" i="5" a="1"/>
  <c r="M103" i="5" s="1"/>
  <c r="A103" i="5"/>
  <c r="B103" i="5" s="1"/>
  <c r="M102" i="5" a="1"/>
  <c r="M102" i="5" s="1"/>
  <c r="A102" i="5"/>
  <c r="B102" i="5" s="1" a="1"/>
  <c r="B102" i="5" s="1"/>
  <c r="M101" i="5" a="1"/>
  <c r="M101" i="5" s="1"/>
  <c r="A101" i="5"/>
  <c r="B101" i="5" s="1" a="1"/>
  <c r="B101" i="5" s="1"/>
  <c r="M100" i="5" a="1"/>
  <c r="M100" i="5" s="1"/>
  <c r="A100" i="5"/>
  <c r="B100" i="5" s="1" a="1"/>
  <c r="B100" i="5" s="1"/>
  <c r="M99" i="5" a="1"/>
  <c r="M99" i="5" s="1"/>
  <c r="A99" i="5"/>
  <c r="B99" i="5" s="1" a="1"/>
  <c r="B99" i="5" s="1"/>
  <c r="M98" i="5" a="1"/>
  <c r="M98" i="5" s="1"/>
  <c r="A98" i="5"/>
  <c r="B98" i="5" s="1" a="1"/>
  <c r="B98" i="5" s="1"/>
  <c r="M97" i="5" a="1"/>
  <c r="M97" i="5" s="1"/>
  <c r="A97" i="5"/>
  <c r="B97" i="5" s="1" a="1"/>
  <c r="B97" i="5" s="1"/>
  <c r="M96" i="5" a="1"/>
  <c r="M96" i="5" s="1"/>
  <c r="A96" i="5"/>
  <c r="B96" i="5" s="1" a="1"/>
  <c r="B96" i="5" s="1"/>
  <c r="M95" i="5" a="1"/>
  <c r="M95" i="5" s="1"/>
  <c r="A95" i="5"/>
  <c r="B95" i="5" s="1" a="1"/>
  <c r="B95" i="5" s="1"/>
  <c r="M94" i="5" a="1"/>
  <c r="M94" i="5" s="1"/>
  <c r="A94" i="5"/>
  <c r="B94" i="5" s="1" a="1"/>
  <c r="B94" i="5" s="1"/>
  <c r="M93" i="5" a="1"/>
  <c r="M93" i="5" s="1"/>
  <c r="A93" i="5"/>
  <c r="B93" i="5" s="1" a="1"/>
  <c r="B93" i="5" s="1"/>
  <c r="M92" i="5" a="1"/>
  <c r="M92" i="5" s="1"/>
  <c r="A92" i="5"/>
  <c r="B92" i="5" s="1" a="1"/>
  <c r="B92" i="5" s="1"/>
  <c r="M91" i="5" a="1"/>
  <c r="M91" i="5" s="1"/>
  <c r="M90" i="5"/>
  <c r="M90" i="5" a="1"/>
  <c r="CK89" i="5" a="1"/>
  <c r="CK89" i="5" s="1"/>
  <c r="CH89" i="5" a="1"/>
  <c r="CH89" i="5" s="1"/>
  <c r="CC89" i="5" a="1"/>
  <c r="CC89" i="5" s="1"/>
  <c r="BZ89" i="5" a="1"/>
  <c r="BZ89" i="5" s="1"/>
  <c r="BU89" i="5" a="1"/>
  <c r="BU89" i="5" s="1"/>
  <c r="BR89" i="5" a="1"/>
  <c r="BR89" i="5" s="1"/>
  <c r="BM89" i="5" a="1"/>
  <c r="BM89" i="5" s="1"/>
  <c r="BJ89" i="5" a="1"/>
  <c r="BJ89" i="5" s="1"/>
  <c r="BD89" i="5" a="1"/>
  <c r="BD89" i="5" s="1"/>
  <c r="AV89" i="5" a="1"/>
  <c r="AV89" i="5" s="1"/>
  <c r="AU89" i="5" a="1"/>
  <c r="AU89" i="5" s="1"/>
  <c r="AR89" i="5" a="1"/>
  <c r="AR89" i="5" s="1"/>
  <c r="AO89" i="5" a="1"/>
  <c r="AO89" i="5" s="1"/>
  <c r="AN89" i="5" a="1"/>
  <c r="AN89" i="5" s="1"/>
  <c r="AI89" i="5" a="1"/>
  <c r="AI89" i="5" s="1"/>
  <c r="AF89" i="5" a="1"/>
  <c r="AF89" i="5" s="1"/>
  <c r="AE89" i="5" a="1"/>
  <c r="AE89" i="5" s="1"/>
  <c r="AD89" i="5" a="1"/>
  <c r="AD89" i="5" s="1"/>
  <c r="AD88" i="5" a="1"/>
  <c r="AD88" i="5" s="1"/>
  <c r="CN85" i="5"/>
  <c r="CK85" i="5"/>
  <c r="CH85" i="5"/>
  <c r="CF85" i="5"/>
  <c r="CC85" i="5"/>
  <c r="BZ85" i="5"/>
  <c r="BX85" i="5"/>
  <c r="BU85" i="5"/>
  <c r="BR85" i="5"/>
  <c r="BP85" i="5"/>
  <c r="BM85" i="5"/>
  <c r="BJ85" i="5"/>
  <c r="BG85" i="5"/>
  <c r="BD85" i="5"/>
  <c r="AU85" i="5"/>
  <c r="CO84" i="5"/>
  <c r="CN84" i="5"/>
  <c r="CK84" i="5"/>
  <c r="CK87" i="5" s="1"/>
  <c r="CK272" i="5" s="1" a="1"/>
  <c r="CK272" i="5" s="1"/>
  <c r="CH84" i="5"/>
  <c r="CH87" i="5" s="1"/>
  <c r="CH272" i="5" s="1" a="1"/>
  <c r="CH272" i="5" s="1"/>
  <c r="CG84" i="5"/>
  <c r="CF84" i="5"/>
  <c r="CC84" i="5"/>
  <c r="CC87" i="5" s="1"/>
  <c r="CC272" i="5" s="1" a="1"/>
  <c r="CC272" i="5" s="1"/>
  <c r="BZ84" i="5"/>
  <c r="BZ87" i="5" s="1"/>
  <c r="BZ272" i="5" s="1" a="1"/>
  <c r="BZ272" i="5" s="1"/>
  <c r="BY84" i="5"/>
  <c r="BX84" i="5"/>
  <c r="BU84" i="5"/>
  <c r="BU87" i="5" s="1"/>
  <c r="BU272" i="5" s="1" a="1"/>
  <c r="BU272" i="5" s="1"/>
  <c r="BR84" i="5"/>
  <c r="BR87" i="5" s="1"/>
  <c r="BR272" i="5" s="1" a="1"/>
  <c r="BR272" i="5" s="1"/>
  <c r="BQ84" i="5"/>
  <c r="BP84" i="5"/>
  <c r="BM84" i="5"/>
  <c r="BM87" i="5" s="1"/>
  <c r="BM272" i="5" s="1" a="1"/>
  <c r="BM272" i="5" s="1"/>
  <c r="BJ84" i="5"/>
  <c r="BJ87" i="5" s="1"/>
  <c r="BJ272" i="5" s="1" a="1"/>
  <c r="BJ272" i="5" s="1"/>
  <c r="BI84" i="5" a="1"/>
  <c r="BI84" i="5" s="1"/>
  <c r="BH84" i="5" a="1"/>
  <c r="BH84" i="5" s="1"/>
  <c r="BG84" i="5" a="1"/>
  <c r="BG84" i="5" s="1"/>
  <c r="BD84" i="5" a="1"/>
  <c r="BD84" i="5" s="1"/>
  <c r="BD88" i="5" s="1"/>
  <c r="AY84" i="5" a="1"/>
  <c r="AY84" i="5" s="1"/>
  <c r="AY87" i="5" s="1"/>
  <c r="AV84" i="5" a="1"/>
  <c r="AV84" i="5" s="1"/>
  <c r="AV87" i="5" s="1"/>
  <c r="AU84" i="5"/>
  <c r="AU87" i="5" s="1"/>
  <c r="AR84" i="5"/>
  <c r="AR88" i="5" s="1"/>
  <c r="AO84" i="5"/>
  <c r="AO88" i="5" s="1"/>
  <c r="AN84" i="5"/>
  <c r="AN87" i="5" s="1"/>
  <c r="AI84" i="5"/>
  <c r="AF84" i="5"/>
  <c r="AF88" i="5" s="1"/>
  <c r="AE84" i="5"/>
  <c r="AE88" i="5" s="1"/>
  <c r="AD84" i="5"/>
  <c r="AD85" i="5" s="1"/>
  <c r="BD81" i="5"/>
  <c r="AN81" i="5"/>
  <c r="AC81" i="5" a="1"/>
  <c r="AC81" i="5" s="1"/>
  <c r="BD80" i="5"/>
  <c r="AC80" i="5"/>
  <c r="AC79" i="5" a="1"/>
  <c r="AC79" i="5" s="1"/>
  <c r="AC78" i="5" a="1"/>
  <c r="AC78" i="5" s="1"/>
  <c r="AC56" i="5" a="1"/>
  <c r="AC56" i="5" s="1"/>
  <c r="AC55" i="5"/>
  <c r="A174" i="5" s="1"/>
  <c r="A175" i="5" s="1" a="1"/>
  <c r="A175" i="5" s="1"/>
  <c r="A176" i="5" s="1" a="1"/>
  <c r="A176" i="5" s="1"/>
  <c r="A177" i="5" s="1" a="1"/>
  <c r="A177" i="5" s="1"/>
  <c r="A178" i="5" s="1" a="1"/>
  <c r="A178" i="5" s="1"/>
  <c r="A179" i="5" s="1" a="1"/>
  <c r="A179" i="5" s="1"/>
  <c r="A180" i="5" s="1" a="1"/>
  <c r="A180" i="5" s="1"/>
  <c r="AC54" i="5"/>
  <c r="AC53" i="5" a="1"/>
  <c r="AC53" i="5" s="1"/>
  <c r="AC52" i="5" a="1"/>
  <c r="AC52" i="5" s="1"/>
  <c r="AC51" i="5" a="1"/>
  <c r="AC51" i="5" s="1"/>
  <c r="AC50" i="5" a="1"/>
  <c r="AC50" i="5" s="1"/>
  <c r="AC49" i="5" a="1"/>
  <c r="AC49" i="5" s="1"/>
  <c r="AC48" i="5" a="1"/>
  <c r="AC48" i="5" s="1"/>
  <c r="AC47" i="5" a="1"/>
  <c r="AC47" i="5" s="1"/>
  <c r="A308" i="5" s="1"/>
  <c r="B308" i="5" s="1" a="1"/>
  <c r="B308" i="5" s="1"/>
  <c r="AC46" i="5"/>
  <c r="AC46" i="5" a="1"/>
  <c r="AC45" i="5" a="1"/>
  <c r="AC45" i="5" s="1"/>
  <c r="AC44" i="5" a="1"/>
  <c r="AC44" i="5" s="1"/>
  <c r="AC43" i="5" a="1"/>
  <c r="AC43" i="5" s="1"/>
  <c r="AC42" i="5" a="1"/>
  <c r="AC42" i="5" s="1"/>
  <c r="AC41" i="5" a="1"/>
  <c r="AC41" i="5" s="1"/>
  <c r="AC40" i="5" a="1"/>
  <c r="AC40" i="5" s="1"/>
  <c r="AC39" i="5" a="1"/>
  <c r="AC39" i="5" s="1"/>
  <c r="AC38" i="5" a="1"/>
  <c r="AC38" i="5" s="1"/>
  <c r="AC37" i="5" a="1"/>
  <c r="AC37" i="5" s="1"/>
  <c r="AC36" i="5" a="1"/>
  <c r="AC36" i="5" s="1"/>
  <c r="B245" i="5" s="1"/>
  <c r="B254" i="5" s="1" a="1"/>
  <c r="B254" i="5" s="1"/>
  <c r="AC35" i="5" a="1"/>
  <c r="AC35" i="5" s="1"/>
  <c r="AC34" i="5" a="1"/>
  <c r="AC34" i="5" s="1"/>
  <c r="AC33" i="5" a="1"/>
  <c r="AC33" i="5" s="1"/>
  <c r="AC32" i="5" a="1"/>
  <c r="AC32" i="5" s="1"/>
  <c r="AC31" i="5" a="1"/>
  <c r="AC31" i="5" s="1"/>
  <c r="AC30" i="5" a="1"/>
  <c r="AC30" i="5" s="1"/>
  <c r="AC29" i="5" a="1"/>
  <c r="AC29" i="5" s="1"/>
  <c r="AC28" i="5" a="1"/>
  <c r="AC28" i="5" s="1"/>
  <c r="AC27" i="5" a="1"/>
  <c r="AC27" i="5" s="1"/>
  <c r="AC26" i="5" a="1"/>
  <c r="AC26" i="5" s="1"/>
  <c r="AC25" i="5" a="1"/>
  <c r="AC25" i="5" s="1"/>
  <c r="AC24" i="5" a="1"/>
  <c r="AC24" i="5" s="1"/>
  <c r="AC23" i="5"/>
  <c r="AC22" i="5" a="1"/>
  <c r="AC22" i="5" s="1"/>
  <c r="CQ21" i="5" a="1"/>
  <c r="CQ21" i="5" s="1"/>
  <c r="CQ1" i="5" s="1" a="1"/>
  <c r="CQ1" i="5" s="1"/>
  <c r="CR1" i="5" s="1" a="1"/>
  <c r="CR1" i="5" s="1"/>
  <c r="CS1" i="5" s="1" a="1"/>
  <c r="CS1" i="5" s="1"/>
  <c r="CT1" i="5" s="1" a="1"/>
  <c r="CT1" i="5" s="1"/>
  <c r="CU1" i="5" s="1" a="1"/>
  <c r="CU1" i="5" s="1"/>
  <c r="CV1" i="5" s="1" a="1"/>
  <c r="CV1" i="5" s="1"/>
  <c r="CW1" i="5" s="1" a="1"/>
  <c r="CW1" i="5" s="1"/>
  <c r="CX1" i="5" s="1" a="1"/>
  <c r="CX1" i="5" s="1"/>
  <c r="CY1" i="5" s="1" a="1"/>
  <c r="CY1" i="5" s="1"/>
  <c r="CZ1" i="5" s="1" a="1"/>
  <c r="CZ1" i="5" s="1"/>
  <c r="DA1" i="5" s="1" a="1"/>
  <c r="DA1" i="5" s="1"/>
  <c r="DB1" i="5" s="1" a="1"/>
  <c r="DB1" i="5" s="1"/>
  <c r="CM21" i="5" a="1"/>
  <c r="CM21" i="5" s="1"/>
  <c r="CL21" i="5" a="1"/>
  <c r="CL21" i="5" s="1"/>
  <c r="CK21" i="5" a="1"/>
  <c r="CK21" i="5" s="1"/>
  <c r="CJ21" i="5" a="1"/>
  <c r="CJ21" i="5" s="1"/>
  <c r="CI21" i="5" a="1"/>
  <c r="CI21" i="5" s="1"/>
  <c r="CH21" i="5" a="1"/>
  <c r="CH21" i="5" s="1"/>
  <c r="CH1" i="5" s="1" a="1"/>
  <c r="CH1" i="5" s="1"/>
  <c r="CE21" i="5" a="1"/>
  <c r="CE21" i="5" s="1"/>
  <c r="CD21" i="5" a="1"/>
  <c r="CD21" i="5" s="1"/>
  <c r="CC21" i="5" a="1"/>
  <c r="CC21" i="5" s="1"/>
  <c r="CB21" i="5" a="1"/>
  <c r="CB21" i="5" s="1"/>
  <c r="CA21" i="5" a="1"/>
  <c r="CA21" i="5" s="1"/>
  <c r="BZ21" i="5" a="1"/>
  <c r="BZ21" i="5" s="1"/>
  <c r="BW21" i="5" a="1"/>
  <c r="BW21" i="5" s="1"/>
  <c r="BV21" i="5" a="1"/>
  <c r="BV21" i="5" s="1"/>
  <c r="BU21" i="5" a="1"/>
  <c r="BU21" i="5" s="1"/>
  <c r="BT21" i="5" a="1"/>
  <c r="BT21" i="5" s="1"/>
  <c r="BS21" i="5" a="1"/>
  <c r="BS21" i="5" s="1"/>
  <c r="BR21" i="5" a="1"/>
  <c r="BR21" i="5" s="1"/>
  <c r="BR1" i="5" s="1" a="1"/>
  <c r="BR1" i="5" s="1"/>
  <c r="BO21" i="5" a="1"/>
  <c r="BO21" i="5" s="1"/>
  <c r="BN21" i="5" a="1"/>
  <c r="BN21" i="5" s="1"/>
  <c r="BM21" i="5" a="1"/>
  <c r="BM21" i="5" s="1"/>
  <c r="BL21" i="5" a="1"/>
  <c r="BL21" i="5" s="1"/>
  <c r="BK21" i="5" a="1"/>
  <c r="BK21" i="5" s="1"/>
  <c r="BJ21" i="5" a="1"/>
  <c r="BJ21" i="5" s="1"/>
  <c r="BF21" i="5" a="1"/>
  <c r="BF21" i="5" s="1"/>
  <c r="BE21" i="5" a="1"/>
  <c r="BE21" i="5" s="1"/>
  <c r="BD21" i="5" a="1"/>
  <c r="BD21" i="5" s="1"/>
  <c r="BD1" i="5" s="1" a="1"/>
  <c r="BD1" i="5" s="1"/>
  <c r="BE1" i="5" s="1"/>
  <c r="BC21" i="5" a="1"/>
  <c r="BC21" i="5" s="1"/>
  <c r="BB21" i="5" a="1"/>
  <c r="BB21" i="5" s="1"/>
  <c r="BA21" i="5" a="1"/>
  <c r="BA21" i="5" s="1"/>
  <c r="AZ21" i="5" a="1"/>
  <c r="AZ21" i="5" s="1"/>
  <c r="AY21" i="5" a="1"/>
  <c r="AY21" i="5" s="1"/>
  <c r="AY1" i="5" s="1" a="1"/>
  <c r="AY1" i="5" s="1"/>
  <c r="AX21" i="5" a="1"/>
  <c r="AX21" i="5" s="1"/>
  <c r="AW21" i="5" a="1"/>
  <c r="AW21" i="5" s="1"/>
  <c r="AV21" i="5" a="1"/>
  <c r="AV21" i="5" s="1"/>
  <c r="AV1" i="5" s="1" a="1"/>
  <c r="AV1" i="5" s="1"/>
  <c r="AW1" i="5" s="1"/>
  <c r="AU21" i="5" a="1"/>
  <c r="AU21" i="5" s="1"/>
  <c r="AU1" i="5" s="1" a="1"/>
  <c r="AU1" i="5" s="1"/>
  <c r="AT21" i="5" a="1"/>
  <c r="AT21" i="5" s="1"/>
  <c r="AS21" i="5" a="1"/>
  <c r="AS21" i="5" s="1"/>
  <c r="AR21" i="5" a="1"/>
  <c r="AR21" i="5" s="1"/>
  <c r="AQ21" i="5" a="1"/>
  <c r="AQ21" i="5" s="1"/>
  <c r="AP21" i="5" a="1"/>
  <c r="AP21" i="5" s="1"/>
  <c r="AO21" i="5" a="1"/>
  <c r="AO21" i="5" s="1"/>
  <c r="AN21" i="5" a="1"/>
  <c r="AN21" i="5" s="1"/>
  <c r="AN1" i="5" s="1" a="1"/>
  <c r="AN1" i="5" s="1"/>
  <c r="AM21" i="5" a="1"/>
  <c r="AM21" i="5" s="1"/>
  <c r="AL21" i="5" a="1"/>
  <c r="AL21" i="5" s="1"/>
  <c r="AK21" i="5" a="1"/>
  <c r="AK21" i="5" s="1"/>
  <c r="AJ21" i="5" a="1"/>
  <c r="AJ21" i="5" s="1"/>
  <c r="AI21" i="5" a="1"/>
  <c r="AI21" i="5" s="1"/>
  <c r="AI1" i="5" s="1" a="1"/>
  <c r="AI1" i="5" s="1"/>
  <c r="AH21" i="5" a="1"/>
  <c r="AH21" i="5" s="1"/>
  <c r="AG21" i="5" a="1"/>
  <c r="AG21" i="5" s="1"/>
  <c r="AF21" i="5" a="1"/>
  <c r="AF21" i="5" s="1"/>
  <c r="AF1" i="5" s="1" a="1"/>
  <c r="AF1" i="5" s="1"/>
  <c r="AE21" i="5" a="1"/>
  <c r="AE21" i="5" s="1"/>
  <c r="AE1" i="5" s="1" a="1"/>
  <c r="AE1" i="5" s="1"/>
  <c r="AD21" i="5" a="1"/>
  <c r="AD21" i="5" s="1"/>
  <c r="AM2" i="5"/>
  <c r="AL2" i="5"/>
  <c r="CC1" i="5" a="1"/>
  <c r="CC1" i="5" s="1"/>
  <c r="BM1" i="5" a="1"/>
  <c r="BM1" i="5" s="1"/>
  <c r="AO1" i="5" a="1"/>
  <c r="AO1" i="5" s="1"/>
  <c r="CF249" i="5" l="1"/>
  <c r="AN146" i="5"/>
  <c r="CH146" i="5"/>
  <c r="CO254" i="5"/>
  <c r="BY256" i="5"/>
  <c r="BQ301" i="5"/>
  <c r="AN115" i="5"/>
  <c r="CT115" i="5" s="1"/>
  <c r="CG114" i="5"/>
  <c r="AR138" i="5" a="1"/>
  <c r="AR138" i="5" s="1"/>
  <c r="CO140" i="5"/>
  <c r="CO143" i="5"/>
  <c r="BG149" i="5"/>
  <c r="CU149" i="5" a="1"/>
  <c r="CU149" i="5" s="1"/>
  <c r="BG150" i="5"/>
  <c r="BG151" i="5"/>
  <c r="BY153" i="5"/>
  <c r="CO153" i="5"/>
  <c r="CO245" i="5"/>
  <c r="CO249" i="5"/>
  <c r="BY253" i="5"/>
  <c r="CO253" i="5"/>
  <c r="BI261" i="5"/>
  <c r="BI264" i="5"/>
  <c r="CT291" i="5"/>
  <c r="CU303" i="5" a="1"/>
  <c r="CU303" i="5" s="1"/>
  <c r="AN320" i="5"/>
  <c r="BX249" i="5"/>
  <c r="CT334" i="5"/>
  <c r="CG120" i="5"/>
  <c r="BG139" i="5"/>
  <c r="BI139" i="5"/>
  <c r="BY139" i="5"/>
  <c r="CO139" i="5"/>
  <c r="BQ140" i="5"/>
  <c r="CG140" i="5"/>
  <c r="BG147" i="5"/>
  <c r="BY152" i="5"/>
  <c r="CO152" i="5"/>
  <c r="AR234" i="5"/>
  <c r="BQ247" i="5"/>
  <c r="BY249" i="5"/>
  <c r="BY274" i="5"/>
  <c r="CO274" i="5"/>
  <c r="CO287" i="5"/>
  <c r="AI303" i="5"/>
  <c r="CN249" i="5"/>
  <c r="CU252" i="5" a="1"/>
  <c r="CU252" i="5" s="1"/>
  <c r="BH252" i="5"/>
  <c r="CT339" i="5"/>
  <c r="BI311" i="5"/>
  <c r="AY310" i="5"/>
  <c r="BX328" i="5"/>
  <c r="BM320" i="5"/>
  <c r="BX320" i="5" s="1"/>
  <c r="A109" i="5" a="1"/>
  <c r="A109" i="5" s="1"/>
  <c r="A110" i="5" s="1" a="1"/>
  <c r="A110" i="5" s="1"/>
  <c r="A111" i="5" s="1" a="1"/>
  <c r="A111" i="5" s="1"/>
  <c r="AA115" i="5"/>
  <c r="AA118" i="5" s="1"/>
  <c r="CF120" i="5"/>
  <c r="CN139" i="5"/>
  <c r="CN140" i="5"/>
  <c r="BP152" i="5"/>
  <c r="BY154" i="5"/>
  <c r="BH155" i="5"/>
  <c r="BY162" i="5"/>
  <c r="CO162" i="5"/>
  <c r="AU201" i="5"/>
  <c r="BG248" i="5"/>
  <c r="BG251" i="5"/>
  <c r="BG253" i="5"/>
  <c r="CU256" i="5" a="1"/>
  <c r="CU256" i="5" s="1"/>
  <c r="AY259" i="5"/>
  <c r="BI260" i="5"/>
  <c r="B294" i="5" a="1"/>
  <c r="B294" i="5" s="1"/>
  <c r="CG310" i="5"/>
  <c r="A316" i="5" a="1"/>
  <c r="A316" i="5" s="1"/>
  <c r="B316" i="5" s="1" a="1"/>
  <c r="B316" i="5" s="1"/>
  <c r="AF85" i="5"/>
  <c r="AR119" i="5"/>
  <c r="AI111" i="5"/>
  <c r="CO144" i="5"/>
  <c r="AY146" i="5"/>
  <c r="AY145" i="5" s="1"/>
  <c r="BP155" i="5"/>
  <c r="BI256" i="5"/>
  <c r="BR259" i="5"/>
  <c r="CO261" i="5"/>
  <c r="CU262" i="5" a="1"/>
  <c r="CU262" i="5" s="1"/>
  <c r="BQ275" i="5"/>
  <c r="CG275" i="5"/>
  <c r="BY276" i="5"/>
  <c r="CO276" i="5"/>
  <c r="BI289" i="5"/>
  <c r="BI299" i="5"/>
  <c r="BI310" i="5"/>
  <c r="CT325" i="5"/>
  <c r="AR85" i="5"/>
  <c r="AR87" i="5"/>
  <c r="AF119" i="5"/>
  <c r="CT119" i="5" s="1"/>
  <c r="BI143" i="5"/>
  <c r="BY143" i="5"/>
  <c r="BQ149" i="5"/>
  <c r="CG246" i="5"/>
  <c r="BG250" i="5"/>
  <c r="CO271" i="5"/>
  <c r="AU294" i="5"/>
  <c r="CU294" i="5"/>
  <c r="CU322" i="5" s="1"/>
  <c r="BQ303" i="5"/>
  <c r="CT310" i="5"/>
  <c r="CO116" i="5"/>
  <c r="CU139" i="5" a="1"/>
  <c r="CU139" i="5" s="1"/>
  <c r="BJ146" i="5"/>
  <c r="BJ145" i="5" s="1"/>
  <c r="CO155" i="5"/>
  <c r="BG252" i="5"/>
  <c r="BH255" i="5"/>
  <c r="BG262" i="5"/>
  <c r="AI273" i="5"/>
  <c r="AY273" i="5"/>
  <c r="CO289" i="5"/>
  <c r="CT323" i="5"/>
  <c r="CD1" i="5"/>
  <c r="AL1" i="5"/>
  <c r="BN1" i="5"/>
  <c r="BB1" i="5"/>
  <c r="AP1" i="5"/>
  <c r="AJ1" i="5"/>
  <c r="M148" i="5" a="1"/>
  <c r="M148" i="5" s="1"/>
  <c r="M109" i="5" a="1"/>
  <c r="M109" i="5" s="1"/>
  <c r="M108" i="5" a="1"/>
  <c r="M108" i="5" s="1"/>
  <c r="BM113" i="5" a="1"/>
  <c r="BM113" i="5" s="1"/>
  <c r="BI112" i="5"/>
  <c r="AZ1" i="5"/>
  <c r="AA113" i="5"/>
  <c r="CO114" i="5"/>
  <c r="BP120" i="5"/>
  <c r="BU138" i="5" a="1"/>
  <c r="BU138" i="5" s="1"/>
  <c r="CK138" i="5" a="1"/>
  <c r="CK138" i="5" s="1"/>
  <c r="BX139" i="5"/>
  <c r="BY140" i="5"/>
  <c r="CN143" i="5"/>
  <c r="CU143" i="5" a="1"/>
  <c r="CU143" i="5" s="1"/>
  <c r="CU138" i="5" s="1" a="1"/>
  <c r="CU138" i="5" s="1"/>
  <c r="BP151" i="5"/>
  <c r="CU151" i="5" a="1"/>
  <c r="CU151" i="5" s="1"/>
  <c r="CF152" i="5"/>
  <c r="BX153" i="5"/>
  <c r="BQ153" i="5"/>
  <c r="CF162" i="5"/>
  <c r="AU174" i="5"/>
  <c r="AU180" i="5" s="1"/>
  <c r="AU230" i="5"/>
  <c r="CK241" i="5"/>
  <c r="CO242" i="5"/>
  <c r="CN245" i="5"/>
  <c r="CG245" i="5"/>
  <c r="CU247" i="5" a="1"/>
  <c r="CU247" i="5" s="1"/>
  <c r="BH247" i="5"/>
  <c r="BQ251" i="5"/>
  <c r="CG251" i="5"/>
  <c r="CN260" i="5"/>
  <c r="CG260" i="5"/>
  <c r="CC259" i="5"/>
  <c r="CN259" i="5" s="1"/>
  <c r="CU114" i="5" a="1"/>
  <c r="CU114" i="5" s="1"/>
  <c r="CN120" i="5"/>
  <c r="CF140" i="5"/>
  <c r="CU147" i="5" a="1"/>
  <c r="CU147" i="5" s="1"/>
  <c r="CN149" i="5"/>
  <c r="CG149" i="5"/>
  <c r="BP153" i="5"/>
  <c r="CU153" i="5" a="1"/>
  <c r="CU153" i="5" s="1"/>
  <c r="CN153" i="5"/>
  <c r="CG153" i="5"/>
  <c r="BQ154" i="5"/>
  <c r="BX154" i="5"/>
  <c r="AI181" i="5"/>
  <c r="AI160" i="5" s="1"/>
  <c r="BH244" i="5"/>
  <c r="BX262" i="5"/>
  <c r="BQ262" i="5"/>
  <c r="AG1" i="5"/>
  <c r="CI1" i="5"/>
  <c r="CO272" i="5"/>
  <c r="AD87" i="5"/>
  <c r="CO89" i="5"/>
  <c r="BI114" i="5"/>
  <c r="BQ138" i="5"/>
  <c r="CG138" i="5"/>
  <c r="BG140" i="5"/>
  <c r="CG147" i="5"/>
  <c r="BQ150" i="5"/>
  <c r="BX150" i="5"/>
  <c r="BG153" i="5"/>
  <c r="BI153" i="5"/>
  <c r="AU219" i="5"/>
  <c r="AU200" i="5" s="1"/>
  <c r="CF260" i="5"/>
  <c r="BU259" i="5"/>
  <c r="CF259" i="5" s="1"/>
  <c r="BS1" i="5"/>
  <c r="AF87" i="5"/>
  <c r="BR119" i="5"/>
  <c r="CH119" i="5"/>
  <c r="BG114" i="5"/>
  <c r="CF114" i="5"/>
  <c r="BY116" i="5"/>
  <c r="CF116" i="5"/>
  <c r="AA119" i="5"/>
  <c r="BG120" i="5"/>
  <c r="BQ120" i="5"/>
  <c r="BX120" i="5"/>
  <c r="BX143" i="5"/>
  <c r="BY144" i="5"/>
  <c r="CF144" i="5"/>
  <c r="AN145" i="5"/>
  <c r="BI147" i="5"/>
  <c r="BQ162" i="5"/>
  <c r="BX162" i="5"/>
  <c r="CO251" i="5"/>
  <c r="BG255" i="5"/>
  <c r="AR242" i="5"/>
  <c r="AR243" i="5" s="1"/>
  <c r="BG243" i="5" s="1"/>
  <c r="BZ146" i="5"/>
  <c r="BZ145" i="5" s="1"/>
  <c r="CO148" i="5"/>
  <c r="CO149" i="5"/>
  <c r="CG150" i="5"/>
  <c r="CN150" i="5"/>
  <c r="BQ152" i="5"/>
  <c r="BX152" i="5"/>
  <c r="BG154" i="5"/>
  <c r="BI155" i="5"/>
  <c r="AU166" i="5"/>
  <c r="AN241" i="5"/>
  <c r="BQ246" i="5"/>
  <c r="BQ248" i="5"/>
  <c r="BX248" i="5"/>
  <c r="AY242" i="5"/>
  <c r="BY255" i="5"/>
  <c r="CF255" i="5"/>
  <c r="BY257" i="5"/>
  <c r="BQ260" i="5"/>
  <c r="AI259" i="5"/>
  <c r="AU259" i="5"/>
  <c r="CG264" i="5"/>
  <c r="CO264" i="5"/>
  <c r="CF274" i="5"/>
  <c r="BU273" i="5"/>
  <c r="CO275" i="5"/>
  <c r="BQ276" i="5"/>
  <c r="CG276" i="5"/>
  <c r="CT285" i="5"/>
  <c r="CT296" i="5"/>
  <c r="CO328" i="5"/>
  <c r="CK320" i="5"/>
  <c r="CO320" i="5" s="1"/>
  <c r="CT336" i="5"/>
  <c r="BP248" i="5"/>
  <c r="CO260" i="5"/>
  <c r="BY148" i="5"/>
  <c r="CF148" i="5"/>
  <c r="BI149" i="5"/>
  <c r="BG152" i="5"/>
  <c r="CG152" i="5"/>
  <c r="CN152" i="5"/>
  <c r="CG162" i="5"/>
  <c r="CN162" i="5"/>
  <c r="BH248" i="5"/>
  <c r="CG248" i="5"/>
  <c r="CN248" i="5"/>
  <c r="BG249" i="5"/>
  <c r="CO255" i="5"/>
  <c r="BQ257" i="5"/>
  <c r="CO257" i="5"/>
  <c r="CK259" i="5"/>
  <c r="BG260" i="5"/>
  <c r="BY261" i="5"/>
  <c r="CO262" i="5"/>
  <c r="CF271" i="5"/>
  <c r="BY271" i="5"/>
  <c r="BX274" i="5"/>
  <c r="BM273" i="5"/>
  <c r="CN274" i="5"/>
  <c r="CC273" i="5"/>
  <c r="CN299" i="5"/>
  <c r="CG299" i="5"/>
  <c r="BQ245" i="5"/>
  <c r="CF248" i="5"/>
  <c r="CN262" i="5"/>
  <c r="CG262" i="5"/>
  <c r="BX264" i="5"/>
  <c r="BQ264" i="5"/>
  <c r="CN328" i="5"/>
  <c r="CC320" i="5"/>
  <c r="CN320" i="5" s="1"/>
  <c r="AU273" i="5"/>
  <c r="BY287" i="5"/>
  <c r="BY298" i="5"/>
  <c r="CO298" i="5"/>
  <c r="BQ299" i="5"/>
  <c r="CO303" i="5"/>
  <c r="BH310" i="5"/>
  <c r="BU320" i="5"/>
  <c r="BY328" i="5"/>
  <c r="BP329" i="5"/>
  <c r="CF329" i="5"/>
  <c r="B330" i="5" a="1"/>
  <c r="B330" i="5" s="1"/>
  <c r="BH279" i="5"/>
  <c r="AY294" i="5"/>
  <c r="BI294" i="5" s="1"/>
  <c r="CO299" i="5"/>
  <c r="CT304" i="5"/>
  <c r="AY309" i="5"/>
  <c r="BQ309" i="5"/>
  <c r="AR310" i="5"/>
  <c r="BG310" i="5" s="1"/>
  <c r="AI309" i="5"/>
  <c r="AU320" i="5"/>
  <c r="CT337" i="5"/>
  <c r="AN273" i="5"/>
  <c r="BI287" i="5"/>
  <c r="CU287" i="5" a="1"/>
  <c r="CU287" i="5" s="1"/>
  <c r="BQ289" i="5"/>
  <c r="CU289" i="5" a="1"/>
  <c r="CU289" i="5" s="1"/>
  <c r="CT293" i="5"/>
  <c r="BY294" i="5"/>
  <c r="AN294" i="5"/>
  <c r="CT294" i="5" s="1"/>
  <c r="A296" i="5" a="1"/>
  <c r="A296" i="5" s="1"/>
  <c r="B296" i="5" s="1" a="1"/>
  <c r="B296" i="5" s="1"/>
  <c r="CT297" i="5"/>
  <c r="BY300" i="5"/>
  <c r="CO300" i="5"/>
  <c r="CG303" i="5"/>
  <c r="AY303" i="5"/>
  <c r="BI303" i="5" s="1"/>
  <c r="BD309" i="5"/>
  <c r="BH309" i="5" s="1"/>
  <c r="CC309" i="5"/>
  <c r="BQ310" i="5"/>
  <c r="BX329" i="5"/>
  <c r="CN329" i="5"/>
  <c r="AR286" i="5"/>
  <c r="BG286" i="5" s="1"/>
  <c r="AR294" i="5"/>
  <c r="BG294" i="5" s="1"/>
  <c r="CN310" i="5"/>
  <c r="AJ8" i="5" a="1"/>
  <c r="AJ8" i="5" s="1"/>
  <c r="AJ9" i="5" a="1"/>
  <c r="AJ9" i="5" s="1"/>
  <c r="AJ6" i="5" a="1"/>
  <c r="AJ6" i="5" s="1"/>
  <c r="AJ5" i="5" a="1"/>
  <c r="AJ5" i="5" s="1"/>
  <c r="AN8" i="5" a="1"/>
  <c r="AN8" i="5" s="1"/>
  <c r="AN9" i="5" a="1"/>
  <c r="AN9" i="5" s="1"/>
  <c r="AN6" i="5" a="1"/>
  <c r="AN6" i="5" s="1"/>
  <c r="AN5" i="5" a="1"/>
  <c r="AN5" i="5" s="1"/>
  <c r="AN2" i="5" a="1"/>
  <c r="AN2" i="5" s="1"/>
  <c r="AR8" i="5" a="1"/>
  <c r="AR8" i="5" s="1"/>
  <c r="AR9" i="5" a="1"/>
  <c r="AR9" i="5" s="1"/>
  <c r="AR6" i="5" a="1"/>
  <c r="AR6" i="5" s="1"/>
  <c r="AR2" i="5" a="1"/>
  <c r="AR2" i="5" s="1"/>
  <c r="AR5" i="5" a="1"/>
  <c r="AR5" i="5" s="1"/>
  <c r="AV8" i="5" a="1"/>
  <c r="AV8" i="5" s="1"/>
  <c r="AV2" i="5" a="1"/>
  <c r="AV2" i="5" s="1"/>
  <c r="AW2" i="5" s="1"/>
  <c r="AV9" i="5" a="1"/>
  <c r="AV9" i="5" s="1"/>
  <c r="AV6" i="5" a="1"/>
  <c r="AV6" i="5" s="1"/>
  <c r="AV5" i="5" a="1"/>
  <c r="AV5" i="5" s="1"/>
  <c r="AZ8" i="5" a="1"/>
  <c r="AZ8" i="5" s="1"/>
  <c r="AZ9" i="5" a="1"/>
  <c r="AZ9" i="5" s="1"/>
  <c r="AZ6" i="5" a="1"/>
  <c r="AZ6" i="5" s="1"/>
  <c r="AZ5" i="5" a="1"/>
  <c r="AZ5" i="5" s="1"/>
  <c r="BC8" i="5" a="1"/>
  <c r="BC8" i="5" s="1"/>
  <c r="BC9" i="5" a="1"/>
  <c r="BC9" i="5" s="1"/>
  <c r="BC6" i="5" a="1"/>
  <c r="BC6" i="5" s="1"/>
  <c r="BC5" i="5" a="1"/>
  <c r="BC5" i="5" s="1"/>
  <c r="BJ6" i="5" a="1"/>
  <c r="BJ6" i="5" s="1"/>
  <c r="BJ5" i="5" a="1"/>
  <c r="BJ5" i="5" s="1"/>
  <c r="BJ8" i="5" a="1"/>
  <c r="BJ8" i="5" s="1"/>
  <c r="BJ2" i="5" a="1"/>
  <c r="BJ2" i="5" s="1"/>
  <c r="BJ9" i="5" a="1"/>
  <c r="BJ9" i="5" s="1"/>
  <c r="BN6" i="5" a="1"/>
  <c r="BN6" i="5" s="1"/>
  <c r="BN5" i="5" a="1"/>
  <c r="BN5" i="5" s="1"/>
  <c r="BN8" i="5" a="1"/>
  <c r="BN8" i="5" s="1"/>
  <c r="BN9" i="5" a="1"/>
  <c r="BN9" i="5" s="1"/>
  <c r="BT9" i="5" a="1"/>
  <c r="BT9" i="5" s="1"/>
  <c r="BT6" i="5" a="1"/>
  <c r="BT6" i="5" s="1"/>
  <c r="BT5" i="5" a="1"/>
  <c r="BT5" i="5" s="1"/>
  <c r="BT8" i="5" a="1"/>
  <c r="BT8" i="5" s="1"/>
  <c r="BZ6" i="5" a="1"/>
  <c r="BZ6" i="5" s="1"/>
  <c r="BZ5" i="5" a="1"/>
  <c r="BZ5" i="5" s="1"/>
  <c r="BZ8" i="5" a="1"/>
  <c r="BZ8" i="5" s="1"/>
  <c r="BZ2" i="5" a="1"/>
  <c r="BZ2" i="5" s="1"/>
  <c r="BZ9" i="5" a="1"/>
  <c r="BZ9" i="5" s="1"/>
  <c r="CD6" i="5" a="1"/>
  <c r="CD6" i="5" s="1"/>
  <c r="CD5" i="5" a="1"/>
  <c r="CD5" i="5" s="1"/>
  <c r="CD8" i="5" a="1"/>
  <c r="CD8" i="5" s="1"/>
  <c r="CD9" i="5" a="1"/>
  <c r="CD9" i="5" s="1"/>
  <c r="CJ9" i="5" a="1"/>
  <c r="CJ9" i="5" s="1"/>
  <c r="CJ6" i="5" a="1"/>
  <c r="CJ6" i="5" s="1"/>
  <c r="CJ5" i="5" a="1"/>
  <c r="CJ5" i="5" s="1"/>
  <c r="CJ8" i="5" a="1"/>
  <c r="CJ8" i="5" s="1"/>
  <c r="AR1" i="5" a="1"/>
  <c r="AR1" i="5" s="1"/>
  <c r="AS1" i="5" s="1"/>
  <c r="AS2" i="5" s="1"/>
  <c r="AG9" i="5" a="1"/>
  <c r="AG9" i="5" s="1"/>
  <c r="AG5" i="5" a="1"/>
  <c r="AG5" i="5" s="1"/>
  <c r="AG8" i="5" a="1"/>
  <c r="AG8" i="5" s="1"/>
  <c r="AG6" i="5" a="1"/>
  <c r="AG6" i="5" s="1"/>
  <c r="AK9" i="5" a="1"/>
  <c r="AK9" i="5" s="1"/>
  <c r="AK5" i="5" a="1"/>
  <c r="AK5" i="5" s="1"/>
  <c r="AK8" i="5" a="1"/>
  <c r="AK8" i="5" s="1"/>
  <c r="AK6" i="5" a="1"/>
  <c r="AK6" i="5" s="1"/>
  <c r="AO9" i="5" a="1"/>
  <c r="AO9" i="5" s="1"/>
  <c r="AO5" i="5" a="1"/>
  <c r="AO5" i="5" s="1"/>
  <c r="AO2" i="5" a="1"/>
  <c r="AO2" i="5" s="1"/>
  <c r="AP2" i="5" s="1"/>
  <c r="AO8" i="5" a="1"/>
  <c r="AO8" i="5" s="1"/>
  <c r="AO6" i="5" a="1"/>
  <c r="AO6" i="5" s="1"/>
  <c r="AS9" i="5" a="1"/>
  <c r="AS9" i="5" s="1"/>
  <c r="AS6" i="5" a="1"/>
  <c r="AS6" i="5" s="1"/>
  <c r="AS5" i="5" a="1"/>
  <c r="AS5" i="5" s="1"/>
  <c r="AS8" i="5" a="1"/>
  <c r="AS8" i="5" s="1"/>
  <c r="AW9" i="5" a="1"/>
  <c r="AW9" i="5" s="1"/>
  <c r="AW6" i="5" a="1"/>
  <c r="AW6" i="5" s="1"/>
  <c r="AW5" i="5" a="1"/>
  <c r="AW5" i="5" s="1"/>
  <c r="AW8" i="5" a="1"/>
  <c r="AW8" i="5" s="1"/>
  <c r="BA9" i="5" a="1"/>
  <c r="BA9" i="5" s="1"/>
  <c r="BA6" i="5" a="1"/>
  <c r="BA6" i="5" s="1"/>
  <c r="BA5" i="5" a="1"/>
  <c r="BA5" i="5" s="1"/>
  <c r="BA8" i="5" a="1"/>
  <c r="BA8" i="5" s="1"/>
  <c r="BD9" i="5" a="1"/>
  <c r="BD9" i="5" s="1"/>
  <c r="BD6" i="5" a="1"/>
  <c r="BD6" i="5" s="1"/>
  <c r="BG6" i="5" s="1" a="1"/>
  <c r="BG6" i="5" s="1"/>
  <c r="BH6" i="5" s="1" a="1"/>
  <c r="BH6" i="5" s="1"/>
  <c r="BI6" i="5" s="1" a="1"/>
  <c r="BI6" i="5" s="1"/>
  <c r="BD2" i="5" a="1"/>
  <c r="BD2" i="5" s="1"/>
  <c r="BE2" i="5" s="1"/>
  <c r="BD5" i="5" a="1"/>
  <c r="BD5" i="5" s="1"/>
  <c r="BG5" i="5" s="1" a="1"/>
  <c r="BG5" i="5" s="1"/>
  <c r="BH5" i="5" s="1" a="1"/>
  <c r="BH5" i="5" s="1"/>
  <c r="BI5" i="5" s="1" a="1"/>
  <c r="BI5" i="5" s="1"/>
  <c r="BD8" i="5" a="1"/>
  <c r="BD8" i="5" s="1"/>
  <c r="BG8" i="5" s="1" a="1"/>
  <c r="BG8" i="5" s="1"/>
  <c r="BH8" i="5" s="1" a="1"/>
  <c r="BH8" i="5" s="1"/>
  <c r="BI8" i="5" s="1" a="1"/>
  <c r="BI8" i="5" s="1"/>
  <c r="BG21" i="5" a="1"/>
  <c r="BG21" i="5" s="1"/>
  <c r="BK8" i="5" a="1"/>
  <c r="BK8" i="5" s="1"/>
  <c r="BK9" i="5" a="1"/>
  <c r="BK9" i="5" s="1"/>
  <c r="BK6" i="5" a="1"/>
  <c r="BK6" i="5" s="1"/>
  <c r="BK5" i="5" a="1"/>
  <c r="BK5" i="5" s="1"/>
  <c r="BO8" i="5" a="1"/>
  <c r="BO8" i="5" s="1"/>
  <c r="BO9" i="5" a="1"/>
  <c r="BO9" i="5" s="1"/>
  <c r="BO6" i="5" a="1"/>
  <c r="BO6" i="5" s="1"/>
  <c r="BO5" i="5" a="1"/>
  <c r="BO5" i="5" s="1"/>
  <c r="BU8" i="5" a="1"/>
  <c r="BU8" i="5" s="1"/>
  <c r="BX8" i="5" s="1" a="1"/>
  <c r="BX8" i="5" s="1"/>
  <c r="BY8" i="5" s="1" a="1"/>
  <c r="BY8" i="5" s="1"/>
  <c r="BU6" i="5" a="1"/>
  <c r="BU6" i="5" s="1"/>
  <c r="BX6" i="5" s="1" a="1"/>
  <c r="BX6" i="5" s="1"/>
  <c r="BY6" i="5" s="1" a="1"/>
  <c r="BY6" i="5" s="1"/>
  <c r="BX21" i="5" a="1"/>
  <c r="BX21" i="5" s="1"/>
  <c r="BU9" i="5" a="1"/>
  <c r="BU9" i="5" s="1"/>
  <c r="BU2" i="5" a="1"/>
  <c r="BU2" i="5" s="1"/>
  <c r="BU5" i="5" a="1"/>
  <c r="BU5" i="5" s="1"/>
  <c r="BX5" i="5" s="1" a="1"/>
  <c r="BX5" i="5" s="1"/>
  <c r="BY5" i="5" s="1" a="1"/>
  <c r="BY5" i="5" s="1"/>
  <c r="CA8" i="5" a="1"/>
  <c r="CA8" i="5" s="1"/>
  <c r="CA9" i="5" a="1"/>
  <c r="CA9" i="5" s="1"/>
  <c r="CA6" i="5" a="1"/>
  <c r="CA6" i="5" s="1"/>
  <c r="CA5" i="5" a="1"/>
  <c r="CA5" i="5" s="1"/>
  <c r="CE8" i="5" a="1"/>
  <c r="CE8" i="5" s="1"/>
  <c r="CE9" i="5" a="1"/>
  <c r="CE9" i="5" s="1"/>
  <c r="CE6" i="5" a="1"/>
  <c r="CE6" i="5" s="1"/>
  <c r="CE5" i="5" a="1"/>
  <c r="CE5" i="5" s="1"/>
  <c r="CK8" i="5" a="1"/>
  <c r="CK8" i="5" s="1"/>
  <c r="CN8" i="5" s="1" a="1"/>
  <c r="CN8" i="5" s="1"/>
  <c r="CO8" i="5" s="1" a="1"/>
  <c r="CO8" i="5" s="1"/>
  <c r="CK2" i="5" a="1"/>
  <c r="CK2" i="5" s="1"/>
  <c r="CN21" i="5" a="1"/>
  <c r="CN21" i="5" s="1"/>
  <c r="CK9" i="5" a="1"/>
  <c r="CK9" i="5" s="1"/>
  <c r="CK6" i="5" a="1"/>
  <c r="CK6" i="5" s="1"/>
  <c r="CN6" i="5" s="1" a="1"/>
  <c r="CN6" i="5" s="1"/>
  <c r="CO6" i="5" s="1" a="1"/>
  <c r="CO6" i="5" s="1"/>
  <c r="CK5" i="5" a="1"/>
  <c r="CK5" i="5" s="1"/>
  <c r="CN5" i="5" s="1" a="1"/>
  <c r="CN5" i="5" s="1"/>
  <c r="CO5" i="5" s="1" a="1"/>
  <c r="CO5" i="5" s="1"/>
  <c r="CQ8" i="5" a="1"/>
  <c r="CQ8" i="5" s="1"/>
  <c r="CR8" i="5" s="1" a="1"/>
  <c r="CR8" i="5" s="1"/>
  <c r="CS8" i="5" s="1" a="1"/>
  <c r="CS8" i="5" s="1"/>
  <c r="CQ5" i="5" a="1"/>
  <c r="CQ5" i="5" s="1"/>
  <c r="CR5" i="5" s="1" a="1"/>
  <c r="CR5" i="5" s="1"/>
  <c r="CS5" i="5" s="1" a="1"/>
  <c r="CS5" i="5" s="1"/>
  <c r="CQ9" i="5" a="1"/>
  <c r="CQ9" i="5" s="1"/>
  <c r="CR9" i="5" s="1" a="1"/>
  <c r="CR9" i="5" s="1"/>
  <c r="CS9" i="5" s="1" a="1"/>
  <c r="CS9" i="5" s="1"/>
  <c r="CQ6" i="5" a="1"/>
  <c r="CQ6" i="5" s="1"/>
  <c r="CR6" i="5" s="1" a="1"/>
  <c r="CR6" i="5" s="1"/>
  <c r="CS6" i="5" s="1" a="1"/>
  <c r="CS6" i="5" s="1"/>
  <c r="CQ2" i="5" a="1"/>
  <c r="CQ2" i="5" s="1"/>
  <c r="CR2" i="5" s="1" a="1"/>
  <c r="CR2" i="5" s="1"/>
  <c r="CS2" i="5" s="1" a="1"/>
  <c r="CS2" i="5" s="1"/>
  <c r="CT2" i="5" s="1" a="1"/>
  <c r="CT2" i="5" s="1"/>
  <c r="CU2" i="5" s="1" a="1"/>
  <c r="CU2" i="5" s="1"/>
  <c r="CV2" i="5" s="1" a="1"/>
  <c r="CV2" i="5" s="1"/>
  <c r="CW2" i="5" s="1" a="1"/>
  <c r="CW2" i="5" s="1"/>
  <c r="CX2" i="5" s="1" a="1"/>
  <c r="CX2" i="5" s="1"/>
  <c r="CY2" i="5" s="1" a="1"/>
  <c r="CY2" i="5" s="1"/>
  <c r="CZ2" i="5" s="1" a="1"/>
  <c r="CZ2" i="5" s="1"/>
  <c r="DA2" i="5" s="1" a="1"/>
  <c r="DA2" i="5" s="1"/>
  <c r="DB2" i="5" s="1" a="1"/>
  <c r="DB2" i="5" s="1"/>
  <c r="AD5" i="5" a="1"/>
  <c r="AD5" i="5" s="1"/>
  <c r="AD6" i="5" a="1"/>
  <c r="AD6" i="5" s="1"/>
  <c r="AD9" i="5" a="1"/>
  <c r="AD9" i="5" s="1"/>
  <c r="AD2" i="5" a="1"/>
  <c r="AD2" i="5" s="1"/>
  <c r="AD8" i="5" a="1"/>
  <c r="AD8" i="5" s="1"/>
  <c r="AX5" i="5" a="1"/>
  <c r="AX5" i="5" s="1"/>
  <c r="AX6" i="5" a="1"/>
  <c r="AX6" i="5" s="1"/>
  <c r="AX9" i="5" a="1"/>
  <c r="AX9" i="5" s="1"/>
  <c r="AX8" i="5" a="1"/>
  <c r="AX8" i="5" s="1"/>
  <c r="CH8" i="5" a="1"/>
  <c r="CH8" i="5" s="1"/>
  <c r="CH2" i="5" a="1"/>
  <c r="CH2" i="5" s="1"/>
  <c r="CI2" i="5" s="1"/>
  <c r="CH5" i="5" a="1"/>
  <c r="CH5" i="5" s="1"/>
  <c r="CH9" i="5" a="1"/>
  <c r="CH9" i="5" s="1"/>
  <c r="CH6" i="5" a="1"/>
  <c r="CH6" i="5" s="1"/>
  <c r="AU272" i="5" a="1"/>
  <c r="AU272" i="5" s="1"/>
  <c r="AU162" i="5"/>
  <c r="AU161" i="5" s="1"/>
  <c r="AU160" i="5" s="1"/>
  <c r="BY272" i="5"/>
  <c r="CF272" i="5"/>
  <c r="BU119" i="5"/>
  <c r="BX89" i="5"/>
  <c r="BQ89" i="5"/>
  <c r="CK119" i="5"/>
  <c r="CO119" i="5" s="1"/>
  <c r="CN89" i="5"/>
  <c r="CG89" i="5"/>
  <c r="BU113" i="5" a="1"/>
  <c r="BU113" i="5" s="1"/>
  <c r="BX113" i="5" s="1"/>
  <c r="AH5" i="5" a="1"/>
  <c r="AH5" i="5" s="1"/>
  <c r="AH6" i="5" a="1"/>
  <c r="AH6" i="5" s="1"/>
  <c r="AH9" i="5" a="1"/>
  <c r="AH9" i="5" s="1"/>
  <c r="AH8" i="5" a="1"/>
  <c r="AH8" i="5" s="1"/>
  <c r="AL5" i="5" a="1"/>
  <c r="AL5" i="5" s="1"/>
  <c r="AL6" i="5" a="1"/>
  <c r="AL6" i="5" s="1"/>
  <c r="AL9" i="5" a="1"/>
  <c r="AL9" i="5" s="1"/>
  <c r="AL8" i="5" a="1"/>
  <c r="AL8" i="5" s="1"/>
  <c r="AP5" i="5" a="1"/>
  <c r="AP5" i="5" s="1"/>
  <c r="AP6" i="5" a="1"/>
  <c r="AP6" i="5" s="1"/>
  <c r="AP9" i="5" a="1"/>
  <c r="AP9" i="5" s="1"/>
  <c r="AP8" i="5" a="1"/>
  <c r="AP8" i="5" s="1"/>
  <c r="AT5" i="5" a="1"/>
  <c r="AT5" i="5" s="1"/>
  <c r="AT6" i="5" a="1"/>
  <c r="AT6" i="5" s="1"/>
  <c r="AT9" i="5" a="1"/>
  <c r="AT9" i="5" s="1"/>
  <c r="AT8" i="5" a="1"/>
  <c r="AT8" i="5" s="1"/>
  <c r="BB2" i="5"/>
  <c r="BE5" i="5" a="1"/>
  <c r="BE5" i="5" s="1"/>
  <c r="BE9" i="5" a="1"/>
  <c r="BE9" i="5" s="1"/>
  <c r="BE6" i="5" a="1"/>
  <c r="BE6" i="5" s="1"/>
  <c r="BE8" i="5" a="1"/>
  <c r="BE8" i="5" s="1"/>
  <c r="BL9" i="5" a="1"/>
  <c r="BL9" i="5" s="1"/>
  <c r="BL8" i="5" a="1"/>
  <c r="BL8" i="5" s="1"/>
  <c r="BL5" i="5" a="1"/>
  <c r="BL5" i="5" s="1"/>
  <c r="BL6" i="5" a="1"/>
  <c r="BL6" i="5" s="1"/>
  <c r="BR8" i="5" a="1"/>
  <c r="BR8" i="5" s="1"/>
  <c r="BR2" i="5" a="1"/>
  <c r="BR2" i="5" s="1"/>
  <c r="BS2" i="5" s="1"/>
  <c r="BR5" i="5" a="1"/>
  <c r="BR5" i="5" s="1"/>
  <c r="BR9" i="5" a="1"/>
  <c r="BR9" i="5" s="1"/>
  <c r="BR6" i="5" a="1"/>
  <c r="BR6" i="5" s="1"/>
  <c r="BV8" i="5" a="1"/>
  <c r="BV8" i="5" s="1"/>
  <c r="BV5" i="5" a="1"/>
  <c r="BV5" i="5" s="1"/>
  <c r="BV9" i="5" a="1"/>
  <c r="BV9" i="5" s="1"/>
  <c r="BV6" i="5" a="1"/>
  <c r="BV6" i="5" s="1"/>
  <c r="CB9" i="5" a="1"/>
  <c r="CB9" i="5" s="1"/>
  <c r="CB8" i="5" a="1"/>
  <c r="CB8" i="5" s="1"/>
  <c r="CB5" i="5" a="1"/>
  <c r="CB5" i="5" s="1"/>
  <c r="CB6" i="5" a="1"/>
  <c r="CB6" i="5" s="1"/>
  <c r="CL8" i="5" a="1"/>
  <c r="CL8" i="5" s="1"/>
  <c r="CL5" i="5" a="1"/>
  <c r="CL5" i="5" s="1"/>
  <c r="CL9" i="5" a="1"/>
  <c r="CL9" i="5" s="1"/>
  <c r="CL6" i="5" a="1"/>
  <c r="CL6" i="5" s="1"/>
  <c r="BQ272" i="5"/>
  <c r="BX272" i="5"/>
  <c r="CG272" i="5"/>
  <c r="CN272" i="5"/>
  <c r="AD1" i="5" a="1"/>
  <c r="AD1" i="5" s="1"/>
  <c r="BJ1" i="5" a="1"/>
  <c r="BJ1" i="5" s="1"/>
  <c r="BK1" i="5" s="1"/>
  <c r="BK2" i="5" s="1"/>
  <c r="BU1" i="5" a="1"/>
  <c r="BU1" i="5" s="1"/>
  <c r="BV1" i="5" s="1"/>
  <c r="BV2" i="5" s="1"/>
  <c r="BZ1" i="5" a="1"/>
  <c r="BZ1" i="5" s="1"/>
  <c r="CA1" i="5" s="1"/>
  <c r="CA2" i="5" s="1"/>
  <c r="CK1" i="5" a="1"/>
  <c r="CK1" i="5" s="1"/>
  <c r="CL1" i="5" s="1"/>
  <c r="CL2" i="5" s="1"/>
  <c r="AE8" i="5" a="1"/>
  <c r="AE8" i="5" s="1"/>
  <c r="AE5" i="5" a="1"/>
  <c r="AE5" i="5" s="1"/>
  <c r="AE9" i="5" a="1"/>
  <c r="AE9" i="5" s="1"/>
  <c r="AE6" i="5" a="1"/>
  <c r="AE6" i="5" s="1"/>
  <c r="AE2" i="5" a="1"/>
  <c r="AE2" i="5" s="1"/>
  <c r="AI6" i="5" a="1"/>
  <c r="AI6" i="5" s="1"/>
  <c r="AI8" i="5" a="1"/>
  <c r="AI8" i="5" s="1"/>
  <c r="AI2" i="5" a="1"/>
  <c r="AI2" i="5" s="1"/>
  <c r="AJ2" i="5" s="1"/>
  <c r="AI5" i="5" a="1"/>
  <c r="AI5" i="5" s="1"/>
  <c r="AI9" i="5" a="1"/>
  <c r="AI9" i="5" s="1"/>
  <c r="AM6" i="5" a="1"/>
  <c r="AM6" i="5" s="1"/>
  <c r="AM8" i="5" a="1"/>
  <c r="AM8" i="5" s="1"/>
  <c r="AM5" i="5" a="1"/>
  <c r="AM5" i="5" s="1"/>
  <c r="AM9" i="5" a="1"/>
  <c r="AM9" i="5" s="1"/>
  <c r="AQ6" i="5" a="1"/>
  <c r="AQ6" i="5" s="1"/>
  <c r="AQ8" i="5" a="1"/>
  <c r="AQ8" i="5" s="1"/>
  <c r="AQ5" i="5" a="1"/>
  <c r="AQ5" i="5" s="1"/>
  <c r="AQ9" i="5" a="1"/>
  <c r="AQ9" i="5" s="1"/>
  <c r="AU8" i="5" a="1"/>
  <c r="AU8" i="5" s="1"/>
  <c r="AU2" i="5" a="1"/>
  <c r="AU2" i="5" s="1"/>
  <c r="AU5" i="5" a="1"/>
  <c r="AU5" i="5" s="1"/>
  <c r="AU9" i="5" a="1"/>
  <c r="AU9" i="5" s="1"/>
  <c r="AU6" i="5" a="1"/>
  <c r="AU6" i="5" s="1"/>
  <c r="AY8" i="5" a="1"/>
  <c r="AY8" i="5" s="1"/>
  <c r="AY5" i="5" a="1"/>
  <c r="AY5" i="5" s="1"/>
  <c r="BI21" i="5" a="1"/>
  <c r="BI21" i="5" s="1"/>
  <c r="AY9" i="5" a="1"/>
  <c r="AY9" i="5" s="1"/>
  <c r="AY6" i="5" a="1"/>
  <c r="AY6" i="5" s="1"/>
  <c r="AY2" i="5" a="1"/>
  <c r="AY2" i="5" s="1"/>
  <c r="AZ2" i="5" s="1"/>
  <c r="BB8" i="5" a="1"/>
  <c r="BB8" i="5" s="1"/>
  <c r="BB5" i="5" a="1"/>
  <c r="BB5" i="5" s="1"/>
  <c r="BB9" i="5" a="1"/>
  <c r="BB9" i="5" s="1"/>
  <c r="BB6" i="5" a="1"/>
  <c r="BB6" i="5" s="1"/>
  <c r="BF8" i="5" a="1"/>
  <c r="BF8" i="5" s="1"/>
  <c r="BF5" i="5" a="1"/>
  <c r="BF5" i="5" s="1"/>
  <c r="BF9" i="5" a="1"/>
  <c r="BF9" i="5" s="1"/>
  <c r="BF6" i="5" a="1"/>
  <c r="BF6" i="5" s="1"/>
  <c r="BM5" i="5" a="1"/>
  <c r="BM5" i="5" s="1"/>
  <c r="BP5" i="5" s="1" a="1"/>
  <c r="BP5" i="5" s="1"/>
  <c r="BQ5" i="5" s="1" a="1"/>
  <c r="BQ5" i="5" s="1"/>
  <c r="BM2" i="5" a="1"/>
  <c r="BM2" i="5" s="1"/>
  <c r="BN2" i="5" s="1"/>
  <c r="BP21" i="5" a="1"/>
  <c r="BP21" i="5" s="1"/>
  <c r="BM9" i="5" a="1"/>
  <c r="BM9" i="5" s="1"/>
  <c r="BM6" i="5" a="1"/>
  <c r="BM6" i="5" s="1"/>
  <c r="BP6" i="5" s="1" a="1"/>
  <c r="BP6" i="5" s="1"/>
  <c r="BQ6" i="5" s="1" a="1"/>
  <c r="BQ6" i="5" s="1"/>
  <c r="BM8" i="5" a="1"/>
  <c r="BM8" i="5" s="1"/>
  <c r="BP8" i="5" s="1" a="1"/>
  <c r="BP8" i="5" s="1"/>
  <c r="BQ8" i="5" s="1" a="1"/>
  <c r="BQ8" i="5" s="1"/>
  <c r="BS5" i="5" a="1"/>
  <c r="BS5" i="5" s="1"/>
  <c r="BS9" i="5" a="1"/>
  <c r="BS9" i="5" s="1"/>
  <c r="BS6" i="5" a="1"/>
  <c r="BS6" i="5" s="1"/>
  <c r="BS8" i="5" a="1"/>
  <c r="BS8" i="5" s="1"/>
  <c r="BW5" i="5" a="1"/>
  <c r="BW5" i="5" s="1"/>
  <c r="BW9" i="5" a="1"/>
  <c r="BW9" i="5" s="1"/>
  <c r="BW6" i="5" a="1"/>
  <c r="BW6" i="5" s="1"/>
  <c r="BW8" i="5" a="1"/>
  <c r="BW8" i="5" s="1"/>
  <c r="CC5" i="5" a="1"/>
  <c r="CC5" i="5" s="1"/>
  <c r="CF5" i="5" s="1" a="1"/>
  <c r="CF5" i="5" s="1"/>
  <c r="CG5" i="5" s="1" a="1"/>
  <c r="CG5" i="5" s="1"/>
  <c r="CF21" i="5" a="1"/>
  <c r="CF21" i="5" s="1"/>
  <c r="CC2" i="5" a="1"/>
  <c r="CC2" i="5" s="1"/>
  <c r="CD2" i="5" s="1"/>
  <c r="CC9" i="5" a="1"/>
  <c r="CC9" i="5" s="1"/>
  <c r="CC6" i="5" a="1"/>
  <c r="CC6" i="5" s="1"/>
  <c r="CF6" i="5" s="1" a="1"/>
  <c r="CF6" i="5" s="1"/>
  <c r="CG6" i="5" s="1" a="1"/>
  <c r="CG6" i="5" s="1"/>
  <c r="CC8" i="5" a="1"/>
  <c r="CC8" i="5" s="1"/>
  <c r="CF8" i="5" s="1" a="1"/>
  <c r="CF8" i="5" s="1"/>
  <c r="CG8" i="5" s="1" a="1"/>
  <c r="CG8" i="5" s="1"/>
  <c r="CI5" i="5" a="1"/>
  <c r="CI5" i="5" s="1"/>
  <c r="CI9" i="5" a="1"/>
  <c r="CI9" i="5" s="1"/>
  <c r="CI6" i="5" a="1"/>
  <c r="CI6" i="5" s="1"/>
  <c r="CI8" i="5" a="1"/>
  <c r="CI8" i="5" s="1"/>
  <c r="CM5" i="5" a="1"/>
  <c r="CM5" i="5" s="1"/>
  <c r="CM9" i="5" a="1"/>
  <c r="CM9" i="5" s="1"/>
  <c r="CM6" i="5" a="1"/>
  <c r="CM6" i="5" s="1"/>
  <c r="CM8" i="5" a="1"/>
  <c r="CM8" i="5" s="1"/>
  <c r="BZ119" i="5"/>
  <c r="AF8" i="5" a="1"/>
  <c r="AF8" i="5" s="1"/>
  <c r="AF9" i="5" a="1"/>
  <c r="AF9" i="5" s="1"/>
  <c r="AF2" i="5" a="1"/>
  <c r="AF2" i="5" s="1"/>
  <c r="AG2" i="5" s="1"/>
  <c r="AF6" i="5" a="1"/>
  <c r="AF6" i="5" s="1"/>
  <c r="AF5" i="5" a="1"/>
  <c r="AF5" i="5" s="1"/>
  <c r="AU119" i="5" a="1"/>
  <c r="AU119" i="5" s="1"/>
  <c r="AR111" i="5"/>
  <c r="CC119" i="5"/>
  <c r="CF89" i="5"/>
  <c r="BY89" i="5"/>
  <c r="A113" i="5" a="1"/>
  <c r="A113" i="5" s="1"/>
  <c r="A114" i="5" s="1" a="1"/>
  <c r="A114" i="5" s="1"/>
  <c r="A115" i="5" s="1" a="1"/>
  <c r="A115" i="5" s="1"/>
  <c r="A116" i="5" s="1" a="1"/>
  <c r="A116" i="5" s="1"/>
  <c r="A117" i="5" s="1" a="1"/>
  <c r="A117" i="5" s="1"/>
  <c r="A118" i="5" s="1" a="1"/>
  <c r="A118" i="5" s="1"/>
  <c r="A119" i="5" s="1" a="1"/>
  <c r="A119" i="5" s="1"/>
  <c r="A120" i="5" s="1" a="1"/>
  <c r="A120" i="5" s="1"/>
  <c r="A112" i="5" a="1"/>
  <c r="A112" i="5" s="1"/>
  <c r="B246" i="5"/>
  <c r="B247" i="5" s="1" a="1"/>
  <c r="B247" i="5" s="1"/>
  <c r="B248" i="5" s="1"/>
  <c r="B249" i="5" s="1" a="1"/>
  <c r="B249" i="5" s="1"/>
  <c r="B250" i="5" s="1" a="1"/>
  <c r="B250" i="5" s="1"/>
  <c r="B251" i="5" s="1" a="1"/>
  <c r="B251" i="5" s="1"/>
  <c r="B252" i="5" s="1" a="1"/>
  <c r="B252" i="5" s="1"/>
  <c r="B253" i="5" s="1" a="1"/>
  <c r="B253" i="5" s="1"/>
  <c r="AR245" i="5"/>
  <c r="BG245" i="5" s="1"/>
  <c r="AU306" i="5" a="1"/>
  <c r="AU306" i="5" s="1"/>
  <c r="AN306" i="5" a="1"/>
  <c r="AN306" i="5" s="1"/>
  <c r="BD306" i="5" a="1"/>
  <c r="BD306" i="5" s="1"/>
  <c r="CC306" i="5" a="1"/>
  <c r="CC306" i="5" s="1"/>
  <c r="BR306" i="5" a="1"/>
  <c r="BR306" i="5" s="1"/>
  <c r="CK306" i="5" a="1"/>
  <c r="CK306" i="5" s="1"/>
  <c r="BZ306" i="5" a="1"/>
  <c r="BZ306" i="5" s="1"/>
  <c r="CH306" i="5" a="1"/>
  <c r="CH306" i="5" s="1"/>
  <c r="BM306" i="5" a="1"/>
  <c r="BM306" i="5" s="1"/>
  <c r="A306" i="5"/>
  <c r="B306" i="5" s="1" a="1"/>
  <c r="B306" i="5" s="1"/>
  <c r="BU306" i="5" a="1"/>
  <c r="BU306" i="5" s="1"/>
  <c r="BJ306" i="5" a="1"/>
  <c r="BJ306" i="5" s="1"/>
  <c r="A299" i="5"/>
  <c r="B299" i="5" s="1" a="1"/>
  <c r="B299" i="5" s="1"/>
  <c r="A256" i="5"/>
  <c r="B256" i="5" s="1" a="1"/>
  <c r="B256" i="5" s="1"/>
  <c r="AI352" i="5"/>
  <c r="AI351" i="5"/>
  <c r="AE85" i="5"/>
  <c r="AM1" i="5"/>
  <c r="AX1" i="5"/>
  <c r="AX2" i="5" s="1"/>
  <c r="BA1" i="5"/>
  <c r="BA2" i="5" s="1"/>
  <c r="BC1" i="5"/>
  <c r="BC2" i="5" s="1"/>
  <c r="BF1" i="5"/>
  <c r="BF2" i="5" s="1"/>
  <c r="B86" i="5"/>
  <c r="AI87" i="5"/>
  <c r="BD87" i="5"/>
  <c r="BG89" i="5"/>
  <c r="M107" i="5" a="1"/>
  <c r="M107" i="5" s="1"/>
  <c r="X107" i="5" a="1"/>
  <c r="X107" i="5" s="1"/>
  <c r="AB107" i="5" a="1"/>
  <c r="AB107" i="5" s="1"/>
  <c r="M110" i="5" a="1"/>
  <c r="M110" i="5" s="1"/>
  <c r="CT112" i="5"/>
  <c r="BH113" i="5"/>
  <c r="BX114" i="5"/>
  <c r="BY114" i="5"/>
  <c r="BQ116" i="5"/>
  <c r="M118" i="5" a="1"/>
  <c r="M118" i="5" s="1"/>
  <c r="BY120" i="5"/>
  <c r="M122" i="5" a="1"/>
  <c r="M122" i="5" s="1"/>
  <c r="AA152" i="5"/>
  <c r="AA155" i="5"/>
  <c r="AA143" i="5"/>
  <c r="AA139" i="5"/>
  <c r="BI138" i="5"/>
  <c r="BP138" i="5"/>
  <c r="CO138" i="5"/>
  <c r="CF139" i="5"/>
  <c r="CG139" i="5"/>
  <c r="AI138" i="5" a="1"/>
  <c r="AI138" i="5" s="1"/>
  <c r="BQ143" i="5"/>
  <c r="M144" i="5" a="1"/>
  <c r="M144" i="5" s="1"/>
  <c r="BQ144" i="5"/>
  <c r="BD146" i="5"/>
  <c r="BR145" i="5"/>
  <c r="CH145" i="5"/>
  <c r="CF147" i="5"/>
  <c r="BU146" i="5"/>
  <c r="CG148" i="5"/>
  <c r="BY149" i="5"/>
  <c r="BY150" i="5"/>
  <c r="BQ155" i="5"/>
  <c r="BX155" i="5"/>
  <c r="CT155" i="5" s="1"/>
  <c r="BJ197" i="5"/>
  <c r="BJ233" i="5"/>
  <c r="BJ212" i="5"/>
  <c r="BJ169" i="5"/>
  <c r="AI85" i="5"/>
  <c r="AN272" i="5"/>
  <c r="AN162" i="5" s="1"/>
  <c r="AI88" i="5"/>
  <c r="AR177" i="5"/>
  <c r="AY177" i="5" s="1" a="1"/>
  <c r="AY177" i="5" s="1"/>
  <c r="AY176" i="5" s="1"/>
  <c r="AR211" i="5"/>
  <c r="AR196" i="5"/>
  <c r="AR168" i="5"/>
  <c r="BD119" i="5"/>
  <c r="BH89" i="5"/>
  <c r="A90" i="5"/>
  <c r="B90" i="5" s="1" a="1"/>
  <c r="B90" i="5" s="1"/>
  <c r="AF111" i="5"/>
  <c r="CT111" i="5" s="1"/>
  <c r="BJ113" i="5" a="1"/>
  <c r="BJ113" i="5" s="1"/>
  <c r="BQ113" i="5" s="1"/>
  <c r="M115" i="5" a="1"/>
  <c r="M115" i="5" s="1"/>
  <c r="M125" i="5" a="1"/>
  <c r="M125" i="5" s="1"/>
  <c r="M129" i="5" a="1"/>
  <c r="M129" i="5" s="1"/>
  <c r="M131" i="5" a="1"/>
  <c r="M131" i="5" s="1"/>
  <c r="CN138" i="5"/>
  <c r="BI144" i="5"/>
  <c r="CU144" i="5" a="1"/>
  <c r="CU144" i="5" s="1"/>
  <c r="BP144" i="5"/>
  <c r="BX147" i="5"/>
  <c r="BM146" i="5"/>
  <c r="M150" i="5" a="1"/>
  <c r="M150" i="5" s="1"/>
  <c r="BY151" i="5"/>
  <c r="CF151" i="5"/>
  <c r="CG155" i="5"/>
  <c r="CN155" i="5"/>
  <c r="CK284" i="5"/>
  <c r="CC284" i="5"/>
  <c r="BU284" i="5"/>
  <c r="BM284" i="5"/>
  <c r="AN284" i="5"/>
  <c r="CH284" i="5"/>
  <c r="BZ284" i="5"/>
  <c r="BR284" i="5"/>
  <c r="BJ284" i="5"/>
  <c r="BD284" i="5"/>
  <c r="AU284" i="5"/>
  <c r="CH307" i="5" a="1"/>
  <c r="CH307" i="5" s="1"/>
  <c r="CC307" i="5" a="1"/>
  <c r="CC307" i="5" s="1"/>
  <c r="BR307" i="5" a="1"/>
  <c r="BR307" i="5" s="1"/>
  <c r="BM307" i="5" a="1"/>
  <c r="BM307" i="5" s="1"/>
  <c r="CK307" i="5" a="1"/>
  <c r="CK307" i="5" s="1"/>
  <c r="CO307" i="5" s="1"/>
  <c r="BZ307" i="5" a="1"/>
  <c r="BZ307" i="5" s="1"/>
  <c r="BU307" i="5" a="1"/>
  <c r="BU307" i="5" s="1"/>
  <c r="BJ307" i="5" a="1"/>
  <c r="BJ307" i="5" s="1"/>
  <c r="A307" i="5"/>
  <c r="B307" i="5" s="1" a="1"/>
  <c r="B307" i="5" s="1"/>
  <c r="BD307" i="5" a="1"/>
  <c r="BD307" i="5" s="1"/>
  <c r="AN307" i="5" a="1"/>
  <c r="AN307" i="5" s="1"/>
  <c r="AU307" i="5" a="1"/>
  <c r="AU307" i="5" s="1"/>
  <c r="A300" i="5"/>
  <c r="B300" i="5" s="1" a="1"/>
  <c r="B300" i="5" s="1"/>
  <c r="A255" i="5"/>
  <c r="B255" i="5" s="1" a="1"/>
  <c r="B255" i="5" s="1"/>
  <c r="CK305" i="5" a="1"/>
  <c r="CK305" i="5" s="1"/>
  <c r="BZ305" i="5" a="1"/>
  <c r="BZ305" i="5" s="1"/>
  <c r="BU305" i="5" a="1"/>
  <c r="BU305" i="5" s="1"/>
  <c r="BJ305" i="5" a="1"/>
  <c r="BJ305" i="5" s="1"/>
  <c r="CH305" i="5" a="1"/>
  <c r="CH305" i="5" s="1"/>
  <c r="CC305" i="5" a="1"/>
  <c r="CC305" i="5" s="1"/>
  <c r="BR305" i="5" a="1"/>
  <c r="BR305" i="5" s="1"/>
  <c r="BM305" i="5" a="1"/>
  <c r="BM305" i="5" s="1"/>
  <c r="AU305" i="5" a="1"/>
  <c r="AU305" i="5" s="1"/>
  <c r="A305" i="5"/>
  <c r="B305" i="5" s="1" a="1"/>
  <c r="B305" i="5" s="1"/>
  <c r="BD305" i="5" a="1"/>
  <c r="BD305" i="5" s="1"/>
  <c r="A298" i="5"/>
  <c r="B298" i="5" s="1" a="1"/>
  <c r="B298" i="5" s="1"/>
  <c r="AN305" i="5" a="1"/>
  <c r="AN305" i="5" s="1"/>
  <c r="A257" i="5"/>
  <c r="B257" i="5" s="1" a="1"/>
  <c r="B257" i="5" s="1"/>
  <c r="A265" i="5"/>
  <c r="AN234" i="5" a="1"/>
  <c r="AN234" i="5" s="1"/>
  <c r="AN233" i="5" a="1"/>
  <c r="AN233" i="5" s="1"/>
  <c r="AN225" i="5" a="1"/>
  <c r="AN225" i="5" s="1"/>
  <c r="AN224" i="5" a="1"/>
  <c r="AN224" i="5" s="1"/>
  <c r="AN223" i="5" a="1"/>
  <c r="AN223" i="5" s="1"/>
  <c r="AN240" i="5" a="1"/>
  <c r="AN240" i="5" s="1"/>
  <c r="AN239" i="5" a="1"/>
  <c r="AN239" i="5" s="1"/>
  <c r="AN238" i="5" a="1"/>
  <c r="AN238" i="5" s="1"/>
  <c r="CT238" i="5" s="1"/>
  <c r="AN229" i="5" a="1"/>
  <c r="AN229" i="5" s="1"/>
  <c r="CT229" i="5" s="1"/>
  <c r="AN228" i="5" a="1"/>
  <c r="AN228" i="5" s="1"/>
  <c r="AN226" i="5" a="1"/>
  <c r="AN226" i="5" s="1"/>
  <c r="AN222" i="5" a="1"/>
  <c r="AN222" i="5" s="1"/>
  <c r="AN237" i="5" a="1"/>
  <c r="AN237" i="5" s="1"/>
  <c r="AN221" i="5" a="1"/>
  <c r="AN221" i="5" s="1"/>
  <c r="AN218" i="5" a="1"/>
  <c r="AN218" i="5" s="1"/>
  <c r="AN212" i="5" a="1"/>
  <c r="AN212" i="5" s="1"/>
  <c r="AN208" i="5" a="1"/>
  <c r="AN208" i="5" s="1"/>
  <c r="AN202" i="5" a="1"/>
  <c r="AN202" i="5" s="1"/>
  <c r="AN231" i="5" a="1"/>
  <c r="AN231" i="5" s="1"/>
  <c r="AN236" i="5" a="1"/>
  <c r="AN236" i="5" s="1"/>
  <c r="CT236" i="5" s="1"/>
  <c r="AN220" i="5" a="1"/>
  <c r="AN220" i="5" s="1"/>
  <c r="AN217" i="5" a="1"/>
  <c r="AN217" i="5" s="1"/>
  <c r="AN210" i="5" a="1"/>
  <c r="AN210" i="5" s="1"/>
  <c r="AN206" i="5" a="1"/>
  <c r="AN206" i="5" s="1"/>
  <c r="AN198" i="5" a="1"/>
  <c r="AN198" i="5" s="1"/>
  <c r="CT198" i="5" s="1"/>
  <c r="AN215" i="5" a="1"/>
  <c r="AN215" i="5" s="1"/>
  <c r="AN207" i="5" a="1"/>
  <c r="AN207" i="5" s="1"/>
  <c r="AN193" i="5"/>
  <c r="AN204" i="5" a="1"/>
  <c r="AN204" i="5" s="1"/>
  <c r="AN197" i="5" a="1"/>
  <c r="AN197" i="5" s="1"/>
  <c r="AN192" i="5" a="1"/>
  <c r="AN192" i="5" s="1"/>
  <c r="AN190" i="5" a="1"/>
  <c r="AN190" i="5" s="1"/>
  <c r="AN187" i="5" a="1"/>
  <c r="AN187" i="5" s="1"/>
  <c r="CT187" i="5" s="1"/>
  <c r="AN186" i="5" a="1"/>
  <c r="AN186" i="5" s="1"/>
  <c r="CT186" i="5" s="1"/>
  <c r="AN183" i="5" a="1"/>
  <c r="AN183" i="5" s="1"/>
  <c r="CT183" i="5" s="1"/>
  <c r="AN175" i="5" a="1"/>
  <c r="AN175" i="5" s="1"/>
  <c r="AN172" i="5" a="1"/>
  <c r="AN172" i="5" s="1"/>
  <c r="AN170" i="5" a="1"/>
  <c r="AN170" i="5" s="1"/>
  <c r="CT170" i="5" s="1"/>
  <c r="AN164" i="5" a="1"/>
  <c r="AN164" i="5" s="1"/>
  <c r="CT164" i="5" s="1"/>
  <c r="AN216" i="5" a="1"/>
  <c r="AN216" i="5" s="1"/>
  <c r="AN213" i="5" a="1"/>
  <c r="AN213" i="5" s="1"/>
  <c r="AN195" i="5" a="1"/>
  <c r="AN195" i="5" s="1"/>
  <c r="AN205" i="5" a="1"/>
  <c r="AN205" i="5" s="1"/>
  <c r="AN203" i="5" a="1"/>
  <c r="AN203" i="5" s="1"/>
  <c r="AN188" i="5" a="1"/>
  <c r="AN188" i="5" s="1"/>
  <c r="AN184" i="5" a="1"/>
  <c r="AN184" i="5" s="1"/>
  <c r="CT184" i="5" s="1"/>
  <c r="AN177" i="5" a="1"/>
  <c r="AN177" i="5" s="1"/>
  <c r="AN176" i="5" s="1"/>
  <c r="AN173" i="5" a="1"/>
  <c r="AN173" i="5" s="1"/>
  <c r="AN165" i="5" a="1"/>
  <c r="AN165" i="5" s="1"/>
  <c r="CT165" i="5" s="1"/>
  <c r="AN185" i="5" a="1"/>
  <c r="AN185" i="5" s="1"/>
  <c r="AN167" i="5" a="1"/>
  <c r="AN167" i="5" s="1"/>
  <c r="AN163" i="5" a="1"/>
  <c r="AN163" i="5" s="1"/>
  <c r="CT163" i="5" s="1"/>
  <c r="AN182" i="5" a="1"/>
  <c r="AN182" i="5" s="1"/>
  <c r="AN181" i="5" s="1"/>
  <c r="CT181" i="5" s="1"/>
  <c r="AN178" i="5" a="1"/>
  <c r="AN178" i="5" s="1"/>
  <c r="AN169" i="5" a="1"/>
  <c r="AN169" i="5" s="1"/>
  <c r="AH1" i="5"/>
  <c r="AH2" i="5" s="1"/>
  <c r="AK1" i="5"/>
  <c r="AK2" i="5" s="1"/>
  <c r="AQ1" i="5"/>
  <c r="AQ2" i="5" s="1"/>
  <c r="AT1" i="5"/>
  <c r="AT2" i="5" s="1"/>
  <c r="BL1" i="5"/>
  <c r="BL2" i="5" s="1"/>
  <c r="BO1" i="5"/>
  <c r="BT1" i="5"/>
  <c r="BW1" i="5"/>
  <c r="BW2" i="5" s="1"/>
  <c r="CB1" i="5"/>
  <c r="CB2" i="5" s="1"/>
  <c r="CE1" i="5"/>
  <c r="CE2" i="5" s="1"/>
  <c r="CJ1" i="5"/>
  <c r="CJ2" i="5" s="1"/>
  <c r="BD233" i="5" a="1"/>
  <c r="BD233" i="5" s="1"/>
  <c r="AY233" i="5" a="1"/>
  <c r="AY233" i="5" s="1"/>
  <c r="AY232" i="5" s="1"/>
  <c r="BD212" i="5" a="1"/>
  <c r="BD212" i="5" s="1"/>
  <c r="BD197" i="5" a="1"/>
  <c r="BD197" i="5" s="1"/>
  <c r="BD169" i="5" a="1"/>
  <c r="BD169" i="5" s="1"/>
  <c r="AR351" i="5"/>
  <c r="AR352" i="5"/>
  <c r="AO85" i="5"/>
  <c r="AE87" i="5"/>
  <c r="AO87" i="5"/>
  <c r="AY89" i="5" a="1"/>
  <c r="AY89" i="5" s="1"/>
  <c r="M111" i="5" a="1"/>
  <c r="M111" i="5" s="1"/>
  <c r="AN111" i="5"/>
  <c r="M112" i="5" a="1"/>
  <c r="M112" i="5" s="1"/>
  <c r="BG112" i="5"/>
  <c r="M113" i="5" a="1"/>
  <c r="M113" i="5" s="1"/>
  <c r="CN114" i="5"/>
  <c r="AA117" i="5"/>
  <c r="AA116" i="5"/>
  <c r="BH116" i="5"/>
  <c r="CT116" i="5" s="1"/>
  <c r="CU116" i="5" a="1"/>
  <c r="CU116" i="5" s="1"/>
  <c r="CG116" i="5"/>
  <c r="M119" i="5" a="1"/>
  <c r="M119" i="5" s="1"/>
  <c r="BJ119" i="5"/>
  <c r="CO120" i="5"/>
  <c r="M121" i="5" a="1"/>
  <c r="M121" i="5" s="1"/>
  <c r="M123" i="5" a="1"/>
  <c r="M123" i="5" s="1"/>
  <c r="Y127" i="5"/>
  <c r="Y131" i="5" s="1"/>
  <c r="BG138" i="5"/>
  <c r="BY138" i="5"/>
  <c r="CF138" i="5"/>
  <c r="BQ139" i="5"/>
  <c r="M140" i="5" a="1"/>
  <c r="M140" i="5" s="1"/>
  <c r="CF143" i="5"/>
  <c r="CG143" i="5"/>
  <c r="BH144" i="5"/>
  <c r="CT144" i="5" s="1"/>
  <c r="CG144" i="5"/>
  <c r="AR146" i="5"/>
  <c r="AI146" i="5"/>
  <c r="AU146" i="5"/>
  <c r="AU145" i="5" s="1"/>
  <c r="BQ147" i="5"/>
  <c r="CK146" i="5"/>
  <c r="BQ148" i="5"/>
  <c r="CU150" i="5" a="1"/>
  <c r="CU150" i="5" s="1"/>
  <c r="BI150" i="5"/>
  <c r="CT150" i="5" s="1"/>
  <c r="BP150" i="5"/>
  <c r="CO150" i="5"/>
  <c r="CG154" i="5"/>
  <c r="CT172" i="5"/>
  <c r="AY351" i="5"/>
  <c r="AY352" i="5"/>
  <c r="AI211" i="5"/>
  <c r="AI196" i="5"/>
  <c r="AI168" i="5"/>
  <c r="BM119" i="5"/>
  <c r="BP89" i="5"/>
  <c r="CU89" i="5" a="1"/>
  <c r="CU89" i="5" s="1"/>
  <c r="M363" i="5" a="1"/>
  <c r="M363" i="5" s="1"/>
  <c r="M381" i="5" a="1"/>
  <c r="M381" i="5" s="1"/>
  <c r="M379" i="5" a="1"/>
  <c r="M379" i="5" s="1"/>
  <c r="M377" i="5" a="1"/>
  <c r="M377" i="5" s="1"/>
  <c r="M375" i="5" a="1"/>
  <c r="M375" i="5" s="1"/>
  <c r="M373" i="5" a="1"/>
  <c r="M373" i="5" s="1"/>
  <c r="M362" i="5" a="1"/>
  <c r="M362" i="5" s="1"/>
  <c r="M354" i="5" a="1"/>
  <c r="M354" i="5" s="1"/>
  <c r="M370" i="5" a="1"/>
  <c r="M370" i="5" s="1"/>
  <c r="M369" i="5" a="1"/>
  <c r="M369" i="5" s="1"/>
  <c r="M368" i="5" a="1"/>
  <c r="M368" i="5" s="1"/>
  <c r="M367" i="5" a="1"/>
  <c r="M367" i="5" s="1"/>
  <c r="M366" i="5" a="1"/>
  <c r="M366" i="5" s="1"/>
  <c r="M365" i="5" a="1"/>
  <c r="M365" i="5" s="1"/>
  <c r="M361" i="5" a="1"/>
  <c r="M361" i="5" s="1"/>
  <c r="M360" i="5" a="1"/>
  <c r="M360" i="5" s="1"/>
  <c r="M359" i="5" a="1"/>
  <c r="M359" i="5" s="1"/>
  <c r="M358" i="5" a="1"/>
  <c r="M358" i="5" s="1"/>
  <c r="M357" i="5" a="1"/>
  <c r="M357" i="5" s="1"/>
  <c r="M380" i="5" a="1"/>
  <c r="M380" i="5" s="1"/>
  <c r="M378" i="5" a="1"/>
  <c r="M378" i="5" s="1"/>
  <c r="M376" i="5" a="1"/>
  <c r="M376" i="5" s="1"/>
  <c r="M374" i="5" a="1"/>
  <c r="M374" i="5" s="1"/>
  <c r="M372" i="5" a="1"/>
  <c r="M372" i="5" s="1"/>
  <c r="M371" i="5" a="1"/>
  <c r="M371" i="5" s="1"/>
  <c r="M364" i="5" a="1"/>
  <c r="M364" i="5" s="1"/>
  <c r="M356" i="5" a="1"/>
  <c r="M356" i="5" s="1"/>
  <c r="M351" i="5" a="1"/>
  <c r="M351" i="5" s="1"/>
  <c r="M350" i="5" a="1"/>
  <c r="M350" i="5" s="1"/>
  <c r="M349" i="5" a="1"/>
  <c r="M349" i="5" s="1"/>
  <c r="M342" i="5" a="1"/>
  <c r="M342" i="5" s="1"/>
  <c r="M340" i="5" a="1"/>
  <c r="M340" i="5" s="1"/>
  <c r="M353" i="5" a="1"/>
  <c r="M353" i="5" s="1"/>
  <c r="M346" i="5" a="1"/>
  <c r="M346" i="5" s="1"/>
  <c r="M344" i="5" a="1"/>
  <c r="M344" i="5" s="1"/>
  <c r="M338" i="5" a="1"/>
  <c r="M338" i="5" s="1"/>
  <c r="M335" i="5" a="1"/>
  <c r="M335" i="5" s="1"/>
  <c r="M345" i="5" a="1"/>
  <c r="M345" i="5" s="1"/>
  <c r="M352" i="5" a="1"/>
  <c r="M352" i="5" s="1"/>
  <c r="M347" i="5" a="1"/>
  <c r="M347" i="5" s="1"/>
  <c r="M343" i="5" a="1"/>
  <c r="M343" i="5" s="1"/>
  <c r="M341" i="5" a="1"/>
  <c r="M341" i="5" s="1"/>
  <c r="M330" i="5" a="1"/>
  <c r="M330" i="5" s="1"/>
  <c r="M327" i="5" a="1"/>
  <c r="M327" i="5" s="1"/>
  <c r="M324" i="5" a="1"/>
  <c r="M324" i="5" s="1"/>
  <c r="M323" i="5" a="1"/>
  <c r="M323" i="5" s="1"/>
  <c r="M314" i="5" a="1"/>
  <c r="M314" i="5" s="1"/>
  <c r="M308" i="5" a="1"/>
  <c r="M308" i="5" s="1"/>
  <c r="M355" i="5" a="1"/>
  <c r="M355" i="5" s="1"/>
  <c r="M348" i="5" a="1"/>
  <c r="M348" i="5" s="1"/>
  <c r="M339" i="5" a="1"/>
  <c r="M339" i="5" s="1"/>
  <c r="M337" i="5" a="1"/>
  <c r="M337" i="5" s="1"/>
  <c r="M334" i="5" a="1"/>
  <c r="M334" i="5" s="1"/>
  <c r="M332" i="5" a="1"/>
  <c r="M332" i="5" s="1"/>
  <c r="M328" i="5" a="1"/>
  <c r="M328" i="5" s="1"/>
  <c r="M325" i="5" a="1"/>
  <c r="M325" i="5" s="1"/>
  <c r="M321" i="5" a="1"/>
  <c r="M321" i="5" s="1"/>
  <c r="M320" i="5" a="1"/>
  <c r="M320" i="5" s="1"/>
  <c r="M318" i="5" a="1"/>
  <c r="M318" i="5" s="1"/>
  <c r="M312" i="5" a="1"/>
  <c r="M312" i="5" s="1"/>
  <c r="M306" i="5" a="1"/>
  <c r="M306" i="5" s="1"/>
  <c r="M317" i="5" a="1"/>
  <c r="M317" i="5" s="1"/>
  <c r="M315" i="5" a="1"/>
  <c r="M315" i="5" s="1"/>
  <c r="M313" i="5" a="1"/>
  <c r="M313" i="5" s="1"/>
  <c r="M310" i="5" a="1"/>
  <c r="M310" i="5" s="1"/>
  <c r="M307" i="5" a="1"/>
  <c r="M307" i="5" s="1"/>
  <c r="M331" i="5" a="1"/>
  <c r="M331" i="5" s="1"/>
  <c r="M329" i="5" a="1"/>
  <c r="M329" i="5" s="1"/>
  <c r="M316" i="5" a="1"/>
  <c r="M316" i="5" s="1"/>
  <c r="M309" i="5" a="1"/>
  <c r="M309" i="5" s="1"/>
  <c r="M301" i="5" a="1"/>
  <c r="M301" i="5" s="1"/>
  <c r="M300" i="5" a="1"/>
  <c r="M300" i="5" s="1"/>
  <c r="M291" i="5" a="1"/>
  <c r="M291" i="5" s="1"/>
  <c r="M336" i="5" a="1"/>
  <c r="M336" i="5" s="1"/>
  <c r="M333" i="5" a="1"/>
  <c r="M333" i="5" s="1"/>
  <c r="M322" i="5" a="1"/>
  <c r="M322" i="5" s="1"/>
  <c r="M311" i="5" a="1"/>
  <c r="M311" i="5" s="1"/>
  <c r="M326" i="5" a="1"/>
  <c r="M326" i="5" s="1"/>
  <c r="M319" i="5" a="1"/>
  <c r="M319" i="5" s="1"/>
  <c r="M303" i="5" a="1"/>
  <c r="M303" i="5" s="1"/>
  <c r="M302" i="5" a="1"/>
  <c r="M302" i="5" s="1"/>
  <c r="M298" i="5" a="1"/>
  <c r="M298" i="5" s="1"/>
  <c r="M295" i="5" a="1"/>
  <c r="M295" i="5" s="1"/>
  <c r="M293" i="5" a="1"/>
  <c r="M293" i="5" s="1"/>
  <c r="M297" i="5" a="1"/>
  <c r="M297" i="5" s="1"/>
  <c r="M286" i="5" a="1"/>
  <c r="M286" i="5" s="1"/>
  <c r="M285" i="5" a="1"/>
  <c r="M285" i="5" s="1"/>
  <c r="M278" i="5" a="1"/>
  <c r="M278" i="5" s="1"/>
  <c r="M275" i="5" a="1"/>
  <c r="M275" i="5" s="1"/>
  <c r="M305" i="5" a="1"/>
  <c r="M305" i="5" s="1"/>
  <c r="M279" i="5" a="1"/>
  <c r="M279" i="5" s="1"/>
  <c r="M267" i="5" a="1"/>
  <c r="M267" i="5" s="1"/>
  <c r="M296" i="5" a="1"/>
  <c r="M296" i="5" s="1"/>
  <c r="M294" i="5" a="1"/>
  <c r="M294" i="5" s="1"/>
  <c r="M288" i="5" a="1"/>
  <c r="M288" i="5" s="1"/>
  <c r="M276" i="5" a="1"/>
  <c r="M276" i="5" s="1"/>
  <c r="M299" i="5" a="1"/>
  <c r="M299" i="5" s="1"/>
  <c r="M292" i="5" a="1"/>
  <c r="M292" i="5" s="1"/>
  <c r="M290" i="5" a="1"/>
  <c r="M290" i="5" s="1"/>
  <c r="M289" i="5" a="1"/>
  <c r="M289" i="5" s="1"/>
  <c r="M287" i="5" a="1"/>
  <c r="M287" i="5" s="1"/>
  <c r="M284" i="5" a="1"/>
  <c r="M284" i="5" s="1"/>
  <c r="M283" i="5" a="1"/>
  <c r="M283" i="5" s="1"/>
  <c r="M282" i="5" a="1"/>
  <c r="M282" i="5" s="1"/>
  <c r="M281" i="5" a="1"/>
  <c r="M281" i="5" s="1"/>
  <c r="M280" i="5" a="1"/>
  <c r="M280" i="5" s="1"/>
  <c r="M277" i="5" a="1"/>
  <c r="M277" i="5" s="1"/>
  <c r="M274" i="5" a="1"/>
  <c r="M274" i="5" s="1"/>
  <c r="M273" i="5" a="1"/>
  <c r="M273" i="5" s="1"/>
  <c r="M269" i="5" a="1"/>
  <c r="M269" i="5" s="1"/>
  <c r="M265" i="5" a="1"/>
  <c r="M265" i="5" s="1"/>
  <c r="M263" i="5" a="1"/>
  <c r="M263" i="5" s="1"/>
  <c r="M260" i="5" a="1"/>
  <c r="M260" i="5" s="1"/>
  <c r="M259" i="5" a="1"/>
  <c r="M259" i="5" s="1"/>
  <c r="M258" i="5" a="1"/>
  <c r="M258" i="5" s="1"/>
  <c r="M257" i="5" a="1"/>
  <c r="M257" i="5" s="1"/>
  <c r="M272" i="5" a="1"/>
  <c r="M272" i="5" s="1"/>
  <c r="M252" i="5" a="1"/>
  <c r="M252" i="5" s="1"/>
  <c r="M261" i="5" a="1"/>
  <c r="M261" i="5" s="1"/>
  <c r="M253" i="5" a="1"/>
  <c r="M253" i="5" s="1"/>
  <c r="M249" i="5" a="1"/>
  <c r="M249" i="5" s="1"/>
  <c r="M246" i="5" a="1"/>
  <c r="M246" i="5" s="1"/>
  <c r="M234" i="5" a="1"/>
  <c r="M234" i="5" s="1"/>
  <c r="M231" i="5" a="1"/>
  <c r="M231" i="5" s="1"/>
  <c r="M230" i="5" a="1"/>
  <c r="M230" i="5" s="1"/>
  <c r="M270" i="5" a="1"/>
  <c r="M270" i="5" s="1"/>
  <c r="M266" i="5" a="1"/>
  <c r="M266" i="5" s="1"/>
  <c r="M264" i="5" a="1"/>
  <c r="M264" i="5" s="1"/>
  <c r="M262" i="5" a="1"/>
  <c r="M262" i="5" s="1"/>
  <c r="M255" i="5" a="1"/>
  <c r="M255" i="5" s="1"/>
  <c r="M254" i="5" a="1"/>
  <c r="M254" i="5" s="1"/>
  <c r="M250" i="5" a="1"/>
  <c r="M250" i="5" s="1"/>
  <c r="M248" i="5" a="1"/>
  <c r="M248" i="5" s="1"/>
  <c r="M245" i="5" a="1"/>
  <c r="M245" i="5" s="1"/>
  <c r="M240" i="5" a="1"/>
  <c r="M240" i="5" s="1"/>
  <c r="M271" i="5" a="1"/>
  <c r="M271" i="5" s="1"/>
  <c r="M268" i="5" a="1"/>
  <c r="M268" i="5" s="1"/>
  <c r="M256" i="5" a="1"/>
  <c r="M256" i="5" s="1"/>
  <c r="M251" i="5" a="1"/>
  <c r="M251" i="5" s="1"/>
  <c r="M239" i="5" a="1"/>
  <c r="M239" i="5" s="1"/>
  <c r="M238" i="5" a="1"/>
  <c r="M238" i="5" s="1"/>
  <c r="M237" i="5" a="1"/>
  <c r="M237" i="5" s="1"/>
  <c r="M236" i="5" a="1"/>
  <c r="M236" i="5" s="1"/>
  <c r="M235" i="5" a="1"/>
  <c r="M235" i="5" s="1"/>
  <c r="M227" i="5" a="1"/>
  <c r="M227" i="5" s="1"/>
  <c r="M221" i="5" a="1"/>
  <c r="M221" i="5" s="1"/>
  <c r="M220" i="5" a="1"/>
  <c r="M220" i="5" s="1"/>
  <c r="M241" i="5" a="1"/>
  <c r="M241" i="5" s="1"/>
  <c r="M226" i="5" a="1"/>
  <c r="M226" i="5" s="1"/>
  <c r="M247" i="5" a="1"/>
  <c r="M247" i="5" s="1"/>
  <c r="M243" i="5" a="1"/>
  <c r="M243" i="5" s="1"/>
  <c r="M225" i="5" a="1"/>
  <c r="M225" i="5" s="1"/>
  <c r="M223" i="5" a="1"/>
  <c r="M223" i="5" s="1"/>
  <c r="M213" i="5" a="1"/>
  <c r="M213" i="5" s="1"/>
  <c r="M207" i="5" a="1"/>
  <c r="M207" i="5" s="1"/>
  <c r="M205" i="5" a="1"/>
  <c r="M205" i="5" s="1"/>
  <c r="M204" i="5" a="1"/>
  <c r="M204" i="5" s="1"/>
  <c r="M203" i="5" a="1"/>
  <c r="M203" i="5" s="1"/>
  <c r="M197" i="5" a="1"/>
  <c r="M197" i="5" s="1"/>
  <c r="M233" i="5" a="1"/>
  <c r="M233" i="5" s="1"/>
  <c r="M229" i="5" a="1"/>
  <c r="M229" i="5" s="1"/>
  <c r="M224" i="5" a="1"/>
  <c r="M224" i="5" s="1"/>
  <c r="M222" i="5" a="1"/>
  <c r="M222" i="5" s="1"/>
  <c r="M244" i="5" a="1"/>
  <c r="M244" i="5" s="1"/>
  <c r="M242" i="5" a="1"/>
  <c r="M242" i="5" s="1"/>
  <c r="M232" i="5" a="1"/>
  <c r="M232" i="5" s="1"/>
  <c r="M228" i="5" a="1"/>
  <c r="M228" i="5" s="1"/>
  <c r="M216" i="5" a="1"/>
  <c r="M216" i="5" s="1"/>
  <c r="M215" i="5" a="1"/>
  <c r="M215" i="5" s="1"/>
  <c r="M214" i="5" a="1"/>
  <c r="M214" i="5" s="1"/>
  <c r="M218" i="5" a="1"/>
  <c r="M218" i="5" s="1"/>
  <c r="M217" i="5" a="1"/>
  <c r="M217" i="5" s="1"/>
  <c r="M212" i="5" a="1"/>
  <c r="M212" i="5" s="1"/>
  <c r="M211" i="5" a="1"/>
  <c r="M211" i="5" s="1"/>
  <c r="M210" i="5" a="1"/>
  <c r="M210" i="5" s="1"/>
  <c r="M200" i="5" a="1"/>
  <c r="M200" i="5" s="1"/>
  <c r="M192" i="5" a="1"/>
  <c r="M192" i="5" s="1"/>
  <c r="M191" i="5" a="1"/>
  <c r="M191" i="5" s="1"/>
  <c r="M219" i="5" a="1"/>
  <c r="M219" i="5" s="1"/>
  <c r="M206" i="5" a="1"/>
  <c r="M206" i="5" s="1"/>
  <c r="M195" i="5" a="1"/>
  <c r="M195" i="5" s="1"/>
  <c r="M194" i="5" a="1"/>
  <c r="M194" i="5" s="1"/>
  <c r="M193" i="5" a="1"/>
  <c r="M193" i="5" s="1"/>
  <c r="M185" i="5" a="1"/>
  <c r="M185" i="5" s="1"/>
  <c r="M184" i="5" a="1"/>
  <c r="M184" i="5" s="1"/>
  <c r="M179" i="5" a="1"/>
  <c r="M179" i="5" s="1"/>
  <c r="M167" i="5" a="1"/>
  <c r="M167" i="5" s="1"/>
  <c r="M166" i="5" a="1"/>
  <c r="M166" i="5" s="1"/>
  <c r="M165" i="5" a="1"/>
  <c r="M165" i="5" s="1"/>
  <c r="M208" i="5" a="1"/>
  <c r="M208" i="5" s="1"/>
  <c r="M202" i="5" a="1"/>
  <c r="M202" i="5" s="1"/>
  <c r="M190" i="5" a="1"/>
  <c r="M190" i="5" s="1"/>
  <c r="M209" i="5" a="1"/>
  <c r="M209" i="5" s="1"/>
  <c r="M201" i="5" a="1"/>
  <c r="M201" i="5" s="1"/>
  <c r="M199" i="5" a="1"/>
  <c r="M199" i="5" s="1"/>
  <c r="M198" i="5" a="1"/>
  <c r="M198" i="5" s="1"/>
  <c r="M196" i="5" a="1"/>
  <c r="M196" i="5" s="1"/>
  <c r="M182" i="5" a="1"/>
  <c r="M182" i="5" s="1"/>
  <c r="M181" i="5" a="1"/>
  <c r="M181" i="5" s="1"/>
  <c r="M180" i="5" a="1"/>
  <c r="M180" i="5" s="1"/>
  <c r="M178" i="5" a="1"/>
  <c r="M178" i="5" s="1"/>
  <c r="M173" i="5" a="1"/>
  <c r="M173" i="5" s="1"/>
  <c r="M169" i="5" a="1"/>
  <c r="M169" i="5" s="1"/>
  <c r="M168" i="5" a="1"/>
  <c r="M168" i="5" s="1"/>
  <c r="M189" i="5" a="1"/>
  <c r="M189" i="5" s="1"/>
  <c r="M187" i="5" a="1"/>
  <c r="M187" i="5" s="1"/>
  <c r="M186" i="5" a="1"/>
  <c r="M186" i="5" s="1"/>
  <c r="M176" i="5" a="1"/>
  <c r="M176" i="5" s="1"/>
  <c r="M174" i="5" a="1"/>
  <c r="M174" i="5" s="1"/>
  <c r="M159" i="5" a="1"/>
  <c r="M159" i="5" s="1"/>
  <c r="M156" i="5" a="1"/>
  <c r="M156" i="5" s="1"/>
  <c r="M154" i="5" a="1"/>
  <c r="M154" i="5" s="1"/>
  <c r="M183" i="5" a="1"/>
  <c r="M183" i="5" s="1"/>
  <c r="M171" i="5" a="1"/>
  <c r="M171" i="5" s="1"/>
  <c r="M170" i="5" a="1"/>
  <c r="M170" i="5" s="1"/>
  <c r="M164" i="5" a="1"/>
  <c r="M164" i="5" s="1"/>
  <c r="M163" i="5" a="1"/>
  <c r="M163" i="5" s="1"/>
  <c r="M162" i="5" a="1"/>
  <c r="M162" i="5" s="1"/>
  <c r="M161" i="5" a="1"/>
  <c r="M161" i="5" s="1"/>
  <c r="M160" i="5" a="1"/>
  <c r="M160" i="5" s="1"/>
  <c r="M155" i="5" a="1"/>
  <c r="M155" i="5" s="1"/>
  <c r="M151" i="5" a="1"/>
  <c r="M151" i="5" s="1"/>
  <c r="M147" i="5" a="1"/>
  <c r="M147" i="5" s="1"/>
  <c r="M143" i="5" a="1"/>
  <c r="M143" i="5" s="1"/>
  <c r="M142" i="5" a="1"/>
  <c r="M142" i="5" s="1"/>
  <c r="M139" i="5" a="1"/>
  <c r="M139" i="5" s="1"/>
  <c r="M116" i="5" a="1"/>
  <c r="M116" i="5" s="1"/>
  <c r="M114" i="5" a="1"/>
  <c r="M114" i="5" s="1"/>
  <c r="M177" i="5" a="1"/>
  <c r="M177" i="5" s="1"/>
  <c r="M175" i="5" a="1"/>
  <c r="M175" i="5" s="1"/>
  <c r="M172" i="5" a="1"/>
  <c r="M172" i="5" s="1"/>
  <c r="M188" i="5" a="1"/>
  <c r="M188" i="5" s="1"/>
  <c r="M158" i="5" a="1"/>
  <c r="M158" i="5" s="1"/>
  <c r="M157" i="5" a="1"/>
  <c r="M157" i="5" s="1"/>
  <c r="M153" i="5" a="1"/>
  <c r="M153" i="5" s="1"/>
  <c r="M149" i="5" a="1"/>
  <c r="M149" i="5" s="1"/>
  <c r="M145" i="5" a="1"/>
  <c r="M145" i="5" s="1"/>
  <c r="M137" i="5" a="1"/>
  <c r="M137" i="5" s="1"/>
  <c r="M136" i="5" a="1"/>
  <c r="M136" i="5" s="1"/>
  <c r="M135" i="5" a="1"/>
  <c r="M135" i="5" s="1"/>
  <c r="M134" i="5" a="1"/>
  <c r="M134" i="5" s="1"/>
  <c r="M133" i="5" a="1"/>
  <c r="M133" i="5" s="1"/>
  <c r="M132" i="5" a="1"/>
  <c r="M132" i="5" s="1"/>
  <c r="M128" i="5" a="1"/>
  <c r="M128" i="5" s="1"/>
  <c r="M127" i="5" a="1"/>
  <c r="M127" i="5" s="1"/>
  <c r="M124" i="5" a="1"/>
  <c r="M124" i="5" s="1"/>
  <c r="M120" i="5" a="1"/>
  <c r="M120" i="5" s="1"/>
  <c r="M117" i="5" a="1"/>
  <c r="M117" i="5" s="1"/>
  <c r="CU113" i="5" a="1"/>
  <c r="CU113" i="5" s="1"/>
  <c r="BG113" i="5"/>
  <c r="BI113" i="5"/>
  <c r="BH112" i="5"/>
  <c r="BP113" i="5"/>
  <c r="M126" i="5" a="1"/>
  <c r="M126" i="5" s="1"/>
  <c r="M130" i="5" a="1"/>
  <c r="M130" i="5" s="1"/>
  <c r="M138" i="5" a="1"/>
  <c r="M138" i="5" s="1"/>
  <c r="BX138" i="5"/>
  <c r="BI140" i="5"/>
  <c r="CT140" i="5" s="1"/>
  <c r="CU140" i="5" a="1"/>
  <c r="CU140" i="5" s="1"/>
  <c r="BP140" i="5"/>
  <c r="M141" i="5" a="1"/>
  <c r="M141" i="5" s="1"/>
  <c r="M146" i="5" a="1"/>
  <c r="M146" i="5" s="1"/>
  <c r="CN147" i="5"/>
  <c r="CC146" i="5"/>
  <c r="BI148" i="5"/>
  <c r="CT148" i="5" s="1"/>
  <c r="CU148" i="5" a="1"/>
  <c r="CU148" i="5" s="1"/>
  <c r="BP148" i="5"/>
  <c r="BQ151" i="5"/>
  <c r="BX151" i="5"/>
  <c r="CG151" i="5"/>
  <c r="CN151" i="5"/>
  <c r="M152" i="5" a="1"/>
  <c r="M152" i="5" s="1"/>
  <c r="BI152" i="5"/>
  <c r="CT152" i="5" s="1"/>
  <c r="BP154" i="5"/>
  <c r="BH154" i="5"/>
  <c r="CT154" i="5" s="1"/>
  <c r="CU154" i="5" a="1"/>
  <c r="CU154" i="5" s="1"/>
  <c r="BI154" i="5"/>
  <c r="BY155" i="5"/>
  <c r="CF155" i="5"/>
  <c r="BH120" i="5"/>
  <c r="CT120" i="5" s="1"/>
  <c r="BH149" i="5"/>
  <c r="CT149" i="5" s="1"/>
  <c r="CU152" i="5" a="1"/>
  <c r="CU152" i="5" s="1"/>
  <c r="BH153" i="5"/>
  <c r="CT153" i="5" s="1"/>
  <c r="AR161" i="5"/>
  <c r="CU162" i="5" a="1"/>
  <c r="CU162" i="5" s="1"/>
  <c r="AR180" i="5"/>
  <c r="BG180" i="5" s="1"/>
  <c r="BG173" i="5"/>
  <c r="AI174" i="5"/>
  <c r="AU179" i="5"/>
  <c r="AR181" i="5"/>
  <c r="BG184" i="5"/>
  <c r="CT185" i="5"/>
  <c r="AI191" i="5"/>
  <c r="AU199" i="5"/>
  <c r="AU194" i="5"/>
  <c r="AU191" i="5" s="1"/>
  <c r="BP162" i="5"/>
  <c r="BG187" i="5"/>
  <c r="BH114" i="5"/>
  <c r="CT114" i="5" s="1"/>
  <c r="BH139" i="5"/>
  <c r="CT139" i="5" s="1"/>
  <c r="BH143" i="5"/>
  <c r="CT143" i="5" s="1"/>
  <c r="BH147" i="5"/>
  <c r="CT147" i="5" s="1"/>
  <c r="BH151" i="5"/>
  <c r="CT151" i="5" s="1"/>
  <c r="AI179" i="5"/>
  <c r="BG172" i="5"/>
  <c r="AR179" i="5"/>
  <c r="BG179" i="5" s="1"/>
  <c r="BG175" i="5"/>
  <c r="CT182" i="5"/>
  <c r="AR201" i="5"/>
  <c r="AI219" i="5"/>
  <c r="BG208" i="5"/>
  <c r="BG220" i="5"/>
  <c r="BG206" i="5"/>
  <c r="AR219" i="5"/>
  <c r="AI200" i="5"/>
  <c r="AU214" i="5"/>
  <c r="BG218" i="5"/>
  <c r="BG225" i="5"/>
  <c r="CT231" i="5"/>
  <c r="AR232" i="5"/>
  <c r="BG232" i="5" s="1"/>
  <c r="AI234" i="5"/>
  <c r="CT234" i="5" s="1"/>
  <c r="BY242" i="5"/>
  <c r="CN242" i="5"/>
  <c r="CC241" i="5"/>
  <c r="CG242" i="5"/>
  <c r="CO241" i="5"/>
  <c r="CG244" i="5"/>
  <c r="CC243" i="5"/>
  <c r="CF245" i="5"/>
  <c r="BY245" i="5"/>
  <c r="AN246" i="5"/>
  <c r="BX247" i="5"/>
  <c r="CO247" i="5"/>
  <c r="BX250" i="5"/>
  <c r="BQ250" i="5"/>
  <c r="CN250" i="5"/>
  <c r="CG250" i="5"/>
  <c r="BX252" i="5"/>
  <c r="BQ252" i="5"/>
  <c r="CN252" i="5"/>
  <c r="CG252" i="5"/>
  <c r="AU235" i="5"/>
  <c r="CT237" i="5"/>
  <c r="BG238" i="5"/>
  <c r="BU243" i="5"/>
  <c r="CF244" i="5"/>
  <c r="BY244" i="5"/>
  <c r="BP246" i="5"/>
  <c r="BI246" i="5"/>
  <c r="BH246" i="5"/>
  <c r="CU246" i="5" a="1"/>
  <c r="CU246" i="5" s="1"/>
  <c r="CF254" i="5"/>
  <c r="BY254" i="5"/>
  <c r="BG223" i="5"/>
  <c r="AI240" i="5"/>
  <c r="CT240" i="5" s="1"/>
  <c r="AR240" i="5"/>
  <c r="BG240" i="5" s="1"/>
  <c r="BG228" i="5"/>
  <c r="AR235" i="5"/>
  <c r="BG235" i="5" s="1"/>
  <c r="CT239" i="5"/>
  <c r="BH242" i="5"/>
  <c r="CU242" i="5" a="1"/>
  <c r="CU242" i="5" s="1"/>
  <c r="BG242" i="5"/>
  <c r="BD241" i="5"/>
  <c r="BP242" i="5"/>
  <c r="BH243" i="5"/>
  <c r="CK243" i="5"/>
  <c r="CO243" i="5" s="1"/>
  <c r="CO244" i="5"/>
  <c r="BP245" i="5"/>
  <c r="BI245" i="5"/>
  <c r="BH245" i="5"/>
  <c r="CU245" i="5" a="1"/>
  <c r="CU245" i="5" s="1"/>
  <c r="BG246" i="5"/>
  <c r="AU246" i="5"/>
  <c r="CG247" i="5"/>
  <c r="BI249" i="5"/>
  <c r="BH249" i="5"/>
  <c r="CU249" i="5" a="1"/>
  <c r="CU249" i="5" s="1"/>
  <c r="BP249" i="5"/>
  <c r="CF250" i="5"/>
  <c r="BY250" i="5"/>
  <c r="CO250" i="5"/>
  <c r="CU251" i="5" a="1"/>
  <c r="CU251" i="5" s="1"/>
  <c r="BP251" i="5"/>
  <c r="BI251" i="5"/>
  <c r="BH251" i="5"/>
  <c r="CF252" i="5"/>
  <c r="CT252" i="5" s="1"/>
  <c r="BY252" i="5"/>
  <c r="CO252" i="5"/>
  <c r="BI253" i="5"/>
  <c r="BH253" i="5"/>
  <c r="CU253" i="5" a="1"/>
  <c r="CU253" i="5" s="1"/>
  <c r="BP253" i="5"/>
  <c r="BG254" i="5"/>
  <c r="BG222" i="5"/>
  <c r="BG224" i="5"/>
  <c r="CT228" i="5"/>
  <c r="BG229" i="5"/>
  <c r="BG237" i="5"/>
  <c r="BX242" i="5"/>
  <c r="BM241" i="5"/>
  <c r="BQ242" i="5"/>
  <c r="BY241" i="5"/>
  <c r="AN243" i="5"/>
  <c r="BQ244" i="5"/>
  <c r="BM243" i="5"/>
  <c r="CF246" i="5"/>
  <c r="BY246" i="5"/>
  <c r="CF247" i="5"/>
  <c r="BY247" i="5"/>
  <c r="CT253" i="5"/>
  <c r="BX254" i="5"/>
  <c r="BQ254" i="5"/>
  <c r="CN254" i="5"/>
  <c r="CG254" i="5"/>
  <c r="AI242" i="5"/>
  <c r="CF242" i="5"/>
  <c r="BI244" i="5"/>
  <c r="BI247" i="5"/>
  <c r="BI248" i="5"/>
  <c r="CT248" i="5" s="1"/>
  <c r="CU250" i="5" a="1"/>
  <c r="CU250" i="5" s="1"/>
  <c r="BI252" i="5"/>
  <c r="CU254" i="5" a="1"/>
  <c r="CU254" i="5" s="1"/>
  <c r="CG255" i="5"/>
  <c r="CG256" i="5"/>
  <c r="BY259" i="5"/>
  <c r="BZ259" i="5"/>
  <c r="CG259" i="5" s="1"/>
  <c r="AR259" i="5"/>
  <c r="BQ261" i="5"/>
  <c r="BP264" i="5"/>
  <c r="CT264" i="5" s="1"/>
  <c r="BH264" i="5"/>
  <c r="BY264" i="5"/>
  <c r="CG270" i="5"/>
  <c r="CN270" i="5"/>
  <c r="CG271" i="5"/>
  <c r="BJ273" i="5"/>
  <c r="BQ273" i="5" s="1"/>
  <c r="BZ273" i="5"/>
  <c r="BX279" i="5"/>
  <c r="BQ279" i="5"/>
  <c r="CN279" i="5"/>
  <c r="CG279" i="5"/>
  <c r="CF280" i="5"/>
  <c r="BY280" i="5"/>
  <c r="CO280" i="5"/>
  <c r="BX281" i="5"/>
  <c r="BQ281" i="5"/>
  <c r="CN281" i="5"/>
  <c r="CG281" i="5"/>
  <c r="CF282" i="5"/>
  <c r="BY282" i="5"/>
  <c r="CO282" i="5"/>
  <c r="BP244" i="5"/>
  <c r="BP247" i="5"/>
  <c r="BQ249" i="5"/>
  <c r="CG249" i="5"/>
  <c r="BH250" i="5"/>
  <c r="CT250" i="5" s="1"/>
  <c r="BY251" i="5"/>
  <c r="BP252" i="5"/>
  <c r="BQ253" i="5"/>
  <c r="CG253" i="5"/>
  <c r="BH254" i="5"/>
  <c r="CU257" i="5" a="1"/>
  <c r="CU257" i="5" s="1"/>
  <c r="BI257" i="5"/>
  <c r="BP257" i="5"/>
  <c r="BM259" i="5"/>
  <c r="CH259" i="5"/>
  <c r="CO259" i="5" s="1"/>
  <c r="BH261" i="5"/>
  <c r="CT261" i="5" s="1"/>
  <c r="BP261" i="5"/>
  <c r="CF270" i="5"/>
  <c r="BI271" i="5"/>
  <c r="BX273" i="5"/>
  <c r="AY286" i="5"/>
  <c r="AY283" i="5"/>
  <c r="AY258" i="5" s="1"/>
  <c r="AY157" i="5" s="1"/>
  <c r="AY156" i="5" s="1"/>
  <c r="BU285" i="5" a="1"/>
  <c r="BU285" i="5" s="1"/>
  <c r="BQ285" i="5"/>
  <c r="BX285" i="5"/>
  <c r="BG244" i="5"/>
  <c r="CT244" i="5" s="1"/>
  <c r="BG247" i="5"/>
  <c r="BI250" i="5"/>
  <c r="BI254" i="5"/>
  <c r="BI255" i="5"/>
  <c r="CT255" i="5" s="1"/>
  <c r="CU255" i="5" a="1"/>
  <c r="CU255" i="5" s="1"/>
  <c r="BQ255" i="5"/>
  <c r="BQ256" i="5"/>
  <c r="BH257" i="5"/>
  <c r="CT257" i="5" s="1"/>
  <c r="BP260" i="5"/>
  <c r="BD259" i="5"/>
  <c r="BH260" i="5"/>
  <c r="CT260" i="5" s="1"/>
  <c r="BJ259" i="5"/>
  <c r="BY260" i="5"/>
  <c r="CG261" i="5"/>
  <c r="Y262" i="5"/>
  <c r="Y263" i="5" s="1"/>
  <c r="BP262" i="5"/>
  <c r="BH262" i="5"/>
  <c r="CT262" i="5" s="1"/>
  <c r="BY262" i="5"/>
  <c r="BQ270" i="5"/>
  <c r="BX270" i="5"/>
  <c r="BQ271" i="5"/>
  <c r="CF273" i="5"/>
  <c r="AR273" i="5"/>
  <c r="BG274" i="5"/>
  <c r="BI274" i="5"/>
  <c r="BH274" i="5"/>
  <c r="BD273" i="5"/>
  <c r="CU274" i="5" a="1"/>
  <c r="CU274" i="5" s="1"/>
  <c r="BP274" i="5"/>
  <c r="CU276" i="5" a="1"/>
  <c r="CU276" i="5" s="1"/>
  <c r="BP276" i="5"/>
  <c r="BI276" i="5"/>
  <c r="BH276" i="5"/>
  <c r="CT276" i="5" s="1"/>
  <c r="CF279" i="5"/>
  <c r="BY279" i="5"/>
  <c r="CK273" i="5"/>
  <c r="CN273" i="5" s="1"/>
  <c r="CO279" i="5"/>
  <c r="BX280" i="5"/>
  <c r="BQ280" i="5"/>
  <c r="CN280" i="5"/>
  <c r="CG280" i="5"/>
  <c r="CF281" i="5"/>
  <c r="BY281" i="5"/>
  <c r="CO281" i="5"/>
  <c r="BX282" i="5"/>
  <c r="BQ282" i="5"/>
  <c r="CN282" i="5"/>
  <c r="CG282" i="5"/>
  <c r="AI286" i="5"/>
  <c r="AI283" i="5"/>
  <c r="AI258" i="5" s="1"/>
  <c r="Y257" i="5"/>
  <c r="AN259" i="5"/>
  <c r="BI270" i="5"/>
  <c r="CU270" i="5" a="1"/>
  <c r="CU270" i="5" s="1"/>
  <c r="CU259" i="5" s="1"/>
  <c r="BG270" i="5"/>
  <c r="CT270" i="5" s="1"/>
  <c r="BP270" i="5"/>
  <c r="BH271" i="5"/>
  <c r="CT271" i="5" s="1"/>
  <c r="BP271" i="5"/>
  <c r="CU272" i="5" a="1"/>
  <c r="CU272" i="5" s="1"/>
  <c r="BG272" i="5"/>
  <c r="BI272" i="5"/>
  <c r="BP272" i="5"/>
  <c r="CG273" i="5"/>
  <c r="CU275" i="5" a="1"/>
  <c r="CU275" i="5" s="1"/>
  <c r="BG275" i="5"/>
  <c r="BP275" i="5"/>
  <c r="BI275" i="5"/>
  <c r="BH275" i="5"/>
  <c r="BH256" i="5"/>
  <c r="CT256" i="5" s="1"/>
  <c r="AY317" i="5"/>
  <c r="BX276" i="5"/>
  <c r="CN276" i="5"/>
  <c r="BI279" i="5"/>
  <c r="BI280" i="5"/>
  <c r="BI281" i="5"/>
  <c r="CT281" i="5" s="1"/>
  <c r="BI282" i="5"/>
  <c r="CT282" i="5" s="1"/>
  <c r="CG287" i="5"/>
  <c r="BY289" i="5"/>
  <c r="BQ294" i="5"/>
  <c r="CG298" i="5"/>
  <c r="CN298" i="5"/>
  <c r="BH299" i="5"/>
  <c r="CT299" i="5" s="1"/>
  <c r="BP299" i="5"/>
  <c r="BY299" i="5"/>
  <c r="BQ300" i="5"/>
  <c r="BX300" i="5"/>
  <c r="BY301" i="5"/>
  <c r="CF301" i="5"/>
  <c r="BQ274" i="5"/>
  <c r="CG274" i="5"/>
  <c r="BY275" i="5"/>
  <c r="BP279" i="5"/>
  <c r="BP280" i="5"/>
  <c r="BP281" i="5"/>
  <c r="BP282" i="5"/>
  <c r="BG284" i="5"/>
  <c r="CF298" i="5"/>
  <c r="BI300" i="5"/>
  <c r="CU300" i="5" a="1"/>
  <c r="CU300" i="5" s="1"/>
  <c r="BP300" i="5"/>
  <c r="BX301" i="5"/>
  <c r="CU324" i="5" a="1"/>
  <c r="CU324" i="5" s="1"/>
  <c r="BI324" i="5"/>
  <c r="BH324" i="5"/>
  <c r="BP324" i="5"/>
  <c r="BR273" i="5"/>
  <c r="BY273" i="5" s="1"/>
  <c r="CH273" i="5"/>
  <c r="Y277" i="5"/>
  <c r="Y278" i="5" s="1"/>
  <c r="BG279" i="5"/>
  <c r="CT279" i="5" s="1"/>
  <c r="BG280" i="5"/>
  <c r="CT280" i="5" s="1"/>
  <c r="CU280" i="5" a="1"/>
  <c r="CU280" i="5" s="1"/>
  <c r="CU281" i="5" a="1"/>
  <c r="CU281" i="5" s="1"/>
  <c r="CU282" i="5" a="1"/>
  <c r="CU282" i="5" s="1"/>
  <c r="AR283" i="5"/>
  <c r="BG283" i="5" s="1"/>
  <c r="BQ287" i="5"/>
  <c r="Y288" i="5"/>
  <c r="Y289" i="5" s="1"/>
  <c r="CT292" i="5"/>
  <c r="CG294" i="5"/>
  <c r="CT295" i="5"/>
  <c r="BQ298" i="5"/>
  <c r="BX298" i="5"/>
  <c r="BH300" i="5"/>
  <c r="CT300" i="5" s="1"/>
  <c r="CG300" i="5"/>
  <c r="CN300" i="5"/>
  <c r="CU301" i="5" a="1"/>
  <c r="CU301" i="5" s="1"/>
  <c r="BI301" i="5"/>
  <c r="BP301" i="5"/>
  <c r="CT301" i="5" s="1"/>
  <c r="CO301" i="5"/>
  <c r="BY303" i="5"/>
  <c r="BG305" i="5"/>
  <c r="AR303" i="5"/>
  <c r="BG303" i="5" s="1"/>
  <c r="CU298" i="5" a="1"/>
  <c r="CU298" i="5" s="1"/>
  <c r="BI298" i="5"/>
  <c r="CT298" i="5" s="1"/>
  <c r="BP298" i="5"/>
  <c r="CF300" i="5"/>
  <c r="CN301" i="5"/>
  <c r="Y306" i="5"/>
  <c r="Y307" i="5" s="1"/>
  <c r="Y308" i="5" s="1"/>
  <c r="BH289" i="5"/>
  <c r="CT289" i="5" s="1"/>
  <c r="BH294" i="5"/>
  <c r="BH303" i="5"/>
  <c r="AN309" i="5"/>
  <c r="CT309" i="5" s="1"/>
  <c r="BI309" i="5"/>
  <c r="BP309" i="5"/>
  <c r="CO309" i="5"/>
  <c r="BY310" i="5"/>
  <c r="CU310" i="5"/>
  <c r="CU309" i="5" s="1"/>
  <c r="BH314" i="5"/>
  <c r="CT320" i="5"/>
  <c r="BQ320" i="5"/>
  <c r="CT322" i="5"/>
  <c r="BG324" i="5"/>
  <c r="AR320" i="5"/>
  <c r="CT324" i="5"/>
  <c r="CG328" i="5"/>
  <c r="B320" i="5" a="1"/>
  <c r="B320" i="5" s="1"/>
  <c r="A321" i="5" a="1"/>
  <c r="A321" i="5" s="1"/>
  <c r="CT326" i="5"/>
  <c r="CU328" i="5" a="1"/>
  <c r="CU328" i="5" s="1"/>
  <c r="BP328" i="5"/>
  <c r="BH328" i="5"/>
  <c r="A332" i="5" a="1"/>
  <c r="A332" i="5" s="1"/>
  <c r="B331" i="5" a="1"/>
  <c r="B331" i="5" s="1"/>
  <c r="BH287" i="5"/>
  <c r="CT287" i="5" s="1"/>
  <c r="BD322" i="5"/>
  <c r="AR309" i="5"/>
  <c r="BG309" i="5" s="1"/>
  <c r="BY309" i="5"/>
  <c r="BP310" i="5"/>
  <c r="CO310" i="5"/>
  <c r="AU310" i="5"/>
  <c r="AU309" i="5" s="1"/>
  <c r="CT311" i="5"/>
  <c r="CT312" i="5"/>
  <c r="CG320" i="5"/>
  <c r="CT321" i="5"/>
  <c r="AY320" i="5"/>
  <c r="BG328" i="5"/>
  <c r="BQ328" i="5"/>
  <c r="AN352" i="5"/>
  <c r="BI328" i="5"/>
  <c r="CU329" i="5" a="1"/>
  <c r="CU329" i="5" s="1"/>
  <c r="BG329" i="5"/>
  <c r="BI329" i="5"/>
  <c r="CT335" i="5"/>
  <c r="AN351" i="5"/>
  <c r="AN349" i="5"/>
  <c r="AU352" i="5"/>
  <c r="AU349" i="5"/>
  <c r="AU351" i="5"/>
  <c r="AU302" i="5" l="1"/>
  <c r="AN353" i="5"/>
  <c r="AY353" i="5"/>
  <c r="CT245" i="5"/>
  <c r="CT274" i="5"/>
  <c r="AY340" i="5"/>
  <c r="CT251" i="5"/>
  <c r="BT2" i="5"/>
  <c r="BR302" i="5"/>
  <c r="AO109" i="5"/>
  <c r="BD177" i="5" a="1"/>
  <c r="BD177" i="5" s="1"/>
  <c r="CM1" i="5"/>
  <c r="CM2" i="5" s="1"/>
  <c r="AN219" i="5"/>
  <c r="CT249" i="5"/>
  <c r="AF385" i="5"/>
  <c r="BO2" i="5"/>
  <c r="CF320" i="5"/>
  <c r="BY320" i="5"/>
  <c r="AY243" i="5"/>
  <c r="BI243" i="5" s="1"/>
  <c r="BI242" i="5"/>
  <c r="CT275" i="5"/>
  <c r="CT247" i="5"/>
  <c r="CT254" i="5"/>
  <c r="AN302" i="5"/>
  <c r="CH302" i="5"/>
  <c r="CG309" i="5"/>
  <c r="CN309" i="5"/>
  <c r="AN161" i="5"/>
  <c r="AU353" i="5"/>
  <c r="CO273" i="5"/>
  <c r="CU273" i="5"/>
  <c r="CU241" i="5"/>
  <c r="AI158" i="5"/>
  <c r="AI109" i="5" s="1"/>
  <c r="AI180" i="5"/>
  <c r="AY211" i="5"/>
  <c r="AY196" i="5"/>
  <c r="AY168" i="5"/>
  <c r="BH169" i="5"/>
  <c r="BG169" i="5"/>
  <c r="CU169" i="5" a="1"/>
  <c r="CU169" i="5" s="1"/>
  <c r="BM169" i="5"/>
  <c r="BP169" i="5" s="1"/>
  <c r="BI169" i="5"/>
  <c r="BI212" i="5"/>
  <c r="CU212" i="5" a="1"/>
  <c r="CU212" i="5" s="1"/>
  <c r="BM212" i="5"/>
  <c r="BP212" i="5" s="1"/>
  <c r="BG212" i="5"/>
  <c r="BH212" i="5"/>
  <c r="AN179" i="5"/>
  <c r="AN174" i="5"/>
  <c r="AN180" i="5" s="1"/>
  <c r="AN211" i="5"/>
  <c r="B265" i="5" a="1"/>
  <c r="B265" i="5" s="1"/>
  <c r="A266" i="5" a="1"/>
  <c r="A266" i="5" s="1"/>
  <c r="CN305" i="5"/>
  <c r="CG305" i="5"/>
  <c r="CC302" i="5"/>
  <c r="BZ302" i="5"/>
  <c r="BR283" i="5"/>
  <c r="BR286" i="5"/>
  <c r="BM286" i="5"/>
  <c r="BQ284" i="5"/>
  <c r="BX284" i="5"/>
  <c r="BG177" i="5"/>
  <c r="AR176" i="5"/>
  <c r="BG176" i="5" s="1"/>
  <c r="BR233" i="5"/>
  <c r="CT138" i="5"/>
  <c r="AA145" i="5"/>
  <c r="AA144" i="5"/>
  <c r="CG306" i="5"/>
  <c r="CN306" i="5"/>
  <c r="CG119" i="5"/>
  <c r="CN119" i="5"/>
  <c r="CN9" i="5" a="1"/>
  <c r="CN9" i="5" s="1"/>
  <c r="CN2" i="5" a="1"/>
  <c r="CN2" i="5" s="1"/>
  <c r="CO21" i="5" a="1"/>
  <c r="CO21" i="5" s="1"/>
  <c r="CN1" i="5" a="1"/>
  <c r="CN1" i="5" s="1"/>
  <c r="B332" i="5" a="1"/>
  <c r="B332" i="5" s="1"/>
  <c r="A333" i="5" a="1"/>
  <c r="A333" i="5" s="1"/>
  <c r="B333" i="5" s="1" a="1"/>
  <c r="B333" i="5" s="1"/>
  <c r="Y279" i="5"/>
  <c r="Y280" i="5" s="1"/>
  <c r="BI273" i="5"/>
  <c r="BP273" i="5"/>
  <c r="BH273" i="5"/>
  <c r="BG273" i="5"/>
  <c r="Y264" i="5"/>
  <c r="AR258" i="5"/>
  <c r="BG259" i="5"/>
  <c r="BQ119" i="5"/>
  <c r="BX119" i="5"/>
  <c r="CO146" i="5"/>
  <c r="CK145" i="5"/>
  <c r="CO145" i="5" s="1"/>
  <c r="AI145" i="5"/>
  <c r="BH197" i="5"/>
  <c r="CU197" i="5" a="1"/>
  <c r="CU197" i="5" s="1"/>
  <c r="BM197" i="5"/>
  <c r="BP197" i="5" s="1"/>
  <c r="BI197" i="5"/>
  <c r="BG197" i="5"/>
  <c r="CT169" i="5"/>
  <c r="AN168" i="5"/>
  <c r="CT168" i="5" s="1"/>
  <c r="AN166" i="5"/>
  <c r="CT166" i="5" s="1"/>
  <c r="AN171" i="5"/>
  <c r="CT171" i="5" s="1"/>
  <c r="CT167" i="5"/>
  <c r="AN214" i="5"/>
  <c r="AN209" i="5"/>
  <c r="AN235" i="5"/>
  <c r="CT235" i="5" s="1"/>
  <c r="AN230" i="5"/>
  <c r="CT230" i="5" s="1"/>
  <c r="CO305" i="5"/>
  <c r="CK302" i="5"/>
  <c r="CO302" i="5" s="1"/>
  <c r="BX307" i="5"/>
  <c r="BQ307" i="5"/>
  <c r="AU286" i="5"/>
  <c r="BZ286" i="5"/>
  <c r="BZ283" i="5"/>
  <c r="BU286" i="5"/>
  <c r="BY284" i="5"/>
  <c r="CF284" i="5"/>
  <c r="BH119" i="5"/>
  <c r="CU119" i="5" a="1"/>
  <c r="CU119" i="5" s="1"/>
  <c r="BP119" i="5"/>
  <c r="AI177" i="5"/>
  <c r="AI159" i="5" a="1"/>
  <c r="AI159" i="5" s="1"/>
  <c r="AN88" i="5" a="1"/>
  <c r="AN88" i="5" s="1"/>
  <c r="BR169" i="5"/>
  <c r="BR197" i="5"/>
  <c r="BY146" i="5"/>
  <c r="CF146" i="5"/>
  <c r="BU145" i="5"/>
  <c r="BY306" i="5"/>
  <c r="CF306" i="5"/>
  <c r="CU306" i="5" a="1"/>
  <c r="CU306" i="5" s="1"/>
  <c r="BI306" i="5"/>
  <c r="BH306" i="5"/>
  <c r="BP306" i="5"/>
  <c r="BG119" i="5"/>
  <c r="BI2" i="5" a="1"/>
  <c r="BI2" i="5" s="1"/>
  <c r="BI9" i="5" a="1"/>
  <c r="BI9" i="5" s="1"/>
  <c r="BI1" i="5" a="1"/>
  <c r="BI1" i="5" s="1"/>
  <c r="CC113" i="5" a="1"/>
  <c r="CC113" i="5" s="1"/>
  <c r="CF113" i="5" s="1"/>
  <c r="AU158" i="5"/>
  <c r="AU109" i="5" s="1"/>
  <c r="AU385" i="5" s="1"/>
  <c r="BH21" i="5" a="1"/>
  <c r="BH21" i="5" s="1"/>
  <c r="BG9" i="5" a="1"/>
  <c r="BG9" i="5" s="1"/>
  <c r="BG2" i="5" a="1"/>
  <c r="BG2" i="5" s="1"/>
  <c r="BG1" i="5" a="1"/>
  <c r="BG1" i="5" s="1"/>
  <c r="BI89" i="5"/>
  <c r="BH322" i="5"/>
  <c r="BP322" i="5"/>
  <c r="BI322" i="5"/>
  <c r="B321" i="5" a="1"/>
  <c r="B321" i="5" s="1"/>
  <c r="A322" i="5" a="1"/>
  <c r="A322" i="5" s="1"/>
  <c r="CT303" i="5"/>
  <c r="Y290" i="5"/>
  <c r="BR258" i="5"/>
  <c r="BP259" i="5"/>
  <c r="BH259" i="5"/>
  <c r="BI259" i="5"/>
  <c r="AI243" i="5"/>
  <c r="CT242" i="5"/>
  <c r="BQ243" i="5"/>
  <c r="BX243" i="5"/>
  <c r="BG241" i="5"/>
  <c r="BI241" i="5"/>
  <c r="BP241" i="5"/>
  <c r="BH241" i="5"/>
  <c r="CT246" i="5"/>
  <c r="CG243" i="5"/>
  <c r="CN243" i="5"/>
  <c r="CG241" i="5"/>
  <c r="CN241" i="5"/>
  <c r="AR200" i="5"/>
  <c r="AR160" i="5"/>
  <c r="CG146" i="5"/>
  <c r="CN146" i="5"/>
  <c r="CC145" i="5"/>
  <c r="BG146" i="5"/>
  <c r="AR145" i="5"/>
  <c r="AR353" i="5"/>
  <c r="BI233" i="5"/>
  <c r="CU233" i="5" a="1"/>
  <c r="CU233" i="5" s="1"/>
  <c r="CU232" i="5" s="1"/>
  <c r="BM233" i="5"/>
  <c r="BP233" i="5"/>
  <c r="BD232" i="5"/>
  <c r="BH233" i="5"/>
  <c r="AN199" i="5"/>
  <c r="CT199" i="5" s="1"/>
  <c r="AN194" i="5"/>
  <c r="CT194" i="5" s="1"/>
  <c r="CT195" i="5"/>
  <c r="CT197" i="5"/>
  <c r="AN196" i="5"/>
  <c r="CT196" i="5" s="1"/>
  <c r="AN201" i="5"/>
  <c r="AN227" i="5"/>
  <c r="CT227" i="5" s="1"/>
  <c r="AN232" i="5"/>
  <c r="CT232" i="5" s="1"/>
  <c r="CT233" i="5"/>
  <c r="BX305" i="5"/>
  <c r="BQ305" i="5"/>
  <c r="BM302" i="5"/>
  <c r="BJ302" i="5"/>
  <c r="CF307" i="5"/>
  <c r="BY307" i="5"/>
  <c r="BI284" i="5"/>
  <c r="BP284" i="5"/>
  <c r="BH284" i="5"/>
  <c r="CT284" i="5" s="1"/>
  <c r="BD286" i="5"/>
  <c r="CU284" i="5" a="1"/>
  <c r="CU284" i="5" s="1"/>
  <c r="CH283" i="5"/>
  <c r="CH258" i="5" s="1"/>
  <c r="CH286" i="5"/>
  <c r="CG284" i="5"/>
  <c r="CN284" i="5"/>
  <c r="BQ146" i="5"/>
  <c r="BX146" i="5"/>
  <c r="BM145" i="5"/>
  <c r="BR113" i="5" a="1"/>
  <c r="BR113" i="5" s="1"/>
  <c r="AY119" i="5"/>
  <c r="AY111" i="5" s="1"/>
  <c r="BJ177" i="5"/>
  <c r="AA153" i="5"/>
  <c r="AA154" i="5"/>
  <c r="CO306" i="5"/>
  <c r="CG21" i="5" a="1"/>
  <c r="CG21" i="5" s="1"/>
  <c r="CF9" i="5" a="1"/>
  <c r="CF9" i="5" s="1"/>
  <c r="CF2" i="5" a="1"/>
  <c r="CF2" i="5" s="1"/>
  <c r="CF1" i="5" a="1"/>
  <c r="CF1" i="5" s="1"/>
  <c r="BY119" i="5"/>
  <c r="CF119" i="5"/>
  <c r="BX9" i="5" a="1"/>
  <c r="BX9" i="5" s="1"/>
  <c r="BX2" i="5" a="1"/>
  <c r="BX2" i="5" s="1"/>
  <c r="BY21" i="5" a="1"/>
  <c r="BY21" i="5" s="1"/>
  <c r="BX1" i="5" a="1"/>
  <c r="BX1" i="5" s="1"/>
  <c r="CF285" i="5"/>
  <c r="CC285" i="5" a="1"/>
  <c r="CC285" i="5" s="1"/>
  <c r="BY285" i="5"/>
  <c r="BX259" i="5"/>
  <c r="BQ259" i="5"/>
  <c r="BZ258" i="5"/>
  <c r="BQ241" i="5"/>
  <c r="BX241" i="5"/>
  <c r="BY243" i="5"/>
  <c r="CF243" i="5"/>
  <c r="BJ112" i="5"/>
  <c r="BJ115" i="5"/>
  <c r="BJ111" i="5" s="1"/>
  <c r="BI177" i="5"/>
  <c r="CU177" i="5" a="1"/>
  <c r="CU177" i="5" s="1"/>
  <c r="CU176" i="5" s="1"/>
  <c r="BM177" i="5"/>
  <c r="BH177" i="5"/>
  <c r="BD176" i="5"/>
  <c r="BP177" i="5"/>
  <c r="BP305" i="5"/>
  <c r="BH305" i="5"/>
  <c r="BI305" i="5"/>
  <c r="BD302" i="5"/>
  <c r="CU305" i="5" a="1"/>
  <c r="CU305" i="5" s="1"/>
  <c r="CF305" i="5"/>
  <c r="BY305" i="5"/>
  <c r="BU302" i="5"/>
  <c r="BH307" i="5"/>
  <c r="BP307" i="5"/>
  <c r="CU307" i="5" a="1"/>
  <c r="CU307" i="5" s="1"/>
  <c r="BI307" i="5"/>
  <c r="CN307" i="5"/>
  <c r="CG307" i="5"/>
  <c r="BJ286" i="5"/>
  <c r="BJ283" i="5"/>
  <c r="BJ258" i="5" s="1"/>
  <c r="AN286" i="5"/>
  <c r="CT286" i="5" s="1"/>
  <c r="AN283" i="5"/>
  <c r="AN258" i="5" s="1"/>
  <c r="CT258" i="5" s="1"/>
  <c r="CO284" i="5"/>
  <c r="CT272" i="5"/>
  <c r="BR212" i="5"/>
  <c r="CU146" i="5" a="1"/>
  <c r="CU146" i="5" s="1"/>
  <c r="BD145" i="5"/>
  <c r="BI146" i="5"/>
  <c r="BP146" i="5"/>
  <c r="BH146" i="5"/>
  <c r="W107" i="5" a="1"/>
  <c r="W107" i="5" s="1"/>
  <c r="U107" i="5" a="1"/>
  <c r="U107" i="5" s="1"/>
  <c r="S107" i="5" a="1"/>
  <c r="S107" i="5" s="1"/>
  <c r="V107" i="5" a="1"/>
  <c r="V107" i="5" s="1"/>
  <c r="T107" i="5" a="1"/>
  <c r="T107" i="5" s="1"/>
  <c r="AI353" i="5"/>
  <c r="BQ306" i="5"/>
  <c r="BX306" i="5"/>
  <c r="BQ21" i="5" a="1"/>
  <c r="BQ21" i="5" s="1"/>
  <c r="BP9" i="5" a="1"/>
  <c r="BP9" i="5" s="1"/>
  <c r="BP2" i="5" a="1"/>
  <c r="BP2" i="5" s="1"/>
  <c r="BP1" i="5" a="1"/>
  <c r="BP1" i="5" s="1"/>
  <c r="CT259" i="5" l="1"/>
  <c r="CT273" i="5"/>
  <c r="CT241" i="5"/>
  <c r="CT146" i="5"/>
  <c r="AI385" i="5"/>
  <c r="CP385" i="5" s="1"/>
  <c r="BJ231" i="5"/>
  <c r="BJ221" i="5"/>
  <c r="BJ226" i="5"/>
  <c r="BJ229" i="5"/>
  <c r="BJ217" i="5"/>
  <c r="BJ210" i="5"/>
  <c r="BJ198" i="5"/>
  <c r="BJ206" i="5"/>
  <c r="BJ186" i="5"/>
  <c r="BJ170" i="5"/>
  <c r="BJ213" i="5"/>
  <c r="BJ204" i="5"/>
  <c r="BJ195" i="5"/>
  <c r="BJ164" i="5"/>
  <c r="BJ167" i="5"/>
  <c r="BJ163" i="5"/>
  <c r="BJ188" i="5"/>
  <c r="BJ172" i="5"/>
  <c r="BJ190" i="5"/>
  <c r="BJ192" i="5"/>
  <c r="BJ193" i="5"/>
  <c r="BJ185" i="5"/>
  <c r="BJ234" i="5"/>
  <c r="BJ158" i="5"/>
  <c r="BH319" i="5"/>
  <c r="B318" i="5"/>
  <c r="B319" i="5" s="1" a="1"/>
  <c r="B319" i="5" s="1"/>
  <c r="AY319" i="5"/>
  <c r="BI319" i="5" s="1"/>
  <c r="BZ212" i="5"/>
  <c r="CT307" i="5"/>
  <c r="CU302" i="5"/>
  <c r="CN285" i="5"/>
  <c r="CK285" i="5" a="1"/>
  <c r="CK285" i="5" s="1"/>
  <c r="CG285" i="5"/>
  <c r="BZ113" i="5" a="1"/>
  <c r="BZ113" i="5" s="1"/>
  <c r="CC286" i="5"/>
  <c r="BI286" i="5"/>
  <c r="BH286" i="5"/>
  <c r="BP286" i="5"/>
  <c r="BX302" i="5"/>
  <c r="BQ302" i="5"/>
  <c r="BI232" i="5"/>
  <c r="BH232" i="5"/>
  <c r="BP232" i="5"/>
  <c r="BY113" i="5"/>
  <c r="CF145" i="5"/>
  <c r="BY145" i="5"/>
  <c r="BZ197" i="5"/>
  <c r="AN159" i="5" a="1"/>
  <c r="AN159" i="5" s="1"/>
  <c r="AU115" i="5"/>
  <c r="AU111" i="5" s="1"/>
  <c r="AN191" i="5"/>
  <c r="CT191" i="5" s="1"/>
  <c r="CO9" i="5" a="1"/>
  <c r="CO9" i="5" s="1"/>
  <c r="CO2" i="5" a="1"/>
  <c r="CO2" i="5" s="1"/>
  <c r="CO1" i="5" a="1"/>
  <c r="CO1" i="5" s="1"/>
  <c r="BZ233" i="5"/>
  <c r="BQ9" i="5" a="1"/>
  <c r="BQ9" i="5" s="1"/>
  <c r="BQ2" i="5" a="1"/>
  <c r="BQ2" i="5" s="1"/>
  <c r="BQ1" i="5" a="1"/>
  <c r="BQ1" i="5" s="1"/>
  <c r="CH346" i="5"/>
  <c r="CH350" i="5" s="1"/>
  <c r="BZ346" i="5"/>
  <c r="BZ350" i="5" s="1"/>
  <c r="BR346" i="5"/>
  <c r="BR350" i="5" s="1"/>
  <c r="BJ346" i="5"/>
  <c r="BJ350" i="5" s="1"/>
  <c r="AY346" i="5"/>
  <c r="AY350" i="5" s="1"/>
  <c r="A337" i="5"/>
  <c r="CH348" i="5"/>
  <c r="CH352" i="5" s="1"/>
  <c r="BR348" i="5"/>
  <c r="BZ348" i="5"/>
  <c r="BJ348" i="5"/>
  <c r="A277" i="5"/>
  <c r="A138" i="5"/>
  <c r="A129" i="5"/>
  <c r="A130" i="5" s="1" a="1"/>
  <c r="A130" i="5" s="1"/>
  <c r="A131" i="5" s="1" a="1"/>
  <c r="A131" i="5" s="1"/>
  <c r="A132" i="5" s="1" a="1"/>
  <c r="A132" i="5" s="1"/>
  <c r="A133" i="5" s="1" a="1"/>
  <c r="A133" i="5" s="1"/>
  <c r="A134" i="5" s="1" a="1"/>
  <c r="A134" i="5" s="1"/>
  <c r="A135" i="5" s="1" a="1"/>
  <c r="A135" i="5" s="1"/>
  <c r="A136" i="5" s="1" a="1"/>
  <c r="A136" i="5" s="1"/>
  <c r="A137" i="5" s="1" a="1"/>
  <c r="A137" i="5" s="1"/>
  <c r="A126" i="5"/>
  <c r="A127" i="5" s="1" a="1"/>
  <c r="A127" i="5" s="1"/>
  <c r="A125" i="5"/>
  <c r="AA156" i="5" a="1"/>
  <c r="AA156" i="5" s="1"/>
  <c r="A121" i="5"/>
  <c r="A128" i="5"/>
  <c r="A124" i="5"/>
  <c r="A271" i="5"/>
  <c r="B271" i="5" s="1" a="1"/>
  <c r="B271" i="5" s="1"/>
  <c r="A263" i="5"/>
  <c r="B263" i="5" s="1" a="1"/>
  <c r="B263" i="5" s="1"/>
  <c r="CF302" i="5"/>
  <c r="BY302" i="5"/>
  <c r="BP302" i="5"/>
  <c r="BH302" i="5"/>
  <c r="BI302" i="5"/>
  <c r="BG302" i="5"/>
  <c r="BI176" i="5"/>
  <c r="BH176" i="5"/>
  <c r="BP176" i="5"/>
  <c r="BY2" i="5" a="1"/>
  <c r="BY2" i="5" s="1"/>
  <c r="BY9" i="5" a="1"/>
  <c r="BY9" i="5" s="1"/>
  <c r="BY1" i="5" a="1"/>
  <c r="BY1" i="5" s="1"/>
  <c r="CG9" i="5" a="1"/>
  <c r="CG9" i="5" s="1"/>
  <c r="CG2" i="5" a="1"/>
  <c r="CG2" i="5" s="1"/>
  <c r="CG1" i="5" a="1"/>
  <c r="CG1" i="5" s="1"/>
  <c r="BJ176" i="5"/>
  <c r="BR177" i="5"/>
  <c r="AR158" i="5"/>
  <c r="AR109" i="5" s="1"/>
  <c r="BZ169" i="5"/>
  <c r="AI176" i="5"/>
  <c r="BY286" i="5"/>
  <c r="CF286" i="5"/>
  <c r="AA151" i="5"/>
  <c r="AA150" i="5"/>
  <c r="AA146" i="5"/>
  <c r="BQ286" i="5"/>
  <c r="BX286" i="5"/>
  <c r="CN302" i="5"/>
  <c r="CG302" i="5"/>
  <c r="A267" i="5" a="1"/>
  <c r="A267" i="5" s="1"/>
  <c r="B266" i="5" a="1"/>
  <c r="B266" i="5" s="1"/>
  <c r="Y265" i="5"/>
  <c r="Y266" i="5" s="1"/>
  <c r="Y267" i="5" s="1"/>
  <c r="Y281" i="5"/>
  <c r="Y282" i="5" s="1"/>
  <c r="A369" i="5"/>
  <c r="B369" i="5" s="1"/>
  <c r="A366" i="5"/>
  <c r="B366" i="5" s="1"/>
  <c r="A362" i="5"/>
  <c r="B362" i="5" s="1" a="1"/>
  <c r="B362" i="5" s="1"/>
  <c r="A361" i="5"/>
  <c r="B361" i="5" s="1"/>
  <c r="A358" i="5"/>
  <c r="B358" i="5" s="1"/>
  <c r="A365" i="5"/>
  <c r="B365" i="5" s="1" a="1"/>
  <c r="B365" i="5" s="1"/>
  <c r="A357" i="5"/>
  <c r="B357" i="5" s="1" a="1"/>
  <c r="B357" i="5" s="1"/>
  <c r="A341" i="5"/>
  <c r="B341" i="5" s="1" a="1"/>
  <c r="B341" i="5" s="1"/>
  <c r="A354" i="5"/>
  <c r="B354" i="5" s="1" a="1"/>
  <c r="B354" i="5" s="1"/>
  <c r="A343" i="5"/>
  <c r="B343" i="5" s="1" a="1"/>
  <c r="B343" i="5" s="1"/>
  <c r="A342" i="5"/>
  <c r="B342" i="5" s="1" a="1"/>
  <c r="B342" i="5" s="1"/>
  <c r="A353" i="5"/>
  <c r="B353" i="5" s="1"/>
  <c r="A350" i="5"/>
  <c r="B350" i="5" s="1"/>
  <c r="A349" i="5"/>
  <c r="B349" i="5" s="1" a="1"/>
  <c r="B349" i="5" s="1"/>
  <c r="A346" i="5"/>
  <c r="B346" i="5" s="1" a="1"/>
  <c r="B346" i="5" s="1"/>
  <c r="A360" i="5"/>
  <c r="B360" i="5" s="1"/>
  <c r="A363" i="5"/>
  <c r="B363" i="5" s="1" a="1"/>
  <c r="B363" i="5" s="1"/>
  <c r="A359" i="5"/>
  <c r="B359" i="5" s="1"/>
  <c r="A355" i="5"/>
  <c r="B355" i="5" s="1" a="1"/>
  <c r="B355" i="5" s="1"/>
  <c r="A368" i="5"/>
  <c r="B368" i="5" s="1"/>
  <c r="A364" i="5"/>
  <c r="B364" i="5" s="1" a="1"/>
  <c r="B364" i="5" s="1"/>
  <c r="B348" i="5"/>
  <c r="B352" i="5" s="1"/>
  <c r="A367" i="5"/>
  <c r="B367" i="5" s="1"/>
  <c r="A356" i="5"/>
  <c r="B356" i="5" s="1" a="1"/>
  <c r="B356" i="5" s="1"/>
  <c r="B347" i="5"/>
  <c r="B351" i="5" s="1"/>
  <c r="BP145" i="5"/>
  <c r="BH145" i="5"/>
  <c r="CU145" i="5" a="1"/>
  <c r="CU145" i="5" s="1"/>
  <c r="BI145" i="5"/>
  <c r="BJ239" i="5"/>
  <c r="BJ238" i="5"/>
  <c r="BJ237" i="5"/>
  <c r="BJ236" i="5"/>
  <c r="BJ225" i="5"/>
  <c r="BJ224" i="5"/>
  <c r="BJ222" i="5"/>
  <c r="BJ203" i="5"/>
  <c r="BJ228" i="5"/>
  <c r="BJ223" i="5"/>
  <c r="BJ215" i="5"/>
  <c r="BJ218" i="5"/>
  <c r="BJ184" i="5"/>
  <c r="BJ183" i="5"/>
  <c r="BJ208" i="5"/>
  <c r="BJ178" i="5"/>
  <c r="BJ187" i="5"/>
  <c r="BX145" i="5"/>
  <c r="BQ145" i="5"/>
  <c r="BQ233" i="5"/>
  <c r="BU233" i="5"/>
  <c r="BM232" i="5"/>
  <c r="BX233" i="5"/>
  <c r="CN145" i="5"/>
  <c r="CG145" i="5"/>
  <c r="CT243" i="5"/>
  <c r="A323" i="5" a="1"/>
  <c r="A323" i="5" s="1"/>
  <c r="B322" i="5" a="1"/>
  <c r="B322" i="5" s="1"/>
  <c r="CG113" i="5"/>
  <c r="CK113" i="5" a="1"/>
  <c r="CK113" i="5" s="1"/>
  <c r="CN113" i="5" s="1"/>
  <c r="BQ212" i="5"/>
  <c r="BU212" i="5"/>
  <c r="BX212" i="5" s="1"/>
  <c r="BU169" i="5"/>
  <c r="BX169" i="5" s="1"/>
  <c r="BQ169" i="5"/>
  <c r="A370" i="5"/>
  <c r="B370" i="5" s="1"/>
  <c r="CT305" i="5"/>
  <c r="BQ177" i="5"/>
  <c r="BM176" i="5"/>
  <c r="BU177" i="5"/>
  <c r="BX177" i="5"/>
  <c r="CU286" i="5"/>
  <c r="AN200" i="5"/>
  <c r="BG145" i="5"/>
  <c r="BH9" i="5" a="1"/>
  <c r="BH9" i="5" s="1"/>
  <c r="BH2" i="5" a="1"/>
  <c r="BH2" i="5" s="1"/>
  <c r="BH1" i="5" a="1"/>
  <c r="BH1" i="5" s="1"/>
  <c r="CT306" i="5"/>
  <c r="BU197" i="5"/>
  <c r="BX197" i="5" s="1"/>
  <c r="BQ197" i="5"/>
  <c r="AI317" i="5"/>
  <c r="AI157" i="5"/>
  <c r="AR112" i="5"/>
  <c r="Y291" i="5"/>
  <c r="Y292" i="5" s="1"/>
  <c r="AN160" i="5"/>
  <c r="CT161" i="5"/>
  <c r="CT145" i="5" l="1"/>
  <c r="CT302" i="5"/>
  <c r="CC197" i="5"/>
  <c r="BY197" i="5"/>
  <c r="BQ176" i="5"/>
  <c r="BX176" i="5"/>
  <c r="BX232" i="5"/>
  <c r="BJ173" i="5"/>
  <c r="A278" i="5" a="1"/>
  <c r="A278" i="5" s="1"/>
  <c r="B278" i="5" s="1" a="1"/>
  <c r="B278" i="5" s="1"/>
  <c r="B277" i="5" a="1"/>
  <c r="B277" i="5" s="1"/>
  <c r="Y293" i="5"/>
  <c r="CH197" i="5"/>
  <c r="AO385" i="5"/>
  <c r="BJ166" i="5"/>
  <c r="BJ171" i="5"/>
  <c r="BJ168" i="5"/>
  <c r="AN158" i="5"/>
  <c r="AN109" i="5" s="1"/>
  <c r="CT160" i="5"/>
  <c r="AI156" i="5"/>
  <c r="BY233" i="5"/>
  <c r="CC233" i="5"/>
  <c r="BU232" i="5"/>
  <c r="CF233" i="5"/>
  <c r="BJ216" i="5"/>
  <c r="Y268" i="5"/>
  <c r="Y269" i="5" s="1"/>
  <c r="CH169" i="5"/>
  <c r="BZ177" i="5"/>
  <c r="BR176" i="5"/>
  <c r="BR352" i="5"/>
  <c r="BZ347" i="5"/>
  <c r="CG286" i="5"/>
  <c r="CN286" i="5"/>
  <c r="CO285" i="5"/>
  <c r="CK286" i="5"/>
  <c r="CO286" i="5" s="1"/>
  <c r="BJ214" i="5"/>
  <c r="BJ209" i="5"/>
  <c r="BJ211" i="5"/>
  <c r="BY212" i="5"/>
  <c r="CC212" i="5"/>
  <c r="A324" i="5" a="1"/>
  <c r="A324" i="5" s="1"/>
  <c r="B323" i="5" a="1"/>
  <c r="B323" i="5" s="1"/>
  <c r="BJ175" i="5"/>
  <c r="BJ207" i="5"/>
  <c r="BJ202" i="5"/>
  <c r="B267" i="5" a="1"/>
  <c r="B267" i="5" s="1"/>
  <c r="A268" i="5" a="1"/>
  <c r="A268" i="5" s="1"/>
  <c r="A122" i="5"/>
  <c r="A123" i="5"/>
  <c r="B123" i="5"/>
  <c r="B122" i="5"/>
  <c r="BJ352" i="5"/>
  <c r="BR347" i="5"/>
  <c r="CH233" i="5"/>
  <c r="CH212" i="5"/>
  <c r="BJ199" i="5"/>
  <c r="BJ194" i="5"/>
  <c r="BJ191" i="5" s="1"/>
  <c r="BJ196" i="5"/>
  <c r="BJ235" i="5"/>
  <c r="BJ230" i="5"/>
  <c r="BJ232" i="5"/>
  <c r="BQ232" i="5" s="1"/>
  <c r="Y294" i="5"/>
  <c r="BY177" i="5"/>
  <c r="BU176" i="5"/>
  <c r="CC177" i="5"/>
  <c r="CF177" i="5"/>
  <c r="B383" i="5" a="1"/>
  <c r="B383" i="5" s="1"/>
  <c r="B382" i="5" a="1"/>
  <c r="B382" i="5" s="1"/>
  <c r="A381" i="5" a="1"/>
  <c r="A381" i="5" s="1"/>
  <c r="B380" i="5" a="1"/>
  <c r="B380" i="5" s="1"/>
  <c r="A379" i="5" a="1"/>
  <c r="A379" i="5" s="1"/>
  <c r="B378" i="5" a="1"/>
  <c r="B378" i="5" s="1"/>
  <c r="A377" i="5" a="1"/>
  <c r="A377" i="5" s="1"/>
  <c r="B376" i="5" a="1"/>
  <c r="B376" i="5" s="1"/>
  <c r="A375" i="5" a="1"/>
  <c r="A375" i="5" s="1"/>
  <c r="B374" i="5" a="1"/>
  <c r="B374" i="5" s="1"/>
  <c r="A373" i="5" a="1"/>
  <c r="A373" i="5" s="1"/>
  <c r="B372" i="5" a="1"/>
  <c r="B372" i="5" s="1"/>
  <c r="A383" i="5" a="1"/>
  <c r="A383" i="5" s="1"/>
  <c r="A382" i="5" a="1"/>
  <c r="A382" i="5" s="1"/>
  <c r="B381" i="5" a="1"/>
  <c r="B381" i="5" s="1"/>
  <c r="A380" i="5" a="1"/>
  <c r="A380" i="5" s="1"/>
  <c r="B379" i="5" a="1"/>
  <c r="B379" i="5" s="1"/>
  <c r="A378" i="5" a="1"/>
  <c r="A378" i="5" s="1"/>
  <c r="B377" i="5" a="1"/>
  <c r="B377" i="5" s="1"/>
  <c r="A376" i="5" a="1"/>
  <c r="A376" i="5" s="1"/>
  <c r="B375" i="5" a="1"/>
  <c r="B375" i="5" s="1"/>
  <c r="A374" i="5" a="1"/>
  <c r="A374" i="5" s="1"/>
  <c r="B373" i="5" a="1"/>
  <c r="B373" i="5" s="1"/>
  <c r="A372" i="5" a="1"/>
  <c r="A372" i="5" s="1"/>
  <c r="CC169" i="5"/>
  <c r="BY169" i="5"/>
  <c r="BJ182" i="5"/>
  <c r="BJ165" i="5"/>
  <c r="BJ205" i="5"/>
  <c r="BJ227" i="5"/>
  <c r="BJ220" i="5"/>
  <c r="AA149" i="5"/>
  <c r="AA147" i="5"/>
  <c r="AA148" i="5"/>
  <c r="AR317" i="5"/>
  <c r="AR157" i="5"/>
  <c r="AY112" i="5"/>
  <c r="BD115" i="5"/>
  <c r="AR159" i="5" a="1"/>
  <c r="AR159" i="5" s="1"/>
  <c r="AA320" i="5"/>
  <c r="AA318" i="5"/>
  <c r="AA319" i="5" s="1"/>
  <c r="AA309" i="5"/>
  <c r="AA302" i="5"/>
  <c r="AA157" i="5"/>
  <c r="A141" i="5"/>
  <c r="A143" i="5" a="1"/>
  <c r="A143" i="5" s="1"/>
  <c r="A144" i="5" s="1" a="1"/>
  <c r="A144" i="5" s="1"/>
  <c r="A145" i="5" s="1" a="1"/>
  <c r="A145" i="5" s="1"/>
  <c r="A146" i="5" s="1" a="1"/>
  <c r="A146" i="5" s="1"/>
  <c r="A147" i="5" s="1" a="1"/>
  <c r="A147" i="5" s="1"/>
  <c r="A148" i="5" s="1" a="1"/>
  <c r="A148" i="5" s="1"/>
  <c r="A149" i="5" s="1" a="1"/>
  <c r="A149" i="5" s="1"/>
  <c r="A150" i="5" s="1" a="1"/>
  <c r="A150" i="5" s="1"/>
  <c r="A151" i="5" s="1" a="1"/>
  <c r="A151" i="5" s="1"/>
  <c r="A152" i="5" s="1" a="1"/>
  <c r="A152" i="5" s="1"/>
  <c r="A153" i="5" s="1" a="1"/>
  <c r="A153" i="5" s="1"/>
  <c r="A154" i="5" s="1" a="1"/>
  <c r="A154" i="5" s="1"/>
  <c r="A155" i="5" s="1" a="1"/>
  <c r="A155" i="5" s="1"/>
  <c r="A139" i="5"/>
  <c r="A140" i="5"/>
  <c r="A142" i="5"/>
  <c r="B140" i="5"/>
  <c r="B139" i="5"/>
  <c r="BZ352" i="5"/>
  <c r="CH347" i="5"/>
  <c r="CH113" i="5" a="1"/>
  <c r="CH113" i="5" s="1"/>
  <c r="CO113" i="5" s="1"/>
  <c r="CT113" i="5" s="1"/>
  <c r="AI319" i="5"/>
  <c r="BJ317" i="5"/>
  <c r="BJ157" i="5"/>
  <c r="BR112" i="5"/>
  <c r="BR115" i="5"/>
  <c r="BR111" i="5" s="1"/>
  <c r="BR178" i="5" s="1"/>
  <c r="BJ161" i="5"/>
  <c r="BR204" i="5" l="1"/>
  <c r="BR192" i="5"/>
  <c r="Y270" i="5"/>
  <c r="Y271" i="5" s="1"/>
  <c r="BR158" i="5"/>
  <c r="AA314" i="5"/>
  <c r="AA317" i="5"/>
  <c r="AA313" i="5"/>
  <c r="AA310" i="5"/>
  <c r="CU115" i="5" a="1"/>
  <c r="CU115" i="5" s="1"/>
  <c r="CU111" i="5" s="1"/>
  <c r="BI115" i="5"/>
  <c r="BH115" i="5"/>
  <c r="BD111" i="5"/>
  <c r="BP111" i="5" s="1"/>
  <c r="BP115" i="5"/>
  <c r="AR156" i="5"/>
  <c r="AR319" i="5"/>
  <c r="BR220" i="5"/>
  <c r="BJ219" i="5"/>
  <c r="BR186" i="5"/>
  <c r="BR225" i="5"/>
  <c r="BR215" i="5"/>
  <c r="A325" i="5" a="1"/>
  <c r="A325" i="5" s="1"/>
  <c r="B324" i="5" a="1"/>
  <c r="B324" i="5" s="1"/>
  <c r="CG212" i="5"/>
  <c r="CK212" i="5"/>
  <c r="CN212" i="5" s="1"/>
  <c r="BR221" i="5"/>
  <c r="BR185" i="5"/>
  <c r="BR187" i="5"/>
  <c r="BR198" i="5"/>
  <c r="BR167" i="5"/>
  <c r="BR218" i="5"/>
  <c r="CH351" i="5"/>
  <c r="CH353" i="5" s="1"/>
  <c r="CH349" i="5"/>
  <c r="AY237" i="5"/>
  <c r="AY220" i="5"/>
  <c r="AY204" i="5"/>
  <c r="AY178" i="5"/>
  <c r="AY162" i="5"/>
  <c r="AY184" i="5"/>
  <c r="AY172" i="5"/>
  <c r="AY215" i="5"/>
  <c r="AY231" i="5"/>
  <c r="AY225" i="5"/>
  <c r="AY229" i="5"/>
  <c r="AY187" i="5"/>
  <c r="AY206" i="5"/>
  <c r="AY203" i="5"/>
  <c r="AY218" i="5"/>
  <c r="AY221" i="5"/>
  <c r="AY223" i="5"/>
  <c r="AY228" i="5"/>
  <c r="AY222" i="5"/>
  <c r="AY224" i="5"/>
  <c r="AY173" i="5"/>
  <c r="AY238" i="5"/>
  <c r="AY165" i="5"/>
  <c r="AY175" i="5"/>
  <c r="AY208" i="5"/>
  <c r="AY236" i="5"/>
  <c r="BR203" i="5"/>
  <c r="BR205" i="5"/>
  <c r="BR182" i="5"/>
  <c r="BJ181" i="5"/>
  <c r="BJ160" i="5" s="1"/>
  <c r="CK169" i="5"/>
  <c r="CN169" i="5" s="1"/>
  <c r="CG169" i="5"/>
  <c r="CG177" i="5"/>
  <c r="CC176" i="5"/>
  <c r="CK177" i="5"/>
  <c r="CN177" i="5"/>
  <c r="BR231" i="5"/>
  <c r="BR188" i="5"/>
  <c r="A269" i="5" a="1"/>
  <c r="A269" i="5" s="1"/>
  <c r="B269" i="5" s="1" a="1"/>
  <c r="B269" i="5" s="1"/>
  <c r="B268" i="5" a="1"/>
  <c r="B268" i="5" s="1"/>
  <c r="BR184" i="5"/>
  <c r="BR170" i="5"/>
  <c r="Y297" i="5"/>
  <c r="BZ176" i="5"/>
  <c r="CH177" i="5"/>
  <c r="CH176" i="5" s="1"/>
  <c r="BR237" i="5"/>
  <c r="BR216" i="5"/>
  <c r="AN385" i="5"/>
  <c r="CT109" i="5"/>
  <c r="BR213" i="5"/>
  <c r="BR236" i="5"/>
  <c r="BR173" i="5"/>
  <c r="BR229" i="5"/>
  <c r="BR163" i="5"/>
  <c r="AN319" i="5" a="1"/>
  <c r="AN319" i="5" s="1"/>
  <c r="AA258" i="5"/>
  <c r="AA241" i="5"/>
  <c r="AA158" i="5"/>
  <c r="AA329" i="5"/>
  <c r="AA328" i="5"/>
  <c r="AA321" i="5"/>
  <c r="AA327" i="5"/>
  <c r="AA324" i="5"/>
  <c r="AA323" i="5"/>
  <c r="AA334" i="5"/>
  <c r="AA322" i="5"/>
  <c r="BR239" i="5"/>
  <c r="BJ240" i="5"/>
  <c r="BR227" i="5"/>
  <c r="BR165" i="5"/>
  <c r="CF169" i="5"/>
  <c r="BY176" i="5"/>
  <c r="CF176" i="5"/>
  <c r="BR193" i="5"/>
  <c r="BR202" i="5"/>
  <c r="BJ201" i="5"/>
  <c r="BJ200" i="5" s="1"/>
  <c r="BR175" i="5"/>
  <c r="BJ179" i="5"/>
  <c r="BJ174" i="5"/>
  <c r="BJ180" i="5" s="1"/>
  <c r="BR164" i="5"/>
  <c r="BZ351" i="5"/>
  <c r="BZ353" i="5" s="1"/>
  <c r="BZ349" i="5"/>
  <c r="BR224" i="5"/>
  <c r="BR183" i="5"/>
  <c r="CF232" i="5"/>
  <c r="AN317" i="5"/>
  <c r="CT317" i="5" s="1"/>
  <c r="AN157" i="5"/>
  <c r="AU112" i="5"/>
  <c r="CT158" i="5"/>
  <c r="BR190" i="5"/>
  <c r="BR222" i="5"/>
  <c r="CK197" i="5"/>
  <c r="CG197" i="5"/>
  <c r="BR206" i="5"/>
  <c r="BJ156" i="5"/>
  <c r="BJ340" i="5" s="1"/>
  <c r="BJ319" i="5"/>
  <c r="BQ319" i="5" s="1"/>
  <c r="AA307" i="5"/>
  <c r="AA303" i="5"/>
  <c r="AA304" i="5" s="1"/>
  <c r="AA306" i="5"/>
  <c r="AA305" i="5"/>
  <c r="AU159" i="5" a="1"/>
  <c r="AU159" i="5" s="1"/>
  <c r="BD159" i="5" a="1"/>
  <c r="BD159" i="5" s="1"/>
  <c r="BG159" i="5" s="1"/>
  <c r="BR217" i="5"/>
  <c r="BR195" i="5"/>
  <c r="BR351" i="5"/>
  <c r="BR353" i="5" s="1"/>
  <c r="BR349" i="5"/>
  <c r="BR238" i="5"/>
  <c r="BR207" i="5"/>
  <c r="CF212" i="5"/>
  <c r="BR210" i="5"/>
  <c r="BR172" i="5"/>
  <c r="BR228" i="5"/>
  <c r="BR208" i="5"/>
  <c r="CG233" i="5"/>
  <c r="CK233" i="5"/>
  <c r="CC232" i="5"/>
  <c r="CN233" i="5"/>
  <c r="AI340" i="5"/>
  <c r="BR226" i="5"/>
  <c r="BR234" i="5"/>
  <c r="BR223" i="5"/>
  <c r="CF197" i="5"/>
  <c r="BJ109" i="5" l="1"/>
  <c r="BJ385" i="5" s="1"/>
  <c r="AY181" i="5"/>
  <c r="CN232" i="5"/>
  <c r="BI159" i="5"/>
  <c r="CT159" i="5" s="1"/>
  <c r="BD158" i="5" a="1"/>
  <c r="BD158" i="5" s="1"/>
  <c r="BH159" i="5"/>
  <c r="CU159" i="5" a="1"/>
  <c r="CU159" i="5" s="1"/>
  <c r="CT157" i="5"/>
  <c r="BR179" i="5"/>
  <c r="BR174" i="5"/>
  <c r="AA294" i="5"/>
  <c r="AA297" i="5"/>
  <c r="AA292" i="5"/>
  <c r="AA290" i="5"/>
  <c r="AA291" i="5"/>
  <c r="AA283" i="5"/>
  <c r="AA273" i="5"/>
  <c r="AA259" i="5"/>
  <c r="AA293" i="5"/>
  <c r="AA272" i="5"/>
  <c r="CG176" i="5"/>
  <c r="CN176" i="5"/>
  <c r="CO169" i="5"/>
  <c r="AY179" i="5"/>
  <c r="AY174" i="5"/>
  <c r="AY180" i="5" s="1"/>
  <c r="BJ347" i="5"/>
  <c r="BR166" i="5"/>
  <c r="BR171" i="5"/>
  <c r="BR168" i="5"/>
  <c r="BG319" i="5"/>
  <c r="AU319" i="5" a="1"/>
  <c r="AU319" i="5" s="1"/>
  <c r="AA312" i="5"/>
  <c r="AA311" i="5"/>
  <c r="BR317" i="5"/>
  <c r="BR157" i="5"/>
  <c r="BZ112" i="5"/>
  <c r="BZ115" i="5"/>
  <c r="BZ111" i="5" s="1"/>
  <c r="BZ226" i="5" s="1"/>
  <c r="CO233" i="5"/>
  <c r="CK232" i="5"/>
  <c r="CO197" i="5"/>
  <c r="BZ164" i="5"/>
  <c r="BR240" i="5"/>
  <c r="AA335" i="5"/>
  <c r="AA336" i="5"/>
  <c r="AA337" i="5"/>
  <c r="AA338" i="5" s="1"/>
  <c r="AN318" i="5"/>
  <c r="CT318" i="5" s="1"/>
  <c r="BR180" i="5"/>
  <c r="BR235" i="5"/>
  <c r="BZ231" i="5"/>
  <c r="BR230" i="5"/>
  <c r="BR232" i="5"/>
  <c r="BY232" i="5" s="1"/>
  <c r="BZ198" i="5"/>
  <c r="AR340" i="5"/>
  <c r="BZ223" i="5"/>
  <c r="BD327" i="5"/>
  <c r="AI346" i="5"/>
  <c r="BR214" i="5"/>
  <c r="BZ210" i="5"/>
  <c r="BR209" i="5"/>
  <c r="BR211" i="5"/>
  <c r="BZ238" i="5"/>
  <c r="BZ195" i="5"/>
  <c r="BR199" i="5"/>
  <c r="BR194" i="5"/>
  <c r="BR191" i="5" s="1"/>
  <c r="BR196" i="5"/>
  <c r="BZ206" i="5"/>
  <c r="CN197" i="5"/>
  <c r="BR201" i="5"/>
  <c r="BZ202" i="5"/>
  <c r="AA227" i="5"/>
  <c r="AA191" i="5"/>
  <c r="AA200" i="5"/>
  <c r="AA159" i="5"/>
  <c r="AA160" i="5"/>
  <c r="CT319" i="5"/>
  <c r="AY240" i="5"/>
  <c r="AY201" i="5"/>
  <c r="AY219" i="5"/>
  <c r="BZ187" i="5"/>
  <c r="CO212" i="5"/>
  <c r="CT212" i="5" s="1"/>
  <c r="B325" i="5" a="1"/>
  <c r="B325" i="5" s="1"/>
  <c r="A326" i="5" a="1"/>
  <c r="A326" i="5" s="1"/>
  <c r="BZ234" i="5"/>
  <c r="BZ208" i="5"/>
  <c r="BZ217" i="5"/>
  <c r="BZ222" i="5"/>
  <c r="BZ239" i="5"/>
  <c r="AA325" i="5"/>
  <c r="AA326" i="5"/>
  <c r="AA256" i="5"/>
  <c r="AA242" i="5"/>
  <c r="AA243" i="5" s="1"/>
  <c r="AA244" i="5" s="1"/>
  <c r="AA257" i="5"/>
  <c r="AA255" i="5"/>
  <c r="BZ163" i="5"/>
  <c r="BR161" i="5"/>
  <c r="BZ236" i="5"/>
  <c r="BZ216" i="5"/>
  <c r="Y298" i="5"/>
  <c r="AA298" i="5" s="1"/>
  <c r="Y299" i="5"/>
  <c r="Y300" i="5" s="1"/>
  <c r="Y301" i="5" s="1"/>
  <c r="AA301" i="5" s="1"/>
  <c r="CO177" i="5"/>
  <c r="CT177" i="5" s="1"/>
  <c r="CK176" i="5"/>
  <c r="CO176" i="5" s="1"/>
  <c r="CT176" i="5" s="1"/>
  <c r="BZ182" i="5"/>
  <c r="BR181" i="5"/>
  <c r="AY235" i="5"/>
  <c r="AY234" i="5"/>
  <c r="AY161" i="5"/>
  <c r="BI162" i="5"/>
  <c r="CT162" i="5"/>
  <c r="BZ218" i="5"/>
  <c r="BZ185" i="5"/>
  <c r="BZ215" i="5"/>
  <c r="BR219" i="5"/>
  <c r="BZ220" i="5"/>
  <c r="BZ203" i="5" l="1"/>
  <c r="AY160" i="5"/>
  <c r="AA339" i="5"/>
  <c r="AA340" i="5" s="1"/>
  <c r="BZ181" i="5"/>
  <c r="BZ161" i="5"/>
  <c r="A327" i="5" a="1"/>
  <c r="A327" i="5" s="1"/>
  <c r="B326" i="5" a="1"/>
  <c r="B326" i="5" s="1"/>
  <c r="AA192" i="5"/>
  <c r="AA194" i="5"/>
  <c r="AA193" i="5"/>
  <c r="AR346" i="5"/>
  <c r="BZ184" i="5"/>
  <c r="BZ227" i="5"/>
  <c r="BZ190" i="5"/>
  <c r="BR156" i="5"/>
  <c r="BR340" i="5" s="1"/>
  <c r="BR319" i="5"/>
  <c r="BY319" i="5" s="1"/>
  <c r="BZ221" i="5"/>
  <c r="BZ205" i="5"/>
  <c r="BZ213" i="5"/>
  <c r="BZ209" i="5" s="1"/>
  <c r="AN156" i="5"/>
  <c r="AA181" i="5"/>
  <c r="AA173" i="5"/>
  <c r="AA166" i="5"/>
  <c r="AA165" i="5"/>
  <c r="AA172" i="5"/>
  <c r="AA161" i="5"/>
  <c r="AA239" i="5"/>
  <c r="AA238" i="5"/>
  <c r="AA237" i="5"/>
  <c r="AA236" i="5"/>
  <c r="AA230" i="5"/>
  <c r="AA240" i="5"/>
  <c r="AA229" i="5"/>
  <c r="AA228" i="5"/>
  <c r="BR200" i="5"/>
  <c r="AI350" i="5"/>
  <c r="BZ186" i="5"/>
  <c r="BZ173" i="5"/>
  <c r="BZ158" i="5"/>
  <c r="BZ188" i="5"/>
  <c r="BZ229" i="5"/>
  <c r="AA270" i="5"/>
  <c r="AA264" i="5"/>
  <c r="AA262" i="5"/>
  <c r="AA260" i="5"/>
  <c r="AA271" i="5"/>
  <c r="AA261" i="5"/>
  <c r="BZ165" i="5"/>
  <c r="BZ175" i="5"/>
  <c r="BZ207" i="5"/>
  <c r="AY200" i="5"/>
  <c r="CU327" i="5" a="1"/>
  <c r="CU327" i="5" s="1"/>
  <c r="CU320" i="5" s="1"/>
  <c r="BI327" i="5"/>
  <c r="BP327" i="5"/>
  <c r="BH327" i="5"/>
  <c r="BD320" i="5"/>
  <c r="BZ235" i="5"/>
  <c r="BZ230" i="5"/>
  <c r="BZ232" i="5"/>
  <c r="CG232" i="5" s="1"/>
  <c r="BZ204" i="5"/>
  <c r="BZ192" i="5"/>
  <c r="BZ178" i="5"/>
  <c r="BZ167" i="5"/>
  <c r="BJ351" i="5"/>
  <c r="BJ353" i="5" s="1"/>
  <c r="BJ349" i="5"/>
  <c r="BZ170" i="5"/>
  <c r="AA282" i="5"/>
  <c r="AA281" i="5"/>
  <c r="AA280" i="5"/>
  <c r="AA275" i="5"/>
  <c r="AA274" i="5"/>
  <c r="AA279" i="5"/>
  <c r="AA276" i="5"/>
  <c r="AA300" i="5"/>
  <c r="AA295" i="5"/>
  <c r="AA296" i="5"/>
  <c r="BZ193" i="5"/>
  <c r="BZ183" i="5"/>
  <c r="BZ228" i="5"/>
  <c r="BR160" i="5"/>
  <c r="AA254" i="5"/>
  <c r="AA245" i="5" a="1"/>
  <c r="AA245" i="5" s="1"/>
  <c r="AA216" i="5"/>
  <c r="AA215" i="5"/>
  <c r="AA219" i="5"/>
  <c r="AA209" i="5"/>
  <c r="AA201" i="5"/>
  <c r="AA218" i="5"/>
  <c r="AA217" i="5"/>
  <c r="BZ199" i="5"/>
  <c r="BZ194" i="5"/>
  <c r="BZ196" i="5"/>
  <c r="BZ214" i="5"/>
  <c r="BZ211" i="5"/>
  <c r="BZ224" i="5"/>
  <c r="BZ172" i="5"/>
  <c r="BZ225" i="5"/>
  <c r="BZ237" i="5"/>
  <c r="AA289" i="5"/>
  <c r="AA288" i="5"/>
  <c r="AA287" i="5"/>
  <c r="AA284" i="5"/>
  <c r="AA299" i="5"/>
  <c r="BI158" i="5"/>
  <c r="BM115" i="5"/>
  <c r="BP158" i="5"/>
  <c r="BH158" i="5"/>
  <c r="BM112" i="5"/>
  <c r="BD112" i="5"/>
  <c r="BG158" i="5"/>
  <c r="BG317" i="5" s="1"/>
  <c r="BR109" i="5" l="1"/>
  <c r="BR385" i="5" s="1"/>
  <c r="BX112" i="5"/>
  <c r="BQ112" i="5"/>
  <c r="BQ115" i="5"/>
  <c r="BX115" i="5"/>
  <c r="BM111" i="5"/>
  <c r="AA251" i="5"/>
  <c r="AA247" i="5"/>
  <c r="AA246" i="5"/>
  <c r="AA248" i="5"/>
  <c r="BZ219" i="5"/>
  <c r="AA190" i="5"/>
  <c r="AA182" i="5"/>
  <c r="AA185" i="5"/>
  <c r="AA184" i="5"/>
  <c r="AA183" i="5"/>
  <c r="AA188" i="5"/>
  <c r="AA187" i="5"/>
  <c r="AA186" i="5"/>
  <c r="AA285" i="5"/>
  <c r="AA286" i="5"/>
  <c r="AA207" i="5"/>
  <c r="AA205" i="5"/>
  <c r="AA204" i="5"/>
  <c r="AA203" i="5"/>
  <c r="AA206" i="5"/>
  <c r="AA208" i="5"/>
  <c r="AA202" i="5"/>
  <c r="BZ191" i="5"/>
  <c r="BP320" i="5"/>
  <c r="BH320" i="5"/>
  <c r="BI320" i="5"/>
  <c r="BG320" i="5"/>
  <c r="BZ317" i="5"/>
  <c r="BZ157" i="5"/>
  <c r="CH112" i="5"/>
  <c r="CH115" i="5"/>
  <c r="CH111" i="5" s="1"/>
  <c r="CH175" i="5" s="1"/>
  <c r="AN340" i="5"/>
  <c r="CT156" i="5"/>
  <c r="BZ240" i="5"/>
  <c r="AA213" i="5"/>
  <c r="AA214" i="5" s="1"/>
  <c r="AA210" i="5"/>
  <c r="BZ179" i="5"/>
  <c r="BZ174" i="5"/>
  <c r="BZ180" i="5" s="1"/>
  <c r="AA234" i="5"/>
  <c r="AA235" i="5" s="1"/>
  <c r="AA231" i="5"/>
  <c r="AA167" i="5"/>
  <c r="AA170" i="5"/>
  <c r="AA171" i="5" s="1"/>
  <c r="AA198" i="5"/>
  <c r="AA199" i="5" s="1"/>
  <c r="AA195" i="5"/>
  <c r="A328" i="5" a="1"/>
  <c r="A328" i="5" s="1"/>
  <c r="B328" i="5" s="1" a="1"/>
  <c r="B328" i="5" s="1"/>
  <c r="B327" i="5" a="1"/>
  <c r="B327" i="5" s="1"/>
  <c r="AA346" i="5"/>
  <c r="AA350" i="5" s="1"/>
  <c r="BD239" i="5"/>
  <c r="BD227" i="5"/>
  <c r="BD216" i="5"/>
  <c r="CT216" i="5" s="1"/>
  <c r="BD205" i="5"/>
  <c r="CT205" i="5" s="1"/>
  <c r="BD230" i="5"/>
  <c r="BD226" i="5"/>
  <c r="CT226" i="5" s="1"/>
  <c r="BD217" i="5"/>
  <c r="BD210" i="5"/>
  <c r="BD207" i="5"/>
  <c r="CT207" i="5" s="1"/>
  <c r="BD198" i="5"/>
  <c r="BD215" i="5"/>
  <c r="CT215" i="5" s="1"/>
  <c r="BD213" i="5"/>
  <c r="BD193" i="5"/>
  <c r="BD192" i="5"/>
  <c r="BD202" i="5"/>
  <c r="CT202" i="5" s="1"/>
  <c r="BD186" i="5"/>
  <c r="BD182" i="5"/>
  <c r="BD170" i="5"/>
  <c r="BD206" i="5"/>
  <c r="BD195" i="5"/>
  <c r="BD190" i="5"/>
  <c r="CT190" i="5" s="1"/>
  <c r="BD185" i="5"/>
  <c r="BD184" i="5"/>
  <c r="BD173" i="5"/>
  <c r="CT173" i="5" s="1"/>
  <c r="BD167" i="5"/>
  <c r="BD188" i="5"/>
  <c r="CT188" i="5" s="1"/>
  <c r="BD183" i="5"/>
  <c r="BD163" i="5"/>
  <c r="BD164" i="5"/>
  <c r="BP112" i="5"/>
  <c r="BI111" i="5"/>
  <c r="BI385" i="5" s="1"/>
  <c r="BH111" i="5"/>
  <c r="BH385" i="5" s="1"/>
  <c r="CU112" i="5" a="1"/>
  <c r="CU112" i="5" s="1"/>
  <c r="BD172" i="5"/>
  <c r="BD178" i="5"/>
  <c r="CT178" i="5" s="1"/>
  <c r="BD187" i="5"/>
  <c r="BD218" i="5"/>
  <c r="CT218" i="5" s="1"/>
  <c r="BD223" i="5"/>
  <c r="CT223" i="5" s="1"/>
  <c r="BD221" i="5"/>
  <c r="BD224" i="5"/>
  <c r="CT224" i="5" s="1"/>
  <c r="BD165" i="5"/>
  <c r="BD175" i="5"/>
  <c r="CT175" i="5" s="1"/>
  <c r="BD236" i="5"/>
  <c r="BD237" i="5"/>
  <c r="BD203" i="5"/>
  <c r="CT203" i="5" s="1"/>
  <c r="BD208" i="5"/>
  <c r="CT208" i="5" s="1"/>
  <c r="BD204" i="5"/>
  <c r="CT204" i="5" s="1"/>
  <c r="BD238" i="5"/>
  <c r="BD231" i="5"/>
  <c r="BD222" i="5"/>
  <c r="CT222" i="5" s="1"/>
  <c r="BD229" i="5"/>
  <c r="BD220" i="5"/>
  <c r="CT220" i="5" s="1"/>
  <c r="BD225" i="5"/>
  <c r="CT225" i="5" s="1"/>
  <c r="BD228" i="5"/>
  <c r="BG111" i="5"/>
  <c r="BG385" i="5" s="1"/>
  <c r="CH172" i="5"/>
  <c r="AA221" i="5"/>
  <c r="AA220" i="5"/>
  <c r="AA225" i="5"/>
  <c r="AA223" i="5"/>
  <c r="AA224" i="5"/>
  <c r="AA222" i="5"/>
  <c r="AA226" i="5"/>
  <c r="CH228" i="5"/>
  <c r="BZ166" i="5"/>
  <c r="BZ160" i="5" s="1"/>
  <c r="CH167" i="5"/>
  <c r="BZ171" i="5"/>
  <c r="BZ168" i="5"/>
  <c r="AA164" i="5"/>
  <c r="AA163" i="5"/>
  <c r="AA162" i="5"/>
  <c r="AA180" i="5"/>
  <c r="AA174" i="5"/>
  <c r="AY109" i="5"/>
  <c r="AY385" i="5" s="1"/>
  <c r="CH205" i="5"/>
  <c r="AR350" i="5"/>
  <c r="AR385" i="5"/>
  <c r="BZ201" i="5"/>
  <c r="CH188" i="5" l="1"/>
  <c r="CH165" i="5"/>
  <c r="CH186" i="5"/>
  <c r="CH225" i="5"/>
  <c r="BZ200" i="5"/>
  <c r="BZ109" i="5" s="1"/>
  <c r="BZ385" i="5" s="1"/>
  <c r="BI229" i="5"/>
  <c r="CU229" i="5" a="1"/>
  <c r="CU229" i="5" s="1"/>
  <c r="BM229" i="5"/>
  <c r="BH229" i="5"/>
  <c r="BP229" i="5"/>
  <c r="BI204" i="5"/>
  <c r="CU204" i="5" a="1"/>
  <c r="CU204" i="5" s="1"/>
  <c r="BM204" i="5"/>
  <c r="BP204" i="5"/>
  <c r="BH204" i="5"/>
  <c r="CU236" i="5" a="1"/>
  <c r="CU236" i="5" s="1"/>
  <c r="BM236" i="5"/>
  <c r="BI236" i="5"/>
  <c r="BP236" i="5"/>
  <c r="BH236" i="5"/>
  <c r="BP221" i="5"/>
  <c r="BH221" i="5"/>
  <c r="BI221" i="5"/>
  <c r="CU221" i="5" a="1"/>
  <c r="CU221" i="5" s="1"/>
  <c r="BM221" i="5"/>
  <c r="CT221" i="5"/>
  <c r="CU178" i="5" a="1"/>
  <c r="CU178" i="5" s="1"/>
  <c r="BM178" i="5"/>
  <c r="BI178" i="5"/>
  <c r="BP178" i="5"/>
  <c r="BH178" i="5"/>
  <c r="BI183" i="5"/>
  <c r="CU183" i="5" a="1"/>
  <c r="CU183" i="5" s="1"/>
  <c r="BM183" i="5"/>
  <c r="BG183" i="5"/>
  <c r="BH183" i="5"/>
  <c r="BP183" i="5"/>
  <c r="BI184" i="5"/>
  <c r="CU184" i="5" a="1"/>
  <c r="CU184" i="5" s="1"/>
  <c r="BM184" i="5"/>
  <c r="BP184" i="5"/>
  <c r="BH184" i="5"/>
  <c r="BI206" i="5"/>
  <c r="CU206" i="5" a="1"/>
  <c r="CU206" i="5" s="1"/>
  <c r="BM206" i="5"/>
  <c r="BH206" i="5"/>
  <c r="BP206" i="5"/>
  <c r="CT206" i="5"/>
  <c r="BI202" i="5"/>
  <c r="CU202" i="5" a="1"/>
  <c r="CU202" i="5" s="1"/>
  <c r="BM202" i="5"/>
  <c r="BG202" i="5"/>
  <c r="BH202" i="5"/>
  <c r="BD201" i="5"/>
  <c r="CT201" i="5" s="1"/>
  <c r="BP202" i="5"/>
  <c r="CU215" i="5" a="1"/>
  <c r="CU215" i="5" s="1"/>
  <c r="BM215" i="5"/>
  <c r="BI215" i="5"/>
  <c r="BP215" i="5"/>
  <c r="BH215" i="5"/>
  <c r="BP217" i="5"/>
  <c r="BH217" i="5"/>
  <c r="CU217" i="5" a="1"/>
  <c r="CU217" i="5" s="1"/>
  <c r="BM217" i="5"/>
  <c r="BI217" i="5"/>
  <c r="BG217" i="5"/>
  <c r="CT217" i="5"/>
  <c r="BP216" i="5"/>
  <c r="BH216" i="5"/>
  <c r="CU216" i="5" a="1"/>
  <c r="CU216" i="5" s="1"/>
  <c r="BM216" i="5"/>
  <c r="BI216" i="5"/>
  <c r="BG216" i="5"/>
  <c r="AA351" i="5"/>
  <c r="AA352" i="5"/>
  <c r="AA353" i="5"/>
  <c r="AA169" i="5"/>
  <c r="AA168" i="5"/>
  <c r="CH179" i="5"/>
  <c r="CH182" i="5"/>
  <c r="CH181" i="5" s="1"/>
  <c r="CH222" i="5"/>
  <c r="CH220" i="5"/>
  <c r="CH164" i="5"/>
  <c r="CH239" i="5"/>
  <c r="CH238" i="5"/>
  <c r="CH216" i="5"/>
  <c r="CH218" i="5"/>
  <c r="CH231" i="5"/>
  <c r="CH234" i="5"/>
  <c r="CH206" i="5"/>
  <c r="CH226" i="5"/>
  <c r="CH163" i="5"/>
  <c r="CH223" i="5"/>
  <c r="CH217" i="5"/>
  <c r="CH236" i="5"/>
  <c r="CH203" i="5"/>
  <c r="CH215" i="5"/>
  <c r="CH187" i="5"/>
  <c r="CH202" i="5"/>
  <c r="CH185" i="5"/>
  <c r="CH208" i="5"/>
  <c r="CH198" i="5"/>
  <c r="CH195" i="5"/>
  <c r="CH210" i="5"/>
  <c r="CH193" i="5"/>
  <c r="CH237" i="5"/>
  <c r="CH190" i="5"/>
  <c r="CH170" i="5"/>
  <c r="CH166" i="5" s="1"/>
  <c r="CH171" i="5"/>
  <c r="CH168" i="5"/>
  <c r="BP228" i="5"/>
  <c r="BH228" i="5"/>
  <c r="BI228" i="5"/>
  <c r="CU228" i="5" a="1"/>
  <c r="CU228" i="5" s="1"/>
  <c r="BM228" i="5"/>
  <c r="BP222" i="5"/>
  <c r="BH222" i="5"/>
  <c r="CU222" i="5" a="1"/>
  <c r="CU222" i="5" s="1"/>
  <c r="BM222" i="5"/>
  <c r="BI222" i="5"/>
  <c r="BP208" i="5"/>
  <c r="BH208" i="5"/>
  <c r="CU208" i="5" a="1"/>
  <c r="CU208" i="5" s="1"/>
  <c r="BM208" i="5"/>
  <c r="BI208" i="5"/>
  <c r="BD179" i="5"/>
  <c r="CT179" i="5" s="1"/>
  <c r="BP175" i="5"/>
  <c r="BH175" i="5"/>
  <c r="CU175" i="5" a="1"/>
  <c r="CU175" i="5" s="1"/>
  <c r="BM175" i="5"/>
  <c r="BD174" i="5"/>
  <c r="CT174" i="5" s="1"/>
  <c r="BI175" i="5"/>
  <c r="BP223" i="5"/>
  <c r="BH223" i="5"/>
  <c r="BI223" i="5"/>
  <c r="CU223" i="5" a="1"/>
  <c r="CU223" i="5" s="1"/>
  <c r="BM223" i="5"/>
  <c r="CU172" i="5" a="1"/>
  <c r="CU172" i="5" s="1"/>
  <c r="BM172" i="5"/>
  <c r="BI172" i="5"/>
  <c r="BH172" i="5"/>
  <c r="BP172" i="5"/>
  <c r="CU188" i="5" a="1"/>
  <c r="CU188" i="5" s="1"/>
  <c r="BM188" i="5"/>
  <c r="BG188" i="5"/>
  <c r="BI188" i="5"/>
  <c r="BH188" i="5"/>
  <c r="BP188" i="5"/>
  <c r="BP185" i="5"/>
  <c r="BH185" i="5"/>
  <c r="CU185" i="5" a="1"/>
  <c r="CU185" i="5" s="1"/>
  <c r="BM185" i="5"/>
  <c r="BI185" i="5"/>
  <c r="BG185" i="5"/>
  <c r="BP170" i="5"/>
  <c r="BH170" i="5"/>
  <c r="BG170" i="5"/>
  <c r="CU170" i="5" a="1"/>
  <c r="CU170" i="5" s="1"/>
  <c r="BM170" i="5"/>
  <c r="BI170" i="5"/>
  <c r="BI192" i="5"/>
  <c r="BP192" i="5"/>
  <c r="BH192" i="5"/>
  <c r="CU192" i="5" a="1"/>
  <c r="CU192" i="5" s="1"/>
  <c r="BM192" i="5"/>
  <c r="BG192" i="5"/>
  <c r="CT192" i="5"/>
  <c r="BP198" i="5"/>
  <c r="BH198" i="5"/>
  <c r="CU198" i="5" a="1"/>
  <c r="CU198" i="5" s="1"/>
  <c r="BM198" i="5"/>
  <c r="BI198" i="5"/>
  <c r="BG198" i="5"/>
  <c r="CU226" i="5" a="1"/>
  <c r="CU226" i="5" s="1"/>
  <c r="BM226" i="5"/>
  <c r="BG226" i="5"/>
  <c r="BI226" i="5"/>
  <c r="BH226" i="5"/>
  <c r="BP226" i="5"/>
  <c r="BP227" i="5"/>
  <c r="BH227" i="5"/>
  <c r="BD240" i="5"/>
  <c r="CU227" i="5" a="1"/>
  <c r="CU227" i="5" s="1"/>
  <c r="BM227" i="5"/>
  <c r="BI227" i="5"/>
  <c r="BG227" i="5"/>
  <c r="CH184" i="5"/>
  <c r="AA233" i="5"/>
  <c r="AA232" i="5"/>
  <c r="CH229" i="5"/>
  <c r="CH204" i="5"/>
  <c r="CH207" i="5"/>
  <c r="CH221" i="5"/>
  <c r="CH183" i="5"/>
  <c r="AA252" i="5"/>
  <c r="AA253" i="5"/>
  <c r="BP225" i="5"/>
  <c r="BH225" i="5"/>
  <c r="CU225" i="5" a="1"/>
  <c r="CU225" i="5" s="1"/>
  <c r="BM225" i="5"/>
  <c r="BI225" i="5"/>
  <c r="BD235" i="5"/>
  <c r="BP231" i="5"/>
  <c r="BH231" i="5"/>
  <c r="CU231" i="5" a="1"/>
  <c r="CU231" i="5" s="1"/>
  <c r="CU235" i="5" s="1"/>
  <c r="BM231" i="5"/>
  <c r="BI231" i="5"/>
  <c r="BI203" i="5"/>
  <c r="CU203" i="5" a="1"/>
  <c r="CU203" i="5" s="1"/>
  <c r="BM203" i="5"/>
  <c r="BP203" i="5"/>
  <c r="BH203" i="5"/>
  <c r="BI165" i="5"/>
  <c r="CU165" i="5" a="1"/>
  <c r="CU165" i="5" s="1"/>
  <c r="BM165" i="5"/>
  <c r="BH165" i="5"/>
  <c r="BP165" i="5"/>
  <c r="BP218" i="5"/>
  <c r="BH218" i="5"/>
  <c r="CU218" i="5" a="1"/>
  <c r="CU218" i="5" s="1"/>
  <c r="BM218" i="5"/>
  <c r="BI218" i="5"/>
  <c r="BI164" i="5"/>
  <c r="CU164" i="5" a="1"/>
  <c r="CU164" i="5" s="1"/>
  <c r="BM164" i="5"/>
  <c r="BG164" i="5"/>
  <c r="BP164" i="5"/>
  <c r="BH164" i="5"/>
  <c r="CU167" i="5" a="1"/>
  <c r="CU167" i="5" s="1"/>
  <c r="BM167" i="5"/>
  <c r="BG167" i="5"/>
  <c r="BI167" i="5"/>
  <c r="BD166" i="5"/>
  <c r="BD171" i="5"/>
  <c r="BP167" i="5"/>
  <c r="BH167" i="5"/>
  <c r="BD168" i="5"/>
  <c r="BI190" i="5"/>
  <c r="BP190" i="5"/>
  <c r="BH190" i="5"/>
  <c r="CU190" i="5" a="1"/>
  <c r="CU190" i="5" s="1"/>
  <c r="BM190" i="5"/>
  <c r="BG190" i="5"/>
  <c r="BD181" i="5"/>
  <c r="BP182" i="5"/>
  <c r="BH182" i="5"/>
  <c r="BG182" i="5"/>
  <c r="CU182" i="5" a="1"/>
  <c r="CU182" i="5" s="1"/>
  <c r="CU181" i="5" s="1"/>
  <c r="BM182" i="5"/>
  <c r="BI182" i="5"/>
  <c r="BI193" i="5"/>
  <c r="BP193" i="5"/>
  <c r="BH193" i="5"/>
  <c r="CU193" i="5" a="1"/>
  <c r="CU193" i="5" s="1"/>
  <c r="BM193" i="5"/>
  <c r="BG193" i="5"/>
  <c r="CT193" i="5"/>
  <c r="BP207" i="5"/>
  <c r="BH207" i="5"/>
  <c r="BI207" i="5"/>
  <c r="BG207" i="5"/>
  <c r="CU207" i="5" a="1"/>
  <c r="CU207" i="5" s="1"/>
  <c r="BM207" i="5"/>
  <c r="BD234" i="5"/>
  <c r="CU230" i="5" a="1"/>
  <c r="CU230" i="5" s="1"/>
  <c r="CU234" i="5" s="1"/>
  <c r="BG230" i="5"/>
  <c r="BI230" i="5"/>
  <c r="BH230" i="5"/>
  <c r="BP230" i="5"/>
  <c r="BI239" i="5"/>
  <c r="BP239" i="5"/>
  <c r="BH239" i="5"/>
  <c r="CU239" i="5" a="1"/>
  <c r="CU239" i="5" s="1"/>
  <c r="BM239" i="5"/>
  <c r="BG239" i="5"/>
  <c r="CH213" i="5"/>
  <c r="AA212" i="5"/>
  <c r="AA211" i="5"/>
  <c r="AN346" i="5"/>
  <c r="CT340" i="5"/>
  <c r="BZ156" i="5"/>
  <c r="BZ340" i="5" s="1"/>
  <c r="BZ319" i="5"/>
  <c r="CG319" i="5" s="1"/>
  <c r="AA250" i="5"/>
  <c r="AA249" i="5"/>
  <c r="CH224" i="5"/>
  <c r="AA178" i="5"/>
  <c r="AA179" i="5" s="1"/>
  <c r="AA175" i="5"/>
  <c r="CU220" i="5" a="1"/>
  <c r="CU220" i="5" s="1"/>
  <c r="BM220" i="5"/>
  <c r="BI220" i="5"/>
  <c r="BP220" i="5"/>
  <c r="BH220" i="5"/>
  <c r="BD219" i="5"/>
  <c r="CT219" i="5" s="1"/>
  <c r="CU238" i="5" a="1"/>
  <c r="CU238" i="5" s="1"/>
  <c r="BM238" i="5"/>
  <c r="BI238" i="5"/>
  <c r="BP238" i="5"/>
  <c r="BH238" i="5"/>
  <c r="CU237" i="5" a="1"/>
  <c r="CU237" i="5" s="1"/>
  <c r="BM237" i="5"/>
  <c r="BI237" i="5"/>
  <c r="BP237" i="5"/>
  <c r="BH237" i="5"/>
  <c r="BP224" i="5"/>
  <c r="BH224" i="5"/>
  <c r="CU224" i="5" a="1"/>
  <c r="CU224" i="5" s="1"/>
  <c r="BM224" i="5"/>
  <c r="BI224" i="5"/>
  <c r="BP187" i="5"/>
  <c r="BH187" i="5"/>
  <c r="CU187" i="5" a="1"/>
  <c r="CU187" i="5" s="1"/>
  <c r="BM187" i="5"/>
  <c r="BI187" i="5"/>
  <c r="BP163" i="5"/>
  <c r="BH163" i="5"/>
  <c r="BM163" i="5"/>
  <c r="BG163" i="5"/>
  <c r="CU163" i="5" a="1"/>
  <c r="CU163" i="5" s="1"/>
  <c r="BI163" i="5"/>
  <c r="BD161" i="5"/>
  <c r="BI173" i="5"/>
  <c r="CU173" i="5" a="1"/>
  <c r="CU173" i="5" s="1"/>
  <c r="BM173" i="5"/>
  <c r="BP173" i="5"/>
  <c r="BH173" i="5"/>
  <c r="BP195" i="5"/>
  <c r="BH195" i="5"/>
  <c r="CU195" i="5" a="1"/>
  <c r="CU195" i="5" s="1"/>
  <c r="BM195" i="5"/>
  <c r="BG195" i="5"/>
  <c r="BD199" i="5"/>
  <c r="BI195" i="5"/>
  <c r="BD194" i="5"/>
  <c r="BD191" i="5" s="1"/>
  <c r="BD196" i="5"/>
  <c r="BP186" i="5"/>
  <c r="BH186" i="5"/>
  <c r="CU186" i="5" a="1"/>
  <c r="CU186" i="5" s="1"/>
  <c r="BM186" i="5"/>
  <c r="BI186" i="5"/>
  <c r="BG186" i="5"/>
  <c r="CU213" i="5" a="1"/>
  <c r="CU213" i="5" s="1"/>
  <c r="BM213" i="5"/>
  <c r="BG213" i="5"/>
  <c r="BI213" i="5"/>
  <c r="BP213" i="5"/>
  <c r="BH213" i="5"/>
  <c r="CT213" i="5"/>
  <c r="BD214" i="5"/>
  <c r="BP210" i="5"/>
  <c r="BH210" i="5"/>
  <c r="CU210" i="5" a="1"/>
  <c r="CU210" i="5" s="1"/>
  <c r="BM210" i="5"/>
  <c r="BI210" i="5"/>
  <c r="BG210" i="5"/>
  <c r="BD209" i="5"/>
  <c r="BD211" i="5"/>
  <c r="CT210" i="5"/>
  <c r="BP205" i="5"/>
  <c r="BH205" i="5"/>
  <c r="BG205" i="5"/>
  <c r="CU205" i="5" a="1"/>
  <c r="CU205" i="5" s="1"/>
  <c r="BM205" i="5"/>
  <c r="BI205" i="5"/>
  <c r="AA349" i="5"/>
  <c r="AA347" i="5"/>
  <c r="AA348" i="5"/>
  <c r="AA197" i="5"/>
  <c r="AA196" i="5"/>
  <c r="CH173" i="5"/>
  <c r="CH227" i="5"/>
  <c r="CH240" i="5" s="1"/>
  <c r="CH158" i="5"/>
  <c r="CH192" i="5"/>
  <c r="CH178" i="5"/>
  <c r="CH174" i="5" s="1"/>
  <c r="BQ111" i="5"/>
  <c r="BX111" i="5"/>
  <c r="BM158" i="5"/>
  <c r="CU161" i="5" l="1"/>
  <c r="BD180" i="5"/>
  <c r="CT180" i="5" s="1"/>
  <c r="CH161" i="5"/>
  <c r="CU240" i="5"/>
  <c r="BP191" i="5"/>
  <c r="BH191" i="5"/>
  <c r="BI191" i="5"/>
  <c r="BG191" i="5"/>
  <c r="BQ158" i="5"/>
  <c r="BU115" i="5"/>
  <c r="BX158" i="5"/>
  <c r="BU112" i="5"/>
  <c r="BI211" i="5"/>
  <c r="BP211" i="5"/>
  <c r="BH211" i="5"/>
  <c r="BG211" i="5"/>
  <c r="CT211" i="5"/>
  <c r="BX210" i="5"/>
  <c r="BM209" i="5"/>
  <c r="BQ210" i="5"/>
  <c r="BM214" i="5"/>
  <c r="BM211" i="5"/>
  <c r="BP214" i="5"/>
  <c r="BH214" i="5"/>
  <c r="BI214" i="5"/>
  <c r="BG214" i="5"/>
  <c r="CT214" i="5"/>
  <c r="CU199" i="5"/>
  <c r="CU194" i="5"/>
  <c r="CU191" i="5" s="1"/>
  <c r="CU196" i="5"/>
  <c r="BP180" i="5"/>
  <c r="BH180" i="5"/>
  <c r="BI180" i="5"/>
  <c r="BI219" i="5"/>
  <c r="BP219" i="5"/>
  <c r="BH219" i="5"/>
  <c r="BG219" i="5"/>
  <c r="BQ220" i="5"/>
  <c r="BX220" i="5"/>
  <c r="BM219" i="5"/>
  <c r="BX182" i="5"/>
  <c r="BQ182" i="5"/>
  <c r="BM181" i="5"/>
  <c r="BP168" i="5"/>
  <c r="BH168" i="5"/>
  <c r="BI168" i="5"/>
  <c r="BG168" i="5"/>
  <c r="BP166" i="5"/>
  <c r="BH166" i="5"/>
  <c r="BI166" i="5"/>
  <c r="BG166" i="5"/>
  <c r="CU171" i="5"/>
  <c r="CU166" i="5"/>
  <c r="CU160" i="5" s="1"/>
  <c r="CU168" i="5"/>
  <c r="BQ164" i="5"/>
  <c r="BX164" i="5"/>
  <c r="BX218" i="5"/>
  <c r="BQ218" i="5"/>
  <c r="BQ192" i="5"/>
  <c r="BX192" i="5"/>
  <c r="BM174" i="5"/>
  <c r="BM180" i="5" s="1"/>
  <c r="BX175" i="5"/>
  <c r="BQ175" i="5"/>
  <c r="BM179" i="5"/>
  <c r="BP179" i="5"/>
  <c r="BH179" i="5"/>
  <c r="BI179" i="5"/>
  <c r="CH199" i="5"/>
  <c r="CH194" i="5"/>
  <c r="CH191" i="5" s="1"/>
  <c r="CH196" i="5"/>
  <c r="CH201" i="5"/>
  <c r="BX217" i="5"/>
  <c r="BQ217" i="5"/>
  <c r="BQ184" i="5"/>
  <c r="BX184" i="5"/>
  <c r="BQ178" i="5"/>
  <c r="BX178" i="5"/>
  <c r="BQ229" i="5"/>
  <c r="BX229" i="5"/>
  <c r="CH317" i="5"/>
  <c r="CH157" i="5"/>
  <c r="BI209" i="5"/>
  <c r="BP209" i="5"/>
  <c r="BH209" i="5"/>
  <c r="BG209" i="5"/>
  <c r="CT209" i="5"/>
  <c r="CU209" i="5"/>
  <c r="CU214" i="5"/>
  <c r="CU211" i="5"/>
  <c r="BI199" i="5"/>
  <c r="BP199" i="5"/>
  <c r="BH199" i="5"/>
  <c r="BG199" i="5"/>
  <c r="BQ173" i="5"/>
  <c r="BX173" i="5"/>
  <c r="BI161" i="5"/>
  <c r="BP161" i="5"/>
  <c r="BH161" i="5"/>
  <c r="BD160" i="5"/>
  <c r="BG161" i="5"/>
  <c r="BX163" i="5"/>
  <c r="BM161" i="5"/>
  <c r="BQ163" i="5"/>
  <c r="BX187" i="5"/>
  <c r="BQ187" i="5"/>
  <c r="BQ237" i="5"/>
  <c r="BX237" i="5"/>
  <c r="CU219" i="5"/>
  <c r="BP234" i="5"/>
  <c r="BH234" i="5"/>
  <c r="BM234" i="5"/>
  <c r="BI234" i="5"/>
  <c r="BG234" i="5"/>
  <c r="BP181" i="5"/>
  <c r="BH181" i="5"/>
  <c r="BI181" i="5"/>
  <c r="BG181" i="5"/>
  <c r="BX225" i="5"/>
  <c r="BQ225" i="5"/>
  <c r="BM240" i="5"/>
  <c r="BX227" i="5"/>
  <c r="BQ227" i="5"/>
  <c r="BX223" i="5"/>
  <c r="BQ223" i="5"/>
  <c r="CU174" i="5"/>
  <c r="CU180" i="5" s="1"/>
  <c r="CU179" i="5"/>
  <c r="CH219" i="5"/>
  <c r="BX216" i="5"/>
  <c r="BQ216" i="5"/>
  <c r="BQ202" i="5"/>
  <c r="BM201" i="5"/>
  <c r="BX202" i="5"/>
  <c r="BX205" i="5"/>
  <c r="BQ205" i="5"/>
  <c r="BQ213" i="5"/>
  <c r="BX213" i="5"/>
  <c r="BX186" i="5"/>
  <c r="BQ186" i="5"/>
  <c r="BP196" i="5"/>
  <c r="BI196" i="5"/>
  <c r="BH196" i="5"/>
  <c r="BG196" i="5"/>
  <c r="BX224" i="5"/>
  <c r="BQ224" i="5"/>
  <c r="BQ238" i="5"/>
  <c r="BX238" i="5"/>
  <c r="AA177" i="5"/>
  <c r="AA176" i="5"/>
  <c r="AN350" i="5"/>
  <c r="CT350" i="5" s="1"/>
  <c r="CT346" i="5"/>
  <c r="BX207" i="5"/>
  <c r="BQ207" i="5"/>
  <c r="BQ193" i="5"/>
  <c r="BX193" i="5"/>
  <c r="BQ165" i="5"/>
  <c r="BX165" i="5"/>
  <c r="BQ226" i="5"/>
  <c r="BX226" i="5"/>
  <c r="BX198" i="5"/>
  <c r="BQ198" i="5"/>
  <c r="BX185" i="5"/>
  <c r="BQ185" i="5"/>
  <c r="BQ188" i="5"/>
  <c r="BX188" i="5"/>
  <c r="BX208" i="5"/>
  <c r="BQ208" i="5"/>
  <c r="BI201" i="5"/>
  <c r="BH201" i="5"/>
  <c r="BP201" i="5"/>
  <c r="BD200" i="5"/>
  <c r="CT200" i="5" s="1"/>
  <c r="BG201" i="5"/>
  <c r="CU201" i="5"/>
  <c r="CU200" i="5" s="1"/>
  <c r="BQ183" i="5"/>
  <c r="BX183" i="5"/>
  <c r="CH180" i="5"/>
  <c r="BI194" i="5"/>
  <c r="BP194" i="5"/>
  <c r="BH194" i="5"/>
  <c r="BG194" i="5"/>
  <c r="BM199" i="5"/>
  <c r="BX195" i="5"/>
  <c r="BM194" i="5"/>
  <c r="BQ195" i="5"/>
  <c r="BM196" i="5"/>
  <c r="BQ239" i="5"/>
  <c r="BX239" i="5"/>
  <c r="BQ190" i="5"/>
  <c r="BX190" i="5"/>
  <c r="BI171" i="5"/>
  <c r="BH171" i="5"/>
  <c r="BP171" i="5"/>
  <c r="BG171" i="5"/>
  <c r="BM171" i="5"/>
  <c r="BQ167" i="5"/>
  <c r="BM166" i="5"/>
  <c r="BX167" i="5"/>
  <c r="BM168" i="5"/>
  <c r="BQ203" i="5"/>
  <c r="BX203" i="5"/>
  <c r="BM230" i="5"/>
  <c r="BX231" i="5"/>
  <c r="BM235" i="5"/>
  <c r="BQ231" i="5"/>
  <c r="BP235" i="5"/>
  <c r="BH235" i="5"/>
  <c r="BI235" i="5"/>
  <c r="BI240" i="5"/>
  <c r="BP240" i="5"/>
  <c r="BH240" i="5"/>
  <c r="BX170" i="5"/>
  <c r="BQ170" i="5"/>
  <c r="BQ172" i="5"/>
  <c r="BX172" i="5"/>
  <c r="BI174" i="5"/>
  <c r="BH174" i="5"/>
  <c r="BP174" i="5"/>
  <c r="BX222" i="5"/>
  <c r="BQ222" i="5"/>
  <c r="BX228" i="5"/>
  <c r="BQ228" i="5"/>
  <c r="CH214" i="5"/>
  <c r="CH209" i="5"/>
  <c r="CH211" i="5"/>
  <c r="CH160" i="5"/>
  <c r="CH235" i="5"/>
  <c r="CH230" i="5"/>
  <c r="CH232" i="5"/>
  <c r="CO232" i="5" s="1"/>
  <c r="BQ215" i="5"/>
  <c r="BX215" i="5"/>
  <c r="BQ206" i="5"/>
  <c r="BX206" i="5"/>
  <c r="BX221" i="5"/>
  <c r="BQ221" i="5"/>
  <c r="BQ236" i="5"/>
  <c r="BX236" i="5"/>
  <c r="BQ204" i="5"/>
  <c r="BX204" i="5"/>
  <c r="BU288" i="5"/>
  <c r="AU288" i="5"/>
  <c r="BD288" i="5"/>
  <c r="BM288" i="5"/>
  <c r="AU283" i="5" l="1"/>
  <c r="CF288" i="5"/>
  <c r="BY288" i="5"/>
  <c r="BU283" i="5"/>
  <c r="BQ230" i="5"/>
  <c r="BX230" i="5"/>
  <c r="BX168" i="5"/>
  <c r="BQ168" i="5"/>
  <c r="BQ171" i="5"/>
  <c r="BX171" i="5"/>
  <c r="CU158" i="5"/>
  <c r="BX234" i="5"/>
  <c r="BQ234" i="5"/>
  <c r="BX180" i="5"/>
  <c r="BQ180" i="5"/>
  <c r="BX179" i="5"/>
  <c r="BQ179" i="5"/>
  <c r="BQ174" i="5"/>
  <c r="BX174" i="5"/>
  <c r="BY115" i="5"/>
  <c r="CF115" i="5"/>
  <c r="BU111" i="5"/>
  <c r="BU234" i="5" s="1"/>
  <c r="BX196" i="5"/>
  <c r="BQ196" i="5"/>
  <c r="BI200" i="5"/>
  <c r="BH200" i="5"/>
  <c r="BP200" i="5"/>
  <c r="BG200" i="5"/>
  <c r="CH200" i="5"/>
  <c r="CH109" i="5" s="1"/>
  <c r="CH385" i="5" s="1"/>
  <c r="BQ211" i="5"/>
  <c r="BX211" i="5"/>
  <c r="BQ209" i="5"/>
  <c r="BX209" i="5"/>
  <c r="CF112" i="5"/>
  <c r="BY112" i="5"/>
  <c r="BX288" i="5"/>
  <c r="BQ288" i="5"/>
  <c r="BM283" i="5"/>
  <c r="BP288" i="5"/>
  <c r="BH288" i="5"/>
  <c r="CU288" i="5" a="1"/>
  <c r="CU288" i="5" s="1"/>
  <c r="CU283" i="5" s="1"/>
  <c r="CU258" i="5" s="1"/>
  <c r="BI288" i="5"/>
  <c r="BD283" i="5"/>
  <c r="BX235" i="5"/>
  <c r="BQ235" i="5"/>
  <c r="BX166" i="5"/>
  <c r="BQ166" i="5"/>
  <c r="BQ199" i="5"/>
  <c r="BX199" i="5"/>
  <c r="BQ240" i="5"/>
  <c r="BX240" i="5"/>
  <c r="BX181" i="5"/>
  <c r="BQ181" i="5"/>
  <c r="BX219" i="5"/>
  <c r="BQ219" i="5"/>
  <c r="BQ194" i="5"/>
  <c r="BX194" i="5"/>
  <c r="BM200" i="5"/>
  <c r="BQ201" i="5"/>
  <c r="BX201" i="5"/>
  <c r="BQ161" i="5"/>
  <c r="BX161" i="5"/>
  <c r="BM160" i="5"/>
  <c r="BI160" i="5"/>
  <c r="BP160" i="5"/>
  <c r="BH160" i="5"/>
  <c r="BD109" i="5"/>
  <c r="BG160" i="5"/>
  <c r="CH156" i="5"/>
  <c r="CH340" i="5" s="1"/>
  <c r="CH319" i="5"/>
  <c r="CO319" i="5" s="1"/>
  <c r="BM191" i="5"/>
  <c r="BX214" i="5"/>
  <c r="BQ214" i="5"/>
  <c r="CC288" i="5"/>
  <c r="CF234" i="5" l="1"/>
  <c r="BY234" i="5"/>
  <c r="CU317" i="5"/>
  <c r="CU157" i="5"/>
  <c r="CN288" i="5"/>
  <c r="CG288" i="5"/>
  <c r="CC283" i="5"/>
  <c r="BX191" i="5"/>
  <c r="BQ191" i="5"/>
  <c r="BD385" i="5"/>
  <c r="BP109" i="5"/>
  <c r="BP385" i="5" s="1"/>
  <c r="BQ160" i="5"/>
  <c r="BX160" i="5"/>
  <c r="BM109" i="5"/>
  <c r="BQ200" i="5"/>
  <c r="BX200" i="5"/>
  <c r="BI283" i="5"/>
  <c r="BI317" i="5" s="1"/>
  <c r="BP283" i="5"/>
  <c r="BH283" i="5"/>
  <c r="BH317" i="5" s="1"/>
  <c r="BD258" i="5"/>
  <c r="BD317" i="5"/>
  <c r="BP317" i="5" s="1"/>
  <c r="AU258" i="5"/>
  <c r="AU157" i="5" s="1"/>
  <c r="AU317" i="5"/>
  <c r="BQ283" i="5"/>
  <c r="BX283" i="5"/>
  <c r="BM258" i="5"/>
  <c r="BM317" i="5"/>
  <c r="BY111" i="5"/>
  <c r="CF111" i="5"/>
  <c r="BU225" i="5"/>
  <c r="BU205" i="5"/>
  <c r="BU238" i="5"/>
  <c r="BU207" i="5"/>
  <c r="BU193" i="5"/>
  <c r="BU226" i="5"/>
  <c r="BU198" i="5"/>
  <c r="BU185" i="5"/>
  <c r="BU222" i="5"/>
  <c r="BU215" i="5"/>
  <c r="BU206" i="5"/>
  <c r="BU158" i="5"/>
  <c r="BU210" i="5"/>
  <c r="BU218" i="5"/>
  <c r="BU175" i="5"/>
  <c r="BU217" i="5"/>
  <c r="BU178" i="5"/>
  <c r="BU229" i="5"/>
  <c r="BU237" i="5"/>
  <c r="BU202" i="5"/>
  <c r="BU188" i="5"/>
  <c r="BU208" i="5"/>
  <c r="BU190" i="5"/>
  <c r="BU203" i="5"/>
  <c r="BU172" i="5"/>
  <c r="BU236" i="5"/>
  <c r="BU204" i="5"/>
  <c r="BU220" i="5"/>
  <c r="BU164" i="5"/>
  <c r="BU192" i="5"/>
  <c r="BU173" i="5"/>
  <c r="BU216" i="5"/>
  <c r="BU213" i="5"/>
  <c r="BU224" i="5"/>
  <c r="BU165" i="5"/>
  <c r="BU183" i="5"/>
  <c r="BU239" i="5"/>
  <c r="BU167" i="5"/>
  <c r="BU231" i="5"/>
  <c r="BU182" i="5"/>
  <c r="BU184" i="5"/>
  <c r="BU163" i="5"/>
  <c r="BU187" i="5"/>
  <c r="BU227" i="5"/>
  <c r="BU223" i="5"/>
  <c r="BU186" i="5"/>
  <c r="BU195" i="5"/>
  <c r="BU170" i="5"/>
  <c r="BU228" i="5"/>
  <c r="BU221" i="5"/>
  <c r="CU109" i="5"/>
  <c r="BY283" i="5"/>
  <c r="CF283" i="5"/>
  <c r="BU258" i="5"/>
  <c r="CF170" i="5" l="1"/>
  <c r="BY170" i="5"/>
  <c r="BU240" i="5"/>
  <c r="CF227" i="5"/>
  <c r="BY227" i="5"/>
  <c r="CF182" i="5"/>
  <c r="BU181" i="5"/>
  <c r="BY182" i="5"/>
  <c r="BY183" i="5"/>
  <c r="CF183" i="5"/>
  <c r="CF216" i="5"/>
  <c r="BY216" i="5"/>
  <c r="BY220" i="5"/>
  <c r="CF220" i="5"/>
  <c r="BU219" i="5"/>
  <c r="BY203" i="5"/>
  <c r="CF203" i="5"/>
  <c r="BY202" i="5"/>
  <c r="BU201" i="5"/>
  <c r="CF202" i="5"/>
  <c r="CF217" i="5"/>
  <c r="BY217" i="5"/>
  <c r="BU317" i="5"/>
  <c r="BU157" i="5"/>
  <c r="BY158" i="5"/>
  <c r="CC115" i="5"/>
  <c r="CF158" i="5"/>
  <c r="CC112" i="5"/>
  <c r="CF185" i="5"/>
  <c r="BY185" i="5"/>
  <c r="CF207" i="5"/>
  <c r="BY207" i="5"/>
  <c r="AU318" i="5"/>
  <c r="AU156" i="5" s="1"/>
  <c r="AU340" i="5" s="1"/>
  <c r="AU346" i="5" s="1"/>
  <c r="AU350" i="5" s="1"/>
  <c r="BM385" i="5"/>
  <c r="BQ109" i="5"/>
  <c r="BQ385" i="5" s="1"/>
  <c r="BX109" i="5"/>
  <c r="BX385" i="5" s="1"/>
  <c r="BU199" i="5"/>
  <c r="CF195" i="5"/>
  <c r="BU194" i="5"/>
  <c r="BU191" i="5" s="1"/>
  <c r="BY195" i="5"/>
  <c r="BU196" i="5"/>
  <c r="CF187" i="5"/>
  <c r="BY187" i="5"/>
  <c r="BU230" i="5"/>
  <c r="CF231" i="5"/>
  <c r="BU235" i="5"/>
  <c r="BY231" i="5"/>
  <c r="BY165" i="5"/>
  <c r="CF165" i="5"/>
  <c r="BY173" i="5"/>
  <c r="CF173" i="5"/>
  <c r="BY204" i="5"/>
  <c r="CF204" i="5"/>
  <c r="BY190" i="5"/>
  <c r="CF190" i="5"/>
  <c r="BY237" i="5"/>
  <c r="CF237" i="5"/>
  <c r="BU174" i="5"/>
  <c r="BU180" i="5" s="1"/>
  <c r="CF175" i="5"/>
  <c r="BU179" i="5"/>
  <c r="BY175" i="5"/>
  <c r="BY206" i="5"/>
  <c r="CF206" i="5"/>
  <c r="CF198" i="5"/>
  <c r="BY198" i="5"/>
  <c r="BY238" i="5"/>
  <c r="CF238" i="5"/>
  <c r="BY258" i="5"/>
  <c r="CF221" i="5"/>
  <c r="BY221" i="5"/>
  <c r="CF186" i="5"/>
  <c r="BY186" i="5"/>
  <c r="CF163" i="5"/>
  <c r="BY163" i="5"/>
  <c r="BU161" i="5"/>
  <c r="BU171" i="5"/>
  <c r="BY167" i="5"/>
  <c r="CF167" i="5"/>
  <c r="BU166" i="5"/>
  <c r="BU168" i="5"/>
  <c r="CF224" i="5"/>
  <c r="BY224" i="5"/>
  <c r="BY192" i="5"/>
  <c r="CF192" i="5"/>
  <c r="BY236" i="5"/>
  <c r="CF236" i="5"/>
  <c r="CF208" i="5"/>
  <c r="BY208" i="5"/>
  <c r="BY229" i="5"/>
  <c r="CF229" i="5"/>
  <c r="CF218" i="5"/>
  <c r="BY218" i="5"/>
  <c r="BY215" i="5"/>
  <c r="CF215" i="5"/>
  <c r="BY226" i="5"/>
  <c r="CF226" i="5"/>
  <c r="CF205" i="5"/>
  <c r="BY205" i="5"/>
  <c r="BQ317" i="5"/>
  <c r="BX317" i="5"/>
  <c r="BD323" i="5"/>
  <c r="BP258" i="5"/>
  <c r="BH258" i="5"/>
  <c r="BI258" i="5"/>
  <c r="BG258" i="5"/>
  <c r="BD157" i="5"/>
  <c r="CU318" i="5"/>
  <c r="CU156" i="5" s="1"/>
  <c r="CU340" i="5" s="1"/>
  <c r="CU346" i="5" s="1"/>
  <c r="CF228" i="5"/>
  <c r="BY228" i="5"/>
  <c r="CF223" i="5"/>
  <c r="BY223" i="5"/>
  <c r="BY184" i="5"/>
  <c r="CF184" i="5"/>
  <c r="BY239" i="5"/>
  <c r="CF239" i="5"/>
  <c r="BY213" i="5"/>
  <c r="CF213" i="5"/>
  <c r="BY164" i="5"/>
  <c r="CF164" i="5"/>
  <c r="BY172" i="5"/>
  <c r="CF172" i="5"/>
  <c r="BY188" i="5"/>
  <c r="CF188" i="5"/>
  <c r="BY178" i="5"/>
  <c r="CF178" i="5"/>
  <c r="CF210" i="5"/>
  <c r="BU209" i="5"/>
  <c r="BU214" i="5"/>
  <c r="BY210" i="5"/>
  <c r="BU211" i="5"/>
  <c r="CF222" i="5"/>
  <c r="BY222" i="5"/>
  <c r="BY193" i="5"/>
  <c r="CF193" i="5"/>
  <c r="CF225" i="5"/>
  <c r="BY225" i="5"/>
  <c r="BX258" i="5"/>
  <c r="BQ258" i="5"/>
  <c r="BM157" i="5"/>
  <c r="CG283" i="5"/>
  <c r="CN283" i="5"/>
  <c r="CC258" i="5"/>
  <c r="CF258" i="5" s="1"/>
  <c r="CK288" i="5"/>
  <c r="CU350" i="5" l="1"/>
  <c r="CF180" i="5"/>
  <c r="BY180" i="5"/>
  <c r="CF214" i="5"/>
  <c r="BY214" i="5"/>
  <c r="BD318" i="5"/>
  <c r="BD156" i="5" s="1"/>
  <c r="BI157" i="5"/>
  <c r="BP157" i="5"/>
  <c r="BH157" i="5"/>
  <c r="BG157" i="5"/>
  <c r="CF168" i="5"/>
  <c r="BY168" i="5"/>
  <c r="BY171" i="5"/>
  <c r="CF171" i="5"/>
  <c r="BY230" i="5"/>
  <c r="CF230" i="5"/>
  <c r="CF196" i="5"/>
  <c r="BY196" i="5"/>
  <c r="CG115" i="5"/>
  <c r="CN115" i="5"/>
  <c r="CC111" i="5"/>
  <c r="CO288" i="5"/>
  <c r="CT288" i="5" s="1"/>
  <c r="CK283" i="5"/>
  <c r="BM318" i="5"/>
  <c r="BM156" i="5" s="1"/>
  <c r="BQ157" i="5"/>
  <c r="BX157" i="5"/>
  <c r="BY211" i="5"/>
  <c r="CF211" i="5"/>
  <c r="BY209" i="5"/>
  <c r="CF209" i="5"/>
  <c r="BI323" i="5"/>
  <c r="CU323" i="5" a="1"/>
  <c r="CU323" i="5" s="1"/>
  <c r="BP323" i="5"/>
  <c r="BH323" i="5"/>
  <c r="CF166" i="5"/>
  <c r="BY166" i="5"/>
  <c r="CF179" i="5"/>
  <c r="BY179" i="5"/>
  <c r="BY199" i="5"/>
  <c r="CF199" i="5"/>
  <c r="CN112" i="5"/>
  <c r="CG112" i="5"/>
  <c r="BU200" i="5"/>
  <c r="BY201" i="5"/>
  <c r="CF201" i="5"/>
  <c r="CG258" i="5"/>
  <c r="BY161" i="5"/>
  <c r="CF161" i="5"/>
  <c r="BU160" i="5"/>
  <c r="CF235" i="5"/>
  <c r="BY235" i="5"/>
  <c r="BY194" i="5"/>
  <c r="CF194" i="5"/>
  <c r="BU318" i="5"/>
  <c r="BU156" i="5" s="1"/>
  <c r="BY157" i="5"/>
  <c r="CF157" i="5"/>
  <c r="CF219" i="5"/>
  <c r="BY219" i="5"/>
  <c r="CF181" i="5"/>
  <c r="BY181" i="5"/>
  <c r="CF191" i="5"/>
  <c r="BY191" i="5"/>
  <c r="BY174" i="5"/>
  <c r="CF174" i="5"/>
  <c r="BY317" i="5"/>
  <c r="CF317" i="5"/>
  <c r="BY240" i="5"/>
  <c r="CF240" i="5"/>
  <c r="BD340" i="5" l="1"/>
  <c r="BI156" i="5"/>
  <c r="BP156" i="5"/>
  <c r="BH156" i="5"/>
  <c r="BG156" i="5"/>
  <c r="BU340" i="5"/>
  <c r="BY156" i="5"/>
  <c r="CF156" i="5"/>
  <c r="BM340" i="5"/>
  <c r="BQ156" i="5"/>
  <c r="BX156" i="5"/>
  <c r="CG111" i="5"/>
  <c r="CN111" i="5"/>
  <c r="CC234" i="5"/>
  <c r="CC216" i="5"/>
  <c r="CC185" i="5"/>
  <c r="CC207" i="5"/>
  <c r="CC195" i="5"/>
  <c r="CC173" i="5"/>
  <c r="CC204" i="5"/>
  <c r="CC190" i="5"/>
  <c r="CC186" i="5"/>
  <c r="CC163" i="5"/>
  <c r="CC228" i="5"/>
  <c r="CC172" i="5"/>
  <c r="CC210" i="5"/>
  <c r="CC222" i="5"/>
  <c r="CC193" i="5"/>
  <c r="CC183" i="5"/>
  <c r="CC158" i="5"/>
  <c r="CC187" i="5"/>
  <c r="CC165" i="5"/>
  <c r="CC237" i="5"/>
  <c r="CC198" i="5"/>
  <c r="CC224" i="5"/>
  <c r="CC218" i="5"/>
  <c r="CC184" i="5"/>
  <c r="CC239" i="5"/>
  <c r="CC170" i="5"/>
  <c r="CC227" i="5"/>
  <c r="CC182" i="5"/>
  <c r="CC220" i="5"/>
  <c r="CC217" i="5"/>
  <c r="CC231" i="5"/>
  <c r="CC206" i="5"/>
  <c r="CC221" i="5"/>
  <c r="CC167" i="5"/>
  <c r="CC192" i="5"/>
  <c r="CC229" i="5"/>
  <c r="CC226" i="5"/>
  <c r="CC205" i="5"/>
  <c r="CC213" i="5"/>
  <c r="CC164" i="5"/>
  <c r="CC178" i="5"/>
  <c r="CC225" i="5"/>
  <c r="CC203" i="5"/>
  <c r="CC202" i="5"/>
  <c r="CC175" i="5"/>
  <c r="CC238" i="5"/>
  <c r="CC236" i="5"/>
  <c r="CC208" i="5"/>
  <c r="CC215" i="5"/>
  <c r="CC223" i="5"/>
  <c r="CC188" i="5"/>
  <c r="BI318" i="5"/>
  <c r="BP318" i="5"/>
  <c r="BH318" i="5"/>
  <c r="CF318" i="5"/>
  <c r="BY318" i="5"/>
  <c r="BY200" i="5"/>
  <c r="CF200" i="5"/>
  <c r="BX318" i="5"/>
  <c r="BQ318" i="5"/>
  <c r="BY160" i="5"/>
  <c r="CF160" i="5"/>
  <c r="BU109" i="5"/>
  <c r="CO283" i="5"/>
  <c r="CT283" i="5" s="1"/>
  <c r="CK258" i="5"/>
  <c r="BU385" i="5" l="1"/>
  <c r="BY109" i="5"/>
  <c r="BY385" i="5" s="1"/>
  <c r="CF109" i="5"/>
  <c r="CF385" i="5" s="1"/>
  <c r="CG188" i="5"/>
  <c r="CN188" i="5"/>
  <c r="CG236" i="5"/>
  <c r="CN236" i="5"/>
  <c r="CG203" i="5"/>
  <c r="CN203" i="5"/>
  <c r="CG213" i="5"/>
  <c r="CN213" i="5"/>
  <c r="CG192" i="5"/>
  <c r="CN192" i="5"/>
  <c r="CC230" i="5"/>
  <c r="CN231" i="5"/>
  <c r="CC235" i="5"/>
  <c r="CG231" i="5"/>
  <c r="CC240" i="5"/>
  <c r="CN227" i="5"/>
  <c r="CG227" i="5"/>
  <c r="CN218" i="5"/>
  <c r="CG218" i="5"/>
  <c r="CG165" i="5"/>
  <c r="CN165" i="5"/>
  <c r="CG193" i="5"/>
  <c r="CN193" i="5"/>
  <c r="CN228" i="5"/>
  <c r="CG228" i="5"/>
  <c r="CG204" i="5"/>
  <c r="CN204" i="5"/>
  <c r="CN185" i="5"/>
  <c r="CG185" i="5"/>
  <c r="CN223" i="5"/>
  <c r="CG223" i="5"/>
  <c r="CG238" i="5"/>
  <c r="CN238" i="5"/>
  <c r="CN225" i="5"/>
  <c r="CG225" i="5"/>
  <c r="CN205" i="5"/>
  <c r="CG205" i="5"/>
  <c r="CC171" i="5"/>
  <c r="CG167" i="5"/>
  <c r="CC166" i="5"/>
  <c r="CN167" i="5"/>
  <c r="CC168" i="5"/>
  <c r="CN217" i="5"/>
  <c r="CG217" i="5"/>
  <c r="CN170" i="5"/>
  <c r="CG170" i="5"/>
  <c r="CN224" i="5"/>
  <c r="CG224" i="5"/>
  <c r="CN187" i="5"/>
  <c r="CG187" i="5"/>
  <c r="CN222" i="5"/>
  <c r="CG222" i="5"/>
  <c r="CN163" i="5"/>
  <c r="CG163" i="5"/>
  <c r="CC161" i="5"/>
  <c r="CG173" i="5"/>
  <c r="CN173" i="5"/>
  <c r="CN216" i="5"/>
  <c r="CG216" i="5"/>
  <c r="CO258" i="5"/>
  <c r="CN258" i="5"/>
  <c r="CG215" i="5"/>
  <c r="CN215" i="5"/>
  <c r="CC174" i="5"/>
  <c r="CN175" i="5"/>
  <c r="CG175" i="5"/>
  <c r="CC179" i="5"/>
  <c r="CG178" i="5"/>
  <c r="CN178" i="5"/>
  <c r="CG226" i="5"/>
  <c r="CN226" i="5"/>
  <c r="CN221" i="5"/>
  <c r="CG221" i="5"/>
  <c r="CG220" i="5"/>
  <c r="CN220" i="5"/>
  <c r="CC219" i="5"/>
  <c r="CG239" i="5"/>
  <c r="CN239" i="5"/>
  <c r="CN198" i="5"/>
  <c r="CG198" i="5"/>
  <c r="CC317" i="5"/>
  <c r="CC157" i="5"/>
  <c r="CG158" i="5"/>
  <c r="CK115" i="5"/>
  <c r="CN158" i="5"/>
  <c r="CK112" i="5"/>
  <c r="CO112" i="5" s="1"/>
  <c r="CN210" i="5"/>
  <c r="CC209" i="5"/>
  <c r="CG210" i="5"/>
  <c r="CC214" i="5"/>
  <c r="CC211" i="5"/>
  <c r="CN186" i="5"/>
  <c r="CG186" i="5"/>
  <c r="CC199" i="5"/>
  <c r="CN195" i="5"/>
  <c r="CC194" i="5"/>
  <c r="CG195" i="5"/>
  <c r="CC196" i="5"/>
  <c r="CN234" i="5"/>
  <c r="CG234" i="5"/>
  <c r="CF340" i="5"/>
  <c r="BY340" i="5"/>
  <c r="BU346" i="5"/>
  <c r="CN208" i="5"/>
  <c r="CG208" i="5"/>
  <c r="CG202" i="5"/>
  <c r="CC201" i="5"/>
  <c r="CN202" i="5"/>
  <c r="CG164" i="5"/>
  <c r="CN164" i="5"/>
  <c r="CG229" i="5"/>
  <c r="CN229" i="5"/>
  <c r="CG206" i="5"/>
  <c r="CN206" i="5"/>
  <c r="CN182" i="5"/>
  <c r="CG182" i="5"/>
  <c r="CC181" i="5"/>
  <c r="CG184" i="5"/>
  <c r="CN184" i="5"/>
  <c r="CG237" i="5"/>
  <c r="CN237" i="5"/>
  <c r="CG183" i="5"/>
  <c r="CN183" i="5"/>
  <c r="CG172" i="5"/>
  <c r="CN172" i="5"/>
  <c r="CG190" i="5"/>
  <c r="CN190" i="5"/>
  <c r="CN207" i="5"/>
  <c r="CG207" i="5"/>
  <c r="BX340" i="5"/>
  <c r="BQ340" i="5"/>
  <c r="BM346" i="5"/>
  <c r="BP340" i="5"/>
  <c r="BH340" i="5"/>
  <c r="BI340" i="5"/>
  <c r="BD346" i="5"/>
  <c r="BG340" i="5"/>
  <c r="BP346" i="5" l="1"/>
  <c r="BH346" i="5"/>
  <c r="BD350" i="5"/>
  <c r="BD347" i="5"/>
  <c r="BI346" i="5"/>
  <c r="BG346" i="5"/>
  <c r="BM350" i="5"/>
  <c r="BX346" i="5"/>
  <c r="BQ346" i="5"/>
  <c r="CC200" i="5"/>
  <c r="CG201" i="5"/>
  <c r="CN201" i="5"/>
  <c r="CG199" i="5"/>
  <c r="CN199" i="5"/>
  <c r="CG211" i="5"/>
  <c r="CN211" i="5"/>
  <c r="CG209" i="5"/>
  <c r="CN209" i="5"/>
  <c r="CG317" i="5"/>
  <c r="CN317" i="5"/>
  <c r="CN179" i="5"/>
  <c r="CG179" i="5"/>
  <c r="CG174" i="5"/>
  <c r="CN174" i="5"/>
  <c r="CN168" i="5"/>
  <c r="CG168" i="5"/>
  <c r="CG171" i="5"/>
  <c r="CN171" i="5"/>
  <c r="CG230" i="5"/>
  <c r="CN230" i="5"/>
  <c r="BU350" i="5"/>
  <c r="CF346" i="5"/>
  <c r="BY346" i="5"/>
  <c r="CG194" i="5"/>
  <c r="CN194" i="5"/>
  <c r="CO115" i="5"/>
  <c r="CK111" i="5"/>
  <c r="CG161" i="5"/>
  <c r="CN161" i="5"/>
  <c r="CC160" i="5"/>
  <c r="CN181" i="5"/>
  <c r="CG181" i="5"/>
  <c r="CN214" i="5"/>
  <c r="CG214" i="5"/>
  <c r="CC180" i="5"/>
  <c r="CN166" i="5"/>
  <c r="CG166" i="5"/>
  <c r="CN235" i="5"/>
  <c r="CG235" i="5"/>
  <c r="CN196" i="5"/>
  <c r="CG196" i="5"/>
  <c r="CC318" i="5"/>
  <c r="CC156" i="5" s="1"/>
  <c r="CG157" i="5"/>
  <c r="CN157" i="5"/>
  <c r="CN219" i="5"/>
  <c r="CG219" i="5"/>
  <c r="CG240" i="5"/>
  <c r="CN240" i="5"/>
  <c r="CC191" i="5"/>
  <c r="BD348" i="5" l="1"/>
  <c r="CT348" i="5" s="1"/>
  <c r="CT347" i="5"/>
  <c r="BI348" i="5"/>
  <c r="CC340" i="5"/>
  <c r="CG156" i="5"/>
  <c r="CN156" i="5"/>
  <c r="CN180" i="5"/>
  <c r="CG180" i="5"/>
  <c r="CO111" i="5"/>
  <c r="CK213" i="5"/>
  <c r="CO213" i="5" s="1"/>
  <c r="CK165" i="5"/>
  <c r="CO165" i="5" s="1"/>
  <c r="CK193" i="5"/>
  <c r="CO193" i="5" s="1"/>
  <c r="CK205" i="5"/>
  <c r="CO205" i="5" s="1"/>
  <c r="CK170" i="5"/>
  <c r="CO170" i="5" s="1"/>
  <c r="CK163" i="5"/>
  <c r="CK173" i="5"/>
  <c r="CK215" i="5"/>
  <c r="CO215" i="5" s="1"/>
  <c r="CK178" i="5"/>
  <c r="CO178" i="5" s="1"/>
  <c r="CK158" i="5"/>
  <c r="CK208" i="5"/>
  <c r="CO208" i="5" s="1"/>
  <c r="CK184" i="5"/>
  <c r="CO184" i="5" s="1"/>
  <c r="CK218" i="5"/>
  <c r="CO218" i="5" s="1"/>
  <c r="CK204" i="5"/>
  <c r="CO204" i="5" s="1"/>
  <c r="CK185" i="5"/>
  <c r="CO185" i="5" s="1"/>
  <c r="CK238" i="5"/>
  <c r="CO238" i="5" s="1"/>
  <c r="CK222" i="5"/>
  <c r="CO222" i="5" s="1"/>
  <c r="CK216" i="5"/>
  <c r="CO216" i="5" s="1"/>
  <c r="CK175" i="5"/>
  <c r="CK220" i="5"/>
  <c r="CK198" i="5"/>
  <c r="CO198" i="5" s="1"/>
  <c r="CK195" i="5"/>
  <c r="CK206" i="5"/>
  <c r="CO206" i="5" s="1"/>
  <c r="CK190" i="5"/>
  <c r="CO190" i="5" s="1"/>
  <c r="CK229" i="5"/>
  <c r="CO229" i="5" s="1"/>
  <c r="CK237" i="5"/>
  <c r="CO237" i="5" s="1"/>
  <c r="CK183" i="5"/>
  <c r="CO183" i="5" s="1"/>
  <c r="CK236" i="5"/>
  <c r="CO236" i="5" s="1"/>
  <c r="CK203" i="5"/>
  <c r="CO203" i="5" s="1"/>
  <c r="CK192" i="5"/>
  <c r="CK231" i="5"/>
  <c r="CK227" i="5"/>
  <c r="CK228" i="5"/>
  <c r="CO228" i="5" s="1"/>
  <c r="CK225" i="5"/>
  <c r="CO225" i="5" s="1"/>
  <c r="CK167" i="5"/>
  <c r="CK217" i="5"/>
  <c r="CO217" i="5" s="1"/>
  <c r="CK187" i="5"/>
  <c r="CO187" i="5" s="1"/>
  <c r="CK210" i="5"/>
  <c r="CK186" i="5"/>
  <c r="CO186" i="5" s="1"/>
  <c r="CK234" i="5"/>
  <c r="CO234" i="5" s="1"/>
  <c r="CK188" i="5"/>
  <c r="CO188" i="5" s="1"/>
  <c r="CK223" i="5"/>
  <c r="CO223" i="5" s="1"/>
  <c r="CK224" i="5"/>
  <c r="CO224" i="5" s="1"/>
  <c r="CK226" i="5"/>
  <c r="CO226" i="5" s="1"/>
  <c r="CK221" i="5"/>
  <c r="CO221" i="5" s="1"/>
  <c r="CK239" i="5"/>
  <c r="CO239" i="5" s="1"/>
  <c r="CK164" i="5"/>
  <c r="CO164" i="5" s="1"/>
  <c r="CK207" i="5"/>
  <c r="CO207" i="5" s="1"/>
  <c r="CK202" i="5"/>
  <c r="CK182" i="5"/>
  <c r="CK172" i="5"/>
  <c r="CO172" i="5" s="1"/>
  <c r="CG200" i="5"/>
  <c r="CN200" i="5"/>
  <c r="BQ350" i="5"/>
  <c r="BX350" i="5"/>
  <c r="BI350" i="5"/>
  <c r="BP350" i="5"/>
  <c r="BH350" i="5"/>
  <c r="BG350" i="5"/>
  <c r="CN191" i="5"/>
  <c r="CG191" i="5"/>
  <c r="CN318" i="5"/>
  <c r="CG318" i="5"/>
  <c r="CG160" i="5"/>
  <c r="CN160" i="5"/>
  <c r="CC109" i="5"/>
  <c r="BY350" i="5"/>
  <c r="CF350" i="5"/>
  <c r="BD351" i="5"/>
  <c r="CT351" i="5" s="1"/>
  <c r="BD349" i="5"/>
  <c r="CT349" i="5" s="1"/>
  <c r="CU347" i="5" a="1"/>
  <c r="CU347" i="5" s="1"/>
  <c r="BG347" i="5"/>
  <c r="BI347" i="5"/>
  <c r="BP347" i="5"/>
  <c r="BH347" i="5"/>
  <c r="BD352" i="5" l="1"/>
  <c r="BP352" i="5" s="1"/>
  <c r="BP348" i="5"/>
  <c r="BM347" i="5"/>
  <c r="BX347" i="5" s="1"/>
  <c r="BH348" i="5"/>
  <c r="BG348" i="5"/>
  <c r="CK240" i="5"/>
  <c r="CO240" i="5" s="1"/>
  <c r="CO227" i="5"/>
  <c r="CO220" i="5"/>
  <c r="CK219" i="5"/>
  <c r="CO219" i="5" s="1"/>
  <c r="CU349" i="5"/>
  <c r="CU351" i="5"/>
  <c r="CU353" i="5" s="1"/>
  <c r="CU348" i="5"/>
  <c r="CU352" i="5" s="1"/>
  <c r="CK171" i="5"/>
  <c r="CO171" i="5" s="1"/>
  <c r="CO167" i="5"/>
  <c r="CK166" i="5"/>
  <c r="CO166" i="5" s="1"/>
  <c r="CK168" i="5"/>
  <c r="CO168" i="5" s="1"/>
  <c r="CK230" i="5"/>
  <c r="CO230" i="5" s="1"/>
  <c r="CK235" i="5"/>
  <c r="CO235" i="5" s="1"/>
  <c r="CO231" i="5"/>
  <c r="CK174" i="5"/>
  <c r="CO174" i="5" s="1"/>
  <c r="CK179" i="5"/>
  <c r="CO179" i="5" s="1"/>
  <c r="CO175" i="5"/>
  <c r="CO173" i="5"/>
  <c r="CK180" i="5"/>
  <c r="CO180" i="5" s="1"/>
  <c r="CN340" i="5"/>
  <c r="CG340" i="5"/>
  <c r="CC346" i="5"/>
  <c r="BG352" i="5"/>
  <c r="BI349" i="5"/>
  <c r="BP349" i="5"/>
  <c r="BH349" i="5"/>
  <c r="BG349" i="5"/>
  <c r="CC385" i="5"/>
  <c r="CG109" i="5"/>
  <c r="CG385" i="5" s="1"/>
  <c r="CN109" i="5"/>
  <c r="CN385" i="5" s="1"/>
  <c r="CK181" i="5"/>
  <c r="CO181" i="5" s="1"/>
  <c r="CO182" i="5"/>
  <c r="CK209" i="5"/>
  <c r="CO209" i="5" s="1"/>
  <c r="CK214" i="5"/>
  <c r="CO214" i="5" s="1"/>
  <c r="CO210" i="5"/>
  <c r="CK211" i="5"/>
  <c r="CO211" i="5" s="1"/>
  <c r="CO192" i="5"/>
  <c r="CK199" i="5"/>
  <c r="CO199" i="5" s="1"/>
  <c r="CK194" i="5"/>
  <c r="CO194" i="5" s="1"/>
  <c r="CO195" i="5"/>
  <c r="CK196" i="5"/>
  <c r="CO196" i="5" s="1"/>
  <c r="CK317" i="5"/>
  <c r="CO317" i="5" s="1"/>
  <c r="CK157" i="5"/>
  <c r="CO158" i="5"/>
  <c r="CK161" i="5"/>
  <c r="CO163" i="5"/>
  <c r="BM349" i="5"/>
  <c r="BM348" i="5"/>
  <c r="BP351" i="5"/>
  <c r="BH351" i="5"/>
  <c r="BD353" i="5"/>
  <c r="CT353" i="5" s="1"/>
  <c r="BI351" i="5"/>
  <c r="BG351" i="5"/>
  <c r="CO202" i="5"/>
  <c r="CK201" i="5"/>
  <c r="BQ347" i="5" l="1"/>
  <c r="BH352" i="5"/>
  <c r="CT352" i="5"/>
  <c r="BM351" i="5"/>
  <c r="BM353" i="5" s="1"/>
  <c r="BI352" i="5"/>
  <c r="BM352" i="5"/>
  <c r="BU347" i="5"/>
  <c r="BQ348" i="5"/>
  <c r="BX348" i="5"/>
  <c r="BQ349" i="5"/>
  <c r="BX349" i="5"/>
  <c r="CK318" i="5"/>
  <c r="CO318" i="5" s="1"/>
  <c r="CO157" i="5"/>
  <c r="CK200" i="5"/>
  <c r="CO200" i="5" s="1"/>
  <c r="CO201" i="5"/>
  <c r="BI353" i="5"/>
  <c r="BH353" i="5"/>
  <c r="BP353" i="5"/>
  <c r="BG353" i="5"/>
  <c r="CC350" i="5"/>
  <c r="CN346" i="5"/>
  <c r="CG346" i="5"/>
  <c r="CO161" i="5"/>
  <c r="CK160" i="5"/>
  <c r="CK191" i="5"/>
  <c r="CO191" i="5" s="1"/>
  <c r="CK156" i="5" l="1"/>
  <c r="CK340" i="5" s="1"/>
  <c r="BQ351" i="5"/>
  <c r="BX351" i="5"/>
  <c r="CO160" i="5"/>
  <c r="CK109" i="5"/>
  <c r="BQ352" i="5"/>
  <c r="BX352" i="5"/>
  <c r="CG350" i="5"/>
  <c r="CN350" i="5"/>
  <c r="BU349" i="5"/>
  <c r="BU351" i="5"/>
  <c r="BY347" i="5"/>
  <c r="CF347" i="5"/>
  <c r="BU348" i="5"/>
  <c r="BQ353" i="5"/>
  <c r="BX353" i="5"/>
  <c r="CO156" i="5" l="1"/>
  <c r="CO340" i="5"/>
  <c r="CK346" i="5"/>
  <c r="BU353" i="5"/>
  <c r="CF351" i="5"/>
  <c r="BY351" i="5"/>
  <c r="CK385" i="5"/>
  <c r="CO109" i="5"/>
  <c r="CO385" i="5" s="1"/>
  <c r="BU352" i="5"/>
  <c r="CC347" i="5"/>
  <c r="BY348" i="5"/>
  <c r="CF348" i="5"/>
  <c r="BY349" i="5"/>
  <c r="CF349" i="5"/>
  <c r="BY352" i="5" l="1"/>
  <c r="CF352" i="5"/>
  <c r="BY353" i="5"/>
  <c r="CF353" i="5"/>
  <c r="CK350" i="5"/>
  <c r="CO350" i="5" s="1"/>
  <c r="CO346" i="5"/>
  <c r="CC349" i="5"/>
  <c r="CC351" i="5"/>
  <c r="CG347" i="5"/>
  <c r="CN347" i="5"/>
  <c r="CC348" i="5"/>
  <c r="CC353" i="5" l="1"/>
  <c r="CN351" i="5"/>
  <c r="CG351" i="5"/>
  <c r="CC352" i="5"/>
  <c r="CK347" i="5"/>
  <c r="CG348" i="5"/>
  <c r="CN348" i="5"/>
  <c r="CG349" i="5"/>
  <c r="CN349" i="5"/>
  <c r="CG352" i="5" l="1"/>
  <c r="CN352" i="5"/>
  <c r="CK349" i="5"/>
  <c r="CO349" i="5" s="1"/>
  <c r="CK351" i="5"/>
  <c r="CO347" i="5"/>
  <c r="CK348" i="5"/>
  <c r="CG353" i="5"/>
  <c r="CN353" i="5"/>
  <c r="CK353" i="5" l="1"/>
  <c r="CO353" i="5" s="1"/>
  <c r="CO351" i="5"/>
  <c r="CK352" i="5"/>
  <c r="CO352" i="5" s="1"/>
  <c r="CO348" i="5"/>
  <c r="AK390" i="4" l="1"/>
  <c r="AJ390" i="4"/>
  <c r="AI390" i="4"/>
  <c r="AH390" i="4"/>
  <c r="AG390" i="4"/>
  <c r="AK389" i="4"/>
  <c r="AJ389" i="4"/>
  <c r="AI389" i="4"/>
  <c r="AH389" i="4"/>
  <c r="AG389" i="4"/>
  <c r="BE371" i="4"/>
  <c r="AA371" i="4"/>
  <c r="B371" i="4"/>
  <c r="AY349" i="4"/>
  <c r="AR349" i="4"/>
  <c r="AI349" i="4"/>
  <c r="AU348" i="4" a="1"/>
  <c r="AU348" i="4" s="1"/>
  <c r="AN348" i="4" a="1"/>
  <c r="AN348" i="4" s="1"/>
  <c r="BF347" i="4"/>
  <c r="BF349" i="4" s="1"/>
  <c r="BF347" i="4" a="1"/>
  <c r="AU347" i="4" a="1"/>
  <c r="AU347" i="4" s="1"/>
  <c r="AN347" i="4"/>
  <c r="AN349" i="4" s="1"/>
  <c r="AN347" i="4" a="1"/>
  <c r="G345" i="4" a="1"/>
  <c r="G345" i="4" s="1"/>
  <c r="B345" i="4"/>
  <c r="B345" i="4" a="1"/>
  <c r="A345" i="4"/>
  <c r="G344" i="4"/>
  <c r="G344" i="4" a="1"/>
  <c r="B344" i="4" a="1"/>
  <c r="A344" i="4"/>
  <c r="G343" i="4"/>
  <c r="G343" i="4" a="1"/>
  <c r="G342" i="4" a="1"/>
  <c r="G342" i="4" s="1"/>
  <c r="G341" i="4" a="1"/>
  <c r="G341" i="4" s="1"/>
  <c r="AE340" i="4"/>
  <c r="AD340" i="4"/>
  <c r="BF339" i="4"/>
  <c r="BF339" i="4" a="1"/>
  <c r="AY339" i="4" a="1"/>
  <c r="AY339" i="4" s="1"/>
  <c r="AU339" i="4"/>
  <c r="AU339" i="4" a="1"/>
  <c r="AR339" i="4" a="1"/>
  <c r="AR339" i="4" s="1"/>
  <c r="AN339" i="4"/>
  <c r="AN339" i="4" a="1"/>
  <c r="AI339" i="4" a="1"/>
  <c r="AI339" i="4" s="1"/>
  <c r="BE339" i="4" s="1"/>
  <c r="BF338" i="4"/>
  <c r="BF338" i="4" a="1"/>
  <c r="AY338" i="4" a="1"/>
  <c r="AY338" i="4" s="1"/>
  <c r="AU338" i="4"/>
  <c r="AU338" i="4" a="1"/>
  <c r="AR338" i="4" a="1"/>
  <c r="AR338" i="4" s="1"/>
  <c r="AN338" i="4" a="1"/>
  <c r="AN338" i="4" s="1"/>
  <c r="BE338" i="4" s="1"/>
  <c r="AI338" i="4" a="1"/>
  <c r="AI338" i="4" s="1"/>
  <c r="BF336" i="4" a="1"/>
  <c r="BF336" i="4" s="1"/>
  <c r="BE336" i="4"/>
  <c r="AY336" i="4"/>
  <c r="AY336" i="4" a="1"/>
  <c r="AU336" i="4" a="1"/>
  <c r="AU336" i="4" s="1"/>
  <c r="AN336" i="4"/>
  <c r="AN336" i="4" a="1"/>
  <c r="AI336" i="4" a="1"/>
  <c r="AI336" i="4" s="1"/>
  <c r="BF335" i="4" a="1"/>
  <c r="BF335" i="4" s="1"/>
  <c r="AY335" i="4" a="1"/>
  <c r="AY335" i="4" s="1"/>
  <c r="AU335" i="4"/>
  <c r="AU335" i="4" a="1"/>
  <c r="AR335" i="4" a="1"/>
  <c r="AR335" i="4" s="1"/>
  <c r="AN335" i="4"/>
  <c r="AN335" i="4" a="1"/>
  <c r="AI335" i="4" a="1"/>
  <c r="AI335" i="4" s="1"/>
  <c r="BE335" i="4" s="1"/>
  <c r="BF334" i="4" a="1"/>
  <c r="BF334" i="4" s="1"/>
  <c r="AY334" i="4" a="1"/>
  <c r="AY334" i="4" s="1"/>
  <c r="AU334" i="4"/>
  <c r="AU334" i="4" a="1"/>
  <c r="AN334" i="4" a="1"/>
  <c r="AN334" i="4" s="1"/>
  <c r="AI334" i="4"/>
  <c r="AI334" i="4" a="1"/>
  <c r="A331" i="4" a="1"/>
  <c r="B330" i="4" a="1"/>
  <c r="A330" i="4"/>
  <c r="BF329" i="4"/>
  <c r="BF329" i="4" a="1"/>
  <c r="BE329" i="4"/>
  <c r="AU329" i="4" a="1"/>
  <c r="AU329" i="4" s="1"/>
  <c r="AN329" i="4" a="1"/>
  <c r="AN329" i="4" s="1"/>
  <c r="A329" i="4"/>
  <c r="B329" i="4" s="1" a="1"/>
  <c r="BF328" i="4" a="1"/>
  <c r="BF328" i="4" s="1"/>
  <c r="AY328" i="4"/>
  <c r="AY328" i="4" a="1"/>
  <c r="AU328" i="4"/>
  <c r="AU328" i="4" a="1"/>
  <c r="AN328" i="4"/>
  <c r="BE328" i="4" s="1"/>
  <c r="AN328" i="4" a="1"/>
  <c r="BF327" i="4" a="1"/>
  <c r="BF327" i="4" s="1"/>
  <c r="AY327" i="4"/>
  <c r="AY320" i="4" s="1"/>
  <c r="AY327" i="4" a="1"/>
  <c r="AU327" i="4"/>
  <c r="AU327" i="4" a="1"/>
  <c r="AN327" i="4"/>
  <c r="BE327" i="4" s="1"/>
  <c r="AN327" i="4" a="1"/>
  <c r="BF326" i="4" a="1"/>
  <c r="BF326" i="4" s="1"/>
  <c r="AY326" i="4"/>
  <c r="AY326" i="4" a="1"/>
  <c r="AU326" i="4"/>
  <c r="AU326" i="4" a="1"/>
  <c r="AR326" i="4"/>
  <c r="AR326" i="4" a="1"/>
  <c r="AN326" i="4"/>
  <c r="AN326" i="4" a="1"/>
  <c r="AI326" i="4"/>
  <c r="BE326" i="4" s="1"/>
  <c r="AI326" i="4" a="1"/>
  <c r="BF325" i="4" a="1"/>
  <c r="BF325" i="4" s="1"/>
  <c r="AY325" i="4"/>
  <c r="AY325" i="4" a="1"/>
  <c r="AU325" i="4"/>
  <c r="AU325" i="4" a="1"/>
  <c r="AR325" i="4"/>
  <c r="AR325" i="4" a="1"/>
  <c r="AN325" i="4"/>
  <c r="AN325" i="4" a="1"/>
  <c r="AI325" i="4"/>
  <c r="AI325" i="4" a="1"/>
  <c r="BF324" i="4" a="1"/>
  <c r="BF324" i="4" s="1"/>
  <c r="AY324" i="4"/>
  <c r="AY324" i="4" a="1"/>
  <c r="AU324" i="4"/>
  <c r="AU324" i="4" a="1"/>
  <c r="AN324" i="4"/>
  <c r="AN324" i="4" a="1"/>
  <c r="AI324" i="4"/>
  <c r="BE324" i="4" s="1"/>
  <c r="AI324" i="4" a="1"/>
  <c r="BF323" i="4" a="1"/>
  <c r="BF323" i="4" s="1"/>
  <c r="AY323" i="4"/>
  <c r="AY323" i="4" a="1"/>
  <c r="AU323" i="4"/>
  <c r="AU323" i="4" a="1"/>
  <c r="AR323" i="4"/>
  <c r="AR323" i="4" a="1"/>
  <c r="AN323" i="4"/>
  <c r="AN323" i="4" a="1"/>
  <c r="AI323" i="4"/>
  <c r="AI323" i="4" a="1"/>
  <c r="AY322" i="4" a="1"/>
  <c r="AY322" i="4" s="1"/>
  <c r="AU322" i="4" a="1"/>
  <c r="AU322" i="4" s="1"/>
  <c r="AR322" i="4" a="1"/>
  <c r="AR322" i="4" s="1"/>
  <c r="AN322" i="4" a="1"/>
  <c r="AN322" i="4" s="1"/>
  <c r="BE322" i="4" s="1"/>
  <c r="AI322" i="4" a="1"/>
  <c r="AI322" i="4" s="1"/>
  <c r="BF321" i="4"/>
  <c r="BF321" i="4" a="1"/>
  <c r="AY321" i="4" a="1"/>
  <c r="AY321" i="4" s="1"/>
  <c r="AU321" i="4" a="1"/>
  <c r="AU321" i="4" s="1"/>
  <c r="AR321" i="4" a="1"/>
  <c r="AR321" i="4" s="1"/>
  <c r="AN321" i="4" a="1"/>
  <c r="AN321" i="4" s="1"/>
  <c r="AI321" i="4" a="1"/>
  <c r="AI321" i="4" s="1"/>
  <c r="BE321" i="4" s="1"/>
  <c r="BF320" i="4"/>
  <c r="AR320" i="4"/>
  <c r="AI320" i="4"/>
  <c r="A320" i="4"/>
  <c r="BF319" i="4" a="1"/>
  <c r="BF319" i="4" s="1"/>
  <c r="AY318" i="4"/>
  <c r="AY318" i="4" a="1"/>
  <c r="AR318" i="4" a="1"/>
  <c r="AR318" i="4" s="1"/>
  <c r="AI318" i="4"/>
  <c r="AI318" i="4" a="1"/>
  <c r="A315" i="4"/>
  <c r="BF314" i="4" a="1"/>
  <c r="BF314" i="4" s="1"/>
  <c r="AU314" i="4"/>
  <c r="AU314" i="4" a="1"/>
  <c r="AN314" i="4"/>
  <c r="BE314" i="4" s="1"/>
  <c r="AN314" i="4" a="1"/>
  <c r="BF313" i="4" a="1"/>
  <c r="BF313" i="4" s="1"/>
  <c r="AY313" i="4"/>
  <c r="AY313" i="4" a="1"/>
  <c r="AU313" i="4"/>
  <c r="AU309" i="4" s="1"/>
  <c r="AU313" i="4" a="1"/>
  <c r="AR313" i="4"/>
  <c r="AR313" i="4" a="1"/>
  <c r="AN313" i="4"/>
  <c r="AN313" i="4" a="1"/>
  <c r="AI313" i="4"/>
  <c r="AI313" i="4" a="1"/>
  <c r="BF312" i="4" a="1"/>
  <c r="BF312" i="4" s="1"/>
  <c r="AY312" i="4"/>
  <c r="AY312" i="4" a="1"/>
  <c r="AU312" i="4"/>
  <c r="AU312" i="4" a="1"/>
  <c r="AR312" i="4" a="1"/>
  <c r="AR312" i="4" s="1"/>
  <c r="AN312" i="4"/>
  <c r="AN312" i="4" a="1"/>
  <c r="AI312" i="4" a="1"/>
  <c r="AI312" i="4" s="1"/>
  <c r="BE312" i="4" s="1"/>
  <c r="BF311" i="4" a="1"/>
  <c r="BF311" i="4" s="1"/>
  <c r="AY311" i="4" a="1"/>
  <c r="AY311" i="4" s="1"/>
  <c r="AY310" i="4" s="1"/>
  <c r="AU311" i="4"/>
  <c r="AU311" i="4" a="1"/>
  <c r="AR311" i="4" a="1"/>
  <c r="AR311" i="4" s="1"/>
  <c r="AR310" i="4" s="1"/>
  <c r="AR309" i="4" s="1"/>
  <c r="AN311" i="4"/>
  <c r="AN310" i="4" s="1"/>
  <c r="AN309" i="4" s="1"/>
  <c r="AN311" i="4" a="1"/>
  <c r="AI311" i="4" a="1"/>
  <c r="AI311" i="4" s="1"/>
  <c r="AU310" i="4"/>
  <c r="AY309" i="4"/>
  <c r="BF307" i="4"/>
  <c r="BF307" i="4" a="1"/>
  <c r="AY307" i="4" a="1"/>
  <c r="AY307" i="4" s="1"/>
  <c r="AR307" i="4" a="1"/>
  <c r="AR307" i="4" s="1"/>
  <c r="AI307" i="4" a="1"/>
  <c r="AI307" i="4" s="1"/>
  <c r="BF306" i="4"/>
  <c r="BF306" i="4" a="1"/>
  <c r="AY306" i="4" a="1"/>
  <c r="AY306" i="4" s="1"/>
  <c r="AR306" i="4" a="1"/>
  <c r="AR306" i="4" s="1"/>
  <c r="AI306" i="4" a="1"/>
  <c r="AI306" i="4" s="1"/>
  <c r="BF305" i="4"/>
  <c r="BF305" i="4" a="1"/>
  <c r="AY305" i="4" a="1"/>
  <c r="AY305" i="4" s="1"/>
  <c r="AR305" i="4" a="1"/>
  <c r="AR305" i="4" s="1"/>
  <c r="AI305" i="4" a="1"/>
  <c r="AI305" i="4" s="1"/>
  <c r="Y305" i="4"/>
  <c r="Y306" i="4" s="1"/>
  <c r="BF304" i="4"/>
  <c r="BF304" i="4" a="1"/>
  <c r="AY304" i="4" a="1"/>
  <c r="AY304" i="4" s="1"/>
  <c r="AU304" i="4" a="1"/>
  <c r="AU304" i="4" s="1"/>
  <c r="AR304" i="4" a="1"/>
  <c r="AR304" i="4" s="1"/>
  <c r="AN304" i="4" a="1"/>
  <c r="AN304" i="4" s="1"/>
  <c r="AI304" i="4" a="1"/>
  <c r="AI304" i="4" s="1"/>
  <c r="BE304" i="4" s="1"/>
  <c r="BF303" i="4"/>
  <c r="BF303" i="4" a="1"/>
  <c r="AU303" i="4"/>
  <c r="AN303" i="4"/>
  <c r="BF301" i="4"/>
  <c r="BF301" i="4" a="1"/>
  <c r="AY301" i="4" a="1"/>
  <c r="AY301" i="4" s="1"/>
  <c r="AU301" i="4" a="1"/>
  <c r="AU301" i="4" s="1"/>
  <c r="AR301" i="4" a="1"/>
  <c r="AR301" i="4" s="1"/>
  <c r="AN301" i="4" a="1"/>
  <c r="AN301" i="4" s="1"/>
  <c r="AI301" i="4" a="1"/>
  <c r="AI301" i="4" s="1"/>
  <c r="BE301" i="4" s="1"/>
  <c r="BF300" i="4" a="1"/>
  <c r="BF300" i="4" s="1"/>
  <c r="AY300" i="4"/>
  <c r="AY300" i="4" a="1"/>
  <c r="AU300" i="4"/>
  <c r="AU300" i="4" a="1"/>
  <c r="AR300" i="4"/>
  <c r="AR300" i="4" a="1"/>
  <c r="AN300" i="4"/>
  <c r="AN300" i="4" a="1"/>
  <c r="AI300" i="4"/>
  <c r="AI300" i="4" a="1"/>
  <c r="BF299" i="4" a="1"/>
  <c r="BF299" i="4" s="1"/>
  <c r="AY299" i="4"/>
  <c r="AY299" i="4" a="1"/>
  <c r="AU299" i="4" a="1"/>
  <c r="AU299" i="4" s="1"/>
  <c r="AR299" i="4"/>
  <c r="AR299" i="4" a="1"/>
  <c r="AN299" i="4" a="1"/>
  <c r="AN299" i="4" s="1"/>
  <c r="AI299" i="4"/>
  <c r="AI299" i="4" a="1"/>
  <c r="BF298" i="4" a="1"/>
  <c r="BF298" i="4" s="1"/>
  <c r="AY298" i="4"/>
  <c r="AY298" i="4" a="1"/>
  <c r="AU298" i="4"/>
  <c r="AU298" i="4" a="1"/>
  <c r="AR298" i="4"/>
  <c r="AR298" i="4" a="1"/>
  <c r="AN298" i="4"/>
  <c r="AN298" i="4" a="1"/>
  <c r="AI298" i="4"/>
  <c r="AI298" i="4" a="1"/>
  <c r="BF297" i="4" a="1"/>
  <c r="BF297" i="4" s="1"/>
  <c r="AY297" i="4"/>
  <c r="AY297" i="4" a="1"/>
  <c r="AU297" i="4"/>
  <c r="AU297" i="4" a="1"/>
  <c r="AR297" i="4"/>
  <c r="AR297" i="4" a="1"/>
  <c r="AN297" i="4"/>
  <c r="AN297" i="4" a="1"/>
  <c r="AI297" i="4"/>
  <c r="AI297" i="4" a="1"/>
  <c r="A297" i="4"/>
  <c r="B297" i="4" s="1" a="1"/>
  <c r="B297" i="4" s="1"/>
  <c r="BF296" i="4" a="1"/>
  <c r="BF296" i="4" s="1"/>
  <c r="AY296" i="4"/>
  <c r="AY296" i="4" a="1"/>
  <c r="AU296" i="4"/>
  <c r="AU296" i="4" a="1"/>
  <c r="AR296" i="4"/>
  <c r="AR296" i="4" a="1"/>
  <c r="AN296" i="4"/>
  <c r="AN296" i="4" a="1"/>
  <c r="AI296" i="4"/>
  <c r="BE296" i="4" s="1"/>
  <c r="AI296" i="4" a="1"/>
  <c r="BF295" i="4" a="1"/>
  <c r="BF295" i="4" s="1"/>
  <c r="BF294" i="4" s="1"/>
  <c r="BF322" i="4" s="1"/>
  <c r="AY295" i="4"/>
  <c r="AY294" i="4" s="1"/>
  <c r="AY295" i="4" a="1"/>
  <c r="AU295" i="4"/>
  <c r="AU295" i="4" a="1"/>
  <c r="AR295" i="4"/>
  <c r="AR294" i="4" s="1"/>
  <c r="AR295" i="4" a="1"/>
  <c r="AN295" i="4"/>
  <c r="AN294" i="4" s="1"/>
  <c r="AN295" i="4" a="1"/>
  <c r="AI295" i="4"/>
  <c r="BE295" i="4" s="1"/>
  <c r="AI295" i="4" a="1"/>
  <c r="A295" i="4" a="1"/>
  <c r="AU294" i="4"/>
  <c r="AI294" i="4"/>
  <c r="A294" i="4"/>
  <c r="B294" i="4" s="1" a="1"/>
  <c r="BF293" i="4"/>
  <c r="BF293" i="4" a="1"/>
  <c r="AY293" i="4"/>
  <c r="AY293" i="4" a="1"/>
  <c r="AU293" i="4"/>
  <c r="AU293" i="4" a="1"/>
  <c r="AR293" i="4"/>
  <c r="AR293" i="4" a="1"/>
  <c r="AN293" i="4"/>
  <c r="AN293" i="4" a="1"/>
  <c r="AI293" i="4"/>
  <c r="AI293" i="4" a="1"/>
  <c r="A293" i="4"/>
  <c r="BF292" i="4" a="1"/>
  <c r="BF292" i="4" s="1"/>
  <c r="AY292" i="4"/>
  <c r="AY292" i="4" a="1"/>
  <c r="AU292" i="4"/>
  <c r="AU292" i="4" a="1"/>
  <c r="AR292" i="4"/>
  <c r="AR292" i="4" a="1"/>
  <c r="AI292" i="4"/>
  <c r="BE292" i="4" s="1"/>
  <c r="AI292" i="4" a="1"/>
  <c r="A292" i="4"/>
  <c r="B292" i="4" s="1" a="1"/>
  <c r="B292" i="4" s="1"/>
  <c r="BF291" i="4" a="1"/>
  <c r="BF291" i="4" s="1"/>
  <c r="AY291" i="4"/>
  <c r="AY291" i="4" a="1"/>
  <c r="AU291" i="4"/>
  <c r="AU291" i="4" a="1"/>
  <c r="AR291" i="4"/>
  <c r="AR291" i="4" a="1"/>
  <c r="AN291" i="4"/>
  <c r="AN291" i="4" a="1"/>
  <c r="AI291" i="4"/>
  <c r="BE291" i="4" s="1"/>
  <c r="AI291" i="4" a="1"/>
  <c r="A291" i="4"/>
  <c r="B291" i="4" s="1" a="1"/>
  <c r="B291" i="4" s="1"/>
  <c r="BF290" i="4" a="1"/>
  <c r="BF290" i="4" s="1"/>
  <c r="AU290" i="4"/>
  <c r="AU290" i="4" a="1"/>
  <c r="AN290" i="4"/>
  <c r="BE290" i="4" s="1"/>
  <c r="AN290" i="4" a="1"/>
  <c r="BF289" i="4"/>
  <c r="BF289" i="4" a="1"/>
  <c r="AY289" i="4" a="1"/>
  <c r="AY289" i="4" s="1"/>
  <c r="AU289" i="4"/>
  <c r="AR289" i="4"/>
  <c r="AR289" i="4" a="1"/>
  <c r="AN289" i="4"/>
  <c r="BE289" i="4" s="1"/>
  <c r="BF288" i="4" a="1"/>
  <c r="BF288" i="4" s="1"/>
  <c r="AY288" i="4"/>
  <c r="AY288" i="4" a="1"/>
  <c r="AU288" i="4"/>
  <c r="AR288" i="4" a="1"/>
  <c r="AR288" i="4" s="1"/>
  <c r="AN288" i="4"/>
  <c r="AI288" i="4"/>
  <c r="AI288" i="4" a="1"/>
  <c r="BF287" i="4"/>
  <c r="BF287" i="4" a="1"/>
  <c r="AY287" i="4" a="1"/>
  <c r="AY287" i="4" s="1"/>
  <c r="AU287" i="4"/>
  <c r="AR287" i="4"/>
  <c r="AR287" i="4" a="1"/>
  <c r="AN287" i="4"/>
  <c r="AI287" i="4" a="1"/>
  <c r="AI287" i="4" s="1"/>
  <c r="BE287" i="4" s="1"/>
  <c r="Y287" i="4"/>
  <c r="BF285" i="4" a="1"/>
  <c r="BF285" i="4" s="1"/>
  <c r="AY285" i="4"/>
  <c r="AY285" i="4" a="1"/>
  <c r="AU285" i="4"/>
  <c r="AU285" i="4" a="1"/>
  <c r="AR285" i="4"/>
  <c r="AR285" i="4" a="1"/>
  <c r="AN285" i="4"/>
  <c r="AN285" i="4" a="1"/>
  <c r="AI285" i="4"/>
  <c r="BE285" i="4" s="1"/>
  <c r="AI285" i="4" a="1"/>
  <c r="BF284" i="4" a="1"/>
  <c r="BF284" i="4" s="1"/>
  <c r="AY284" i="4"/>
  <c r="AY286" i="4" s="1"/>
  <c r="AY284" i="4" a="1"/>
  <c r="AR284" i="4" a="1"/>
  <c r="AR284" i="4" s="1"/>
  <c r="AI284" i="4"/>
  <c r="AI286" i="4" s="1"/>
  <c r="AI284" i="4" a="1"/>
  <c r="BF282" i="4" a="1"/>
  <c r="BF282" i="4" s="1"/>
  <c r="AY282" i="4"/>
  <c r="AY282" i="4" a="1"/>
  <c r="AU282" i="4"/>
  <c r="AU282" i="4" a="1"/>
  <c r="AR282" i="4"/>
  <c r="AR282" i="4" a="1"/>
  <c r="AN282" i="4"/>
  <c r="AN282" i="4" a="1"/>
  <c r="AI282" i="4"/>
  <c r="BE282" i="4" s="1"/>
  <c r="AI282" i="4" a="1"/>
  <c r="BF281" i="4"/>
  <c r="BF281" i="4" a="1"/>
  <c r="AY281" i="4" a="1"/>
  <c r="AY281" i="4" s="1"/>
  <c r="AU281" i="4" a="1"/>
  <c r="AU281" i="4" s="1"/>
  <c r="AR281" i="4" a="1"/>
  <c r="AR281" i="4" s="1"/>
  <c r="AN281" i="4" a="1"/>
  <c r="AN281" i="4" s="1"/>
  <c r="AI281" i="4" a="1"/>
  <c r="AI281" i="4" s="1"/>
  <c r="BE281" i="4" s="1"/>
  <c r="BF280" i="4" a="1"/>
  <c r="BF280" i="4" s="1"/>
  <c r="AU280" i="4"/>
  <c r="AU280" i="4" a="1"/>
  <c r="AN280" i="4"/>
  <c r="AN280" i="4" a="1"/>
  <c r="AI280" i="4"/>
  <c r="AI280" i="4" a="1"/>
  <c r="BF279" i="4"/>
  <c r="BF279" i="4" a="1"/>
  <c r="AU279" i="4" a="1"/>
  <c r="AU279" i="4" s="1"/>
  <c r="AN279" i="4" a="1"/>
  <c r="AN279" i="4" s="1"/>
  <c r="BF278" i="4" a="1"/>
  <c r="BF278" i="4" s="1"/>
  <c r="AY278" i="4"/>
  <c r="AY278" i="4" a="1"/>
  <c r="AU278" i="4" a="1"/>
  <c r="AU278" i="4" s="1"/>
  <c r="AR278" i="4"/>
  <c r="AR278" i="4" a="1"/>
  <c r="AN278" i="4" a="1"/>
  <c r="AN278" i="4" s="1"/>
  <c r="AI278" i="4"/>
  <c r="AI278" i="4" a="1"/>
  <c r="BF277" i="4"/>
  <c r="BF277" i="4" a="1"/>
  <c r="AU277" i="4" a="1"/>
  <c r="AU277" i="4" s="1"/>
  <c r="AN277" i="4" a="1"/>
  <c r="AN277" i="4" s="1"/>
  <c r="BE277" i="4" s="1"/>
  <c r="BF276" i="4"/>
  <c r="BF276" i="4" a="1"/>
  <c r="AY276" i="4" a="1"/>
  <c r="AY276" i="4" s="1"/>
  <c r="AU276" i="4" a="1"/>
  <c r="AU276" i="4" s="1"/>
  <c r="AR276" i="4" a="1"/>
  <c r="AR276" i="4" s="1"/>
  <c r="AN276" i="4" a="1"/>
  <c r="AN276" i="4" s="1"/>
  <c r="AI276" i="4" a="1"/>
  <c r="AI276" i="4" s="1"/>
  <c r="Y276" i="4"/>
  <c r="BF275" i="4" a="1"/>
  <c r="BF275" i="4" s="1"/>
  <c r="AU275" i="4"/>
  <c r="AU275" i="4" a="1"/>
  <c r="AN275" i="4"/>
  <c r="BE275" i="4" s="1"/>
  <c r="AN275" i="4" a="1"/>
  <c r="Y275" i="4"/>
  <c r="BF274" i="4"/>
  <c r="BF274" i="4" a="1"/>
  <c r="AY274" i="4" a="1"/>
  <c r="AY274" i="4" s="1"/>
  <c r="AU274" i="4" a="1"/>
  <c r="AU274" i="4" s="1"/>
  <c r="AR274" i="4" a="1"/>
  <c r="AR274" i="4" s="1"/>
  <c r="AN274" i="4" a="1"/>
  <c r="AN274" i="4" s="1"/>
  <c r="AI274" i="4" a="1"/>
  <c r="AI274" i="4" s="1"/>
  <c r="BF272" i="4"/>
  <c r="BF272" i="4" a="1"/>
  <c r="AI272" i="4"/>
  <c r="BF270" i="4"/>
  <c r="BF270" i="4" a="1"/>
  <c r="AY270" i="4"/>
  <c r="AU270" i="4"/>
  <c r="AU270" i="4" a="1"/>
  <c r="AR270" i="4"/>
  <c r="AR259" i="4" s="1"/>
  <c r="AN270" i="4" a="1"/>
  <c r="AN270" i="4" s="1"/>
  <c r="AI270" i="4"/>
  <c r="BF264" i="4"/>
  <c r="BF264" i="4" a="1"/>
  <c r="AU264" i="4" a="1"/>
  <c r="AU264" i="4" s="1"/>
  <c r="AN264" i="4" a="1"/>
  <c r="AN264" i="4" s="1"/>
  <c r="BE264" i="4" s="1"/>
  <c r="BF263" i="4" a="1"/>
  <c r="BF263" i="4" s="1"/>
  <c r="AY263" i="4"/>
  <c r="AU263" i="4" a="1"/>
  <c r="AU263" i="4" s="1"/>
  <c r="AR263" i="4"/>
  <c r="AN263" i="4" a="1"/>
  <c r="AN263" i="4" s="1"/>
  <c r="AI263" i="4"/>
  <c r="BE263" i="4" s="1"/>
  <c r="BF262" i="4"/>
  <c r="BF262" i="4" a="1"/>
  <c r="AU262" i="4" a="1"/>
  <c r="AU262" i="4" s="1"/>
  <c r="AN262" i="4" a="1"/>
  <c r="AN262" i="4" s="1"/>
  <c r="BF261" i="4" a="1"/>
  <c r="BF261" i="4" s="1"/>
  <c r="AY261" i="4"/>
  <c r="AU261" i="4" a="1"/>
  <c r="AU261" i="4" s="1"/>
  <c r="AR261" i="4"/>
  <c r="AN261" i="4"/>
  <c r="AN261" i="4" a="1"/>
  <c r="AI261" i="4"/>
  <c r="Y261" i="4"/>
  <c r="BF260" i="4" a="1"/>
  <c r="BF260" i="4" s="1"/>
  <c r="AU260" i="4" a="1"/>
  <c r="AU260" i="4" s="1"/>
  <c r="AU259" i="4" s="1"/>
  <c r="AN260" i="4" a="1"/>
  <c r="AN260" i="4" s="1"/>
  <c r="AN259" i="4" s="1"/>
  <c r="BF257" i="4" a="1"/>
  <c r="BF257" i="4" s="1"/>
  <c r="AY257" i="4"/>
  <c r="AY257" i="4" a="1"/>
  <c r="AU257" i="4"/>
  <c r="AR257" i="4" a="1"/>
  <c r="AR257" i="4" s="1"/>
  <c r="AN257" i="4"/>
  <c r="AI257" i="4"/>
  <c r="AI257" i="4" a="1"/>
  <c r="BF256" i="4" a="1"/>
  <c r="BF256" i="4" s="1"/>
  <c r="AY256" i="4"/>
  <c r="AY256" i="4" a="1"/>
  <c r="AU256" i="4"/>
  <c r="AR256" i="4" a="1"/>
  <c r="AR256" i="4" s="1"/>
  <c r="AN256" i="4"/>
  <c r="AI256" i="4"/>
  <c r="AI256" i="4" a="1"/>
  <c r="BF255" i="4" a="1"/>
  <c r="BF255" i="4" s="1"/>
  <c r="BF241" i="4" s="1"/>
  <c r="AY255" i="4"/>
  <c r="AY242" i="4" s="1"/>
  <c r="AY255" i="4" a="1"/>
  <c r="AU255" i="4"/>
  <c r="AR255" i="4" a="1"/>
  <c r="AR255" i="4" s="1"/>
  <c r="AR242" i="4" s="1"/>
  <c r="AR243" i="4" s="1"/>
  <c r="AN255" i="4"/>
  <c r="AI255" i="4"/>
  <c r="AI255" i="4" a="1"/>
  <c r="Y255" i="4"/>
  <c r="Y256" i="4" s="1"/>
  <c r="BF254" i="4" a="1"/>
  <c r="BF254" i="4" s="1"/>
  <c r="AY254" i="4"/>
  <c r="AY254" i="4" a="1"/>
  <c r="AU254" i="4"/>
  <c r="AR254" i="4" a="1"/>
  <c r="AR254" i="4" s="1"/>
  <c r="AN254" i="4"/>
  <c r="AI254" i="4"/>
  <c r="AI254" i="4" a="1"/>
  <c r="BF253" i="4" a="1"/>
  <c r="BF253" i="4" s="1"/>
  <c r="AY253" i="4"/>
  <c r="AY253" i="4" a="1"/>
  <c r="AU253" i="4"/>
  <c r="AU253" i="4" a="1"/>
  <c r="AR253" i="4"/>
  <c r="AR253" i="4" a="1"/>
  <c r="AN253" i="4"/>
  <c r="AN253" i="4" a="1"/>
  <c r="AI253" i="4"/>
  <c r="AI253" i="4" a="1"/>
  <c r="BF252" i="4" a="1"/>
  <c r="BF252" i="4" s="1"/>
  <c r="AY252" i="4" a="1"/>
  <c r="AY252" i="4" s="1"/>
  <c r="AU252" i="4" a="1"/>
  <c r="AU252" i="4" s="1"/>
  <c r="AR252" i="4" a="1"/>
  <c r="AR252" i="4" s="1"/>
  <c r="AN252" i="4" a="1"/>
  <c r="AN252" i="4" s="1"/>
  <c r="AI252" i="4" a="1"/>
  <c r="AI252" i="4" s="1"/>
  <c r="BF251" i="4" a="1"/>
  <c r="BF251" i="4" s="1"/>
  <c r="AY251" i="4"/>
  <c r="AY251" i="4" a="1"/>
  <c r="AU251" i="4"/>
  <c r="AU251" i="4" a="1"/>
  <c r="AR251" i="4"/>
  <c r="AR251" i="4" a="1"/>
  <c r="AN251" i="4"/>
  <c r="AN251" i="4" a="1"/>
  <c r="AI251" i="4"/>
  <c r="BE251" i="4" s="1"/>
  <c r="AI251" i="4" a="1"/>
  <c r="BF250" i="4" a="1"/>
  <c r="BF250" i="4" s="1"/>
  <c r="AY250" i="4" a="1"/>
  <c r="AY250" i="4" s="1"/>
  <c r="AU250" i="4" a="1"/>
  <c r="AU250" i="4" s="1"/>
  <c r="AR250" i="4" a="1"/>
  <c r="AR250" i="4" s="1"/>
  <c r="AN250" i="4" a="1"/>
  <c r="AN250" i="4" s="1"/>
  <c r="AI250" i="4" a="1"/>
  <c r="AI250" i="4" s="1"/>
  <c r="BF249" i="4" a="1"/>
  <c r="BF249" i="4" s="1"/>
  <c r="AY249" i="4"/>
  <c r="AY249" i="4" a="1"/>
  <c r="AU249" i="4"/>
  <c r="AU249" i="4" a="1"/>
  <c r="AR249" i="4"/>
  <c r="AR249" i="4" a="1"/>
  <c r="AN249" i="4"/>
  <c r="AN249" i="4" a="1"/>
  <c r="AI249" i="4"/>
  <c r="AI249" i="4" a="1"/>
  <c r="BF248" i="4" a="1"/>
  <c r="BF248" i="4" s="1"/>
  <c r="AY248" i="4" a="1"/>
  <c r="AY248" i="4" s="1"/>
  <c r="AU248" i="4" a="1"/>
  <c r="AU248" i="4" s="1"/>
  <c r="AR248" i="4" a="1"/>
  <c r="AR248" i="4" s="1"/>
  <c r="AN248" i="4" a="1"/>
  <c r="AN248" i="4" s="1"/>
  <c r="AI248" i="4" a="1"/>
  <c r="AI248" i="4" s="1"/>
  <c r="BF247" i="4"/>
  <c r="BF247" i="4" a="1"/>
  <c r="AU247" i="4" a="1"/>
  <c r="AU247" i="4" s="1"/>
  <c r="AN247" i="4" a="1"/>
  <c r="AN247" i="4" s="1"/>
  <c r="BE247" i="4" s="1"/>
  <c r="BF246" i="4"/>
  <c r="BF246" i="4" a="1"/>
  <c r="BF245" i="4" a="1"/>
  <c r="BF245" i="4" s="1"/>
  <c r="AU245" i="4"/>
  <c r="AU245" i="4" a="1"/>
  <c r="AN245" i="4" a="1"/>
  <c r="AN245" i="4" s="1"/>
  <c r="BF244" i="4"/>
  <c r="BF244" i="4" a="1"/>
  <c r="AU244" i="4" a="1"/>
  <c r="AU244" i="4" s="1"/>
  <c r="AU243" i="4" s="1"/>
  <c r="AN244" i="4" a="1"/>
  <c r="AN244" i="4" s="1"/>
  <c r="BE244" i="4" s="1"/>
  <c r="BF243" i="4"/>
  <c r="AY243" i="4"/>
  <c r="BF242" i="4"/>
  <c r="BF242" i="4" a="1"/>
  <c r="AU242" i="4"/>
  <c r="AU241" i="4" s="1"/>
  <c r="AN242" i="4"/>
  <c r="AN241" i="4" s="1"/>
  <c r="AN242" i="4" a="1"/>
  <c r="AI242" i="4"/>
  <c r="AI243" i="4" s="1"/>
  <c r="AU240" i="4"/>
  <c r="AU240" i="4" a="1"/>
  <c r="BF239" i="4" a="1"/>
  <c r="BF239" i="4" s="1"/>
  <c r="AU239" i="4"/>
  <c r="AU239" i="4" a="1"/>
  <c r="AI239" i="4"/>
  <c r="AI239" i="4" a="1"/>
  <c r="BF238" i="4" a="1"/>
  <c r="BF238" i="4" s="1"/>
  <c r="AU238" i="4" a="1"/>
  <c r="AU238" i="4" s="1"/>
  <c r="AR238" i="4" a="1"/>
  <c r="AR238" i="4" s="1"/>
  <c r="AI238" i="4" a="1"/>
  <c r="AI238" i="4" s="1"/>
  <c r="BF237" i="4"/>
  <c r="BF237" i="4" a="1"/>
  <c r="AU237" i="4" a="1"/>
  <c r="AU237" i="4" s="1"/>
  <c r="AI237" i="4" a="1"/>
  <c r="AI237" i="4" s="1"/>
  <c r="BF236" i="4"/>
  <c r="BF236" i="4" a="1"/>
  <c r="AU236" i="4"/>
  <c r="AU236" i="4" a="1"/>
  <c r="AR236" i="4"/>
  <c r="AR236" i="4" a="1"/>
  <c r="AI236" i="4"/>
  <c r="AI236" i="4" a="1"/>
  <c r="AU235" i="4"/>
  <c r="AU234" i="4"/>
  <c r="AU234" i="4" a="1"/>
  <c r="BF233" i="4" a="1"/>
  <c r="BF233" i="4" s="1"/>
  <c r="BF232" i="4" s="1"/>
  <c r="AY233" i="4"/>
  <c r="AY232" i="4" s="1"/>
  <c r="AY233" i="4" a="1"/>
  <c r="AU233" i="4"/>
  <c r="AU232" i="4" s="1"/>
  <c r="AU233" i="4" a="1"/>
  <c r="AR233" i="4"/>
  <c r="AR232" i="4" s="1"/>
  <c r="AR233" i="4" a="1"/>
  <c r="AI233" i="4"/>
  <c r="AI233" i="4" a="1"/>
  <c r="BF231" i="4" a="1"/>
  <c r="BF231" i="4" s="1"/>
  <c r="BF235" i="4" s="1"/>
  <c r="AU231" i="4" a="1"/>
  <c r="AU231" i="4" s="1"/>
  <c r="AU230" i="4" s="1"/>
  <c r="AR231" i="4" a="1"/>
  <c r="AR231" i="4" s="1"/>
  <c r="AR235" i="4" s="1"/>
  <c r="AI231" i="4" a="1"/>
  <c r="AI231" i="4" s="1"/>
  <c r="G231" i="4"/>
  <c r="G231" i="4" a="1"/>
  <c r="BF230" i="4"/>
  <c r="BF234" i="4" s="1"/>
  <c r="BF230" i="4" a="1"/>
  <c r="AI230" i="4" a="1"/>
  <c r="AI230" i="4" s="1"/>
  <c r="AI234" i="4" s="1"/>
  <c r="BF229" i="4"/>
  <c r="BF229" i="4" a="1"/>
  <c r="AU229" i="4"/>
  <c r="AU229" i="4" a="1"/>
  <c r="AR229" i="4"/>
  <c r="AR229" i="4" a="1"/>
  <c r="AI229" i="4"/>
  <c r="AI229" i="4" a="1"/>
  <c r="BF228" i="4" a="1"/>
  <c r="BF228" i="4" s="1"/>
  <c r="AU228" i="4" a="1"/>
  <c r="AU228" i="4" s="1"/>
  <c r="AU227" i="4" s="1"/>
  <c r="AR228" i="4" a="1"/>
  <c r="AR228" i="4" s="1"/>
  <c r="AI228" i="4" a="1"/>
  <c r="AI228" i="4" s="1"/>
  <c r="BF227" i="4"/>
  <c r="BF240" i="4" s="1"/>
  <c r="BF227" i="4" a="1"/>
  <c r="AI227" i="4" a="1"/>
  <c r="AI227" i="4" s="1"/>
  <c r="AI240" i="4" s="1"/>
  <c r="BF226" i="4"/>
  <c r="BF226" i="4" a="1"/>
  <c r="AU226" i="4" a="1"/>
  <c r="AU226" i="4" s="1"/>
  <c r="BF225" i="4"/>
  <c r="BF225" i="4" a="1"/>
  <c r="AU225" i="4" a="1"/>
  <c r="AU225" i="4" s="1"/>
  <c r="AR225" i="4"/>
  <c r="AR225" i="4" a="1"/>
  <c r="AI225" i="4"/>
  <c r="AI225" i="4" a="1"/>
  <c r="BF224" i="4" a="1"/>
  <c r="BF224" i="4" s="1"/>
  <c r="AU224" i="4" a="1"/>
  <c r="AU224" i="4" s="1"/>
  <c r="AR224" i="4" a="1"/>
  <c r="AR224" i="4" s="1"/>
  <c r="AI224" i="4" a="1"/>
  <c r="AI224" i="4" s="1"/>
  <c r="BF223" i="4"/>
  <c r="BF223" i="4" a="1"/>
  <c r="AU223" i="4" a="1"/>
  <c r="AU223" i="4" s="1"/>
  <c r="AR223" i="4"/>
  <c r="AR223" i="4" a="1"/>
  <c r="AI223" i="4"/>
  <c r="AI223" i="4" a="1"/>
  <c r="BF222" i="4" a="1"/>
  <c r="BF222" i="4" s="1"/>
  <c r="AU222" i="4"/>
  <c r="AU222" i="4" a="1"/>
  <c r="AI222" i="4"/>
  <c r="AI222" i="4" a="1"/>
  <c r="BF221" i="4" a="1"/>
  <c r="BF221" i="4" s="1"/>
  <c r="AU221" i="4" a="1"/>
  <c r="AU221" i="4" s="1"/>
  <c r="AR221" i="4" a="1"/>
  <c r="AR221" i="4" s="1"/>
  <c r="BF220" i="4"/>
  <c r="BF220" i="4" a="1"/>
  <c r="AU220" i="4" a="1"/>
  <c r="AU220" i="4" s="1"/>
  <c r="AI220" i="4" a="1"/>
  <c r="AI220" i="4" s="1"/>
  <c r="BF219" i="4"/>
  <c r="AR219" i="4"/>
  <c r="BF218" i="4"/>
  <c r="BF218" i="4" a="1"/>
  <c r="AU218" i="4" a="1"/>
  <c r="AU218" i="4" s="1"/>
  <c r="AR218" i="4"/>
  <c r="AR218" i="4" a="1"/>
  <c r="BF217" i="4" a="1"/>
  <c r="BF217" i="4" s="1"/>
  <c r="AU217" i="4" a="1"/>
  <c r="AU217" i="4" s="1"/>
  <c r="AR217" i="4" a="1"/>
  <c r="AR217" i="4" s="1"/>
  <c r="BF216" i="4"/>
  <c r="BF216" i="4" a="1"/>
  <c r="AU216" i="4" a="1"/>
  <c r="AU216" i="4" s="1"/>
  <c r="AI216" i="4" a="1"/>
  <c r="AI216" i="4" s="1"/>
  <c r="BF215" i="4"/>
  <c r="BF215" i="4" a="1"/>
  <c r="AU215" i="4"/>
  <c r="AU215" i="4" a="1"/>
  <c r="AR215" i="4"/>
  <c r="AR215" i="4" a="1"/>
  <c r="AI215" i="4"/>
  <c r="AI215" i="4" a="1"/>
  <c r="AY214" i="4"/>
  <c r="AR214" i="4"/>
  <c r="AI214" i="4"/>
  <c r="BF213" i="4" a="1"/>
  <c r="BF213" i="4" s="1"/>
  <c r="AU213" i="4"/>
  <c r="AU213" i="4" a="1"/>
  <c r="BF212" i="4" a="1"/>
  <c r="BF212" i="4" s="1"/>
  <c r="BF211" i="4" s="1"/>
  <c r="AU212" i="4" a="1"/>
  <c r="AU212" i="4" s="1"/>
  <c r="AU211" i="4" s="1"/>
  <c r="BF210" i="4" a="1"/>
  <c r="BF210" i="4" s="1"/>
  <c r="AU210" i="4" a="1"/>
  <c r="AU210" i="4" s="1"/>
  <c r="AU209" i="4" s="1"/>
  <c r="AY209" i="4"/>
  <c r="AR209" i="4"/>
  <c r="AI209" i="4"/>
  <c r="BF208" i="4" a="1"/>
  <c r="BF208" i="4" s="1"/>
  <c r="AU208" i="4" a="1"/>
  <c r="AU208" i="4" s="1"/>
  <c r="BF207" i="4" a="1"/>
  <c r="BF207" i="4" s="1"/>
  <c r="AU207" i="4"/>
  <c r="AU207" i="4" a="1"/>
  <c r="BF206" i="4" a="1"/>
  <c r="BF206" i="4" s="1"/>
  <c r="AU206" i="4" a="1"/>
  <c r="AU206" i="4" s="1"/>
  <c r="AI206" i="4"/>
  <c r="AI206" i="4" a="1"/>
  <c r="BF205" i="4" a="1"/>
  <c r="BF205" i="4" s="1"/>
  <c r="AU205" i="4"/>
  <c r="AU205" i="4" a="1"/>
  <c r="BF204" i="4" a="1"/>
  <c r="BF204" i="4" s="1"/>
  <c r="AU204" i="4" a="1"/>
  <c r="AU204" i="4" s="1"/>
  <c r="AI204" i="4"/>
  <c r="AI204" i="4" a="1"/>
  <c r="BF203" i="4" a="1"/>
  <c r="BF203" i="4" s="1"/>
  <c r="AU203" i="4" a="1"/>
  <c r="AU203" i="4" s="1"/>
  <c r="AR203" i="4" a="1"/>
  <c r="AR203" i="4" s="1"/>
  <c r="AI203" i="4" a="1"/>
  <c r="AI203" i="4" s="1"/>
  <c r="BF202" i="4"/>
  <c r="BF202" i="4" a="1"/>
  <c r="AU202" i="4" a="1"/>
  <c r="AU202" i="4" s="1"/>
  <c r="BF201" i="4"/>
  <c r="AR201" i="4"/>
  <c r="AR200" i="4" s="1"/>
  <c r="AY199" i="4"/>
  <c r="AR199" i="4"/>
  <c r="AI199" i="4"/>
  <c r="BF198" i="4"/>
  <c r="BF198" i="4" a="1"/>
  <c r="AU198" i="4" a="1"/>
  <c r="AU198" i="4" s="1"/>
  <c r="BF197" i="4"/>
  <c r="BF196" i="4" s="1"/>
  <c r="BF197" i="4" a="1"/>
  <c r="AU197" i="4" a="1"/>
  <c r="AU197" i="4" s="1"/>
  <c r="AU196" i="4" s="1"/>
  <c r="BF195" i="4"/>
  <c r="BF199" i="4" s="1"/>
  <c r="BF195" i="4" a="1"/>
  <c r="AU195" i="4" a="1"/>
  <c r="AU195" i="4" s="1"/>
  <c r="AY194" i="4"/>
  <c r="AY191" i="4" s="1"/>
  <c r="AR194" i="4"/>
  <c r="AR191" i="4" s="1"/>
  <c r="AI194" i="4"/>
  <c r="BF193" i="4"/>
  <c r="BF193" i="4" a="1"/>
  <c r="AU193" i="4"/>
  <c r="BF192" i="4"/>
  <c r="BF192" i="4" a="1"/>
  <c r="AU192" i="4"/>
  <c r="BF190" i="4" a="1"/>
  <c r="BF190" i="4" s="1"/>
  <c r="AU190" i="4"/>
  <c r="AU190" i="4" a="1"/>
  <c r="G190" i="4"/>
  <c r="A190" i="4"/>
  <c r="A189" i="4"/>
  <c r="BF188" i="4"/>
  <c r="BF188" i="4" a="1"/>
  <c r="AU188" i="4" a="1"/>
  <c r="AU188" i="4" s="1"/>
  <c r="AI188" i="4" a="1"/>
  <c r="AI188" i="4" s="1"/>
  <c r="BF187" i="4"/>
  <c r="BF187" i="4" a="1"/>
  <c r="AU187" i="4"/>
  <c r="AU187" i="4" a="1"/>
  <c r="AR187" i="4"/>
  <c r="AR187" i="4" a="1"/>
  <c r="AI187" i="4"/>
  <c r="AI187" i="4" a="1"/>
  <c r="BF186" i="4" a="1"/>
  <c r="BF186" i="4" s="1"/>
  <c r="AU186" i="4"/>
  <c r="AU186" i="4" a="1"/>
  <c r="BF185" i="4" a="1"/>
  <c r="BF185" i="4" s="1"/>
  <c r="AU185" i="4" a="1"/>
  <c r="AU185" i="4" s="1"/>
  <c r="AR185" i="4" a="1"/>
  <c r="AR185" i="4" s="1"/>
  <c r="AI185" i="4" a="1"/>
  <c r="AI185" i="4" s="1"/>
  <c r="BF184" i="4"/>
  <c r="BF184" i="4" a="1"/>
  <c r="AU184" i="4"/>
  <c r="AU184" i="4" a="1"/>
  <c r="AR184" i="4"/>
  <c r="AR184" i="4" a="1"/>
  <c r="AI184" i="4"/>
  <c r="AI184" i="4" a="1"/>
  <c r="BF183" i="4" a="1"/>
  <c r="BF183" i="4" s="1"/>
  <c r="AU183" i="4" a="1"/>
  <c r="AU183" i="4" s="1"/>
  <c r="AR183" i="4" a="1"/>
  <c r="AR183" i="4" s="1"/>
  <c r="AI183" i="4" a="1"/>
  <c r="AI183" i="4" s="1"/>
  <c r="BF182" i="4"/>
  <c r="BF181" i="4" s="1"/>
  <c r="BF182" i="4" a="1"/>
  <c r="AU182" i="4"/>
  <c r="AU181" i="4" s="1"/>
  <c r="AU182" i="4" a="1"/>
  <c r="AR182" i="4"/>
  <c r="AR182" i="4" a="1"/>
  <c r="AI182" i="4"/>
  <c r="AI182" i="4" a="1"/>
  <c r="BF178" i="4" a="1"/>
  <c r="BF178" i="4" s="1"/>
  <c r="AU178" i="4" a="1"/>
  <c r="AU178" i="4" s="1"/>
  <c r="AR178" i="4" a="1"/>
  <c r="AR178" i="4" s="1"/>
  <c r="AI178" i="4" a="1"/>
  <c r="AI178" i="4" s="1"/>
  <c r="BF177" i="4"/>
  <c r="BF177" i="4" a="1"/>
  <c r="AY177" i="4" a="1"/>
  <c r="AY177" i="4" s="1"/>
  <c r="AY176" i="4" s="1"/>
  <c r="AU177" i="4" a="1"/>
  <c r="AU177" i="4" s="1"/>
  <c r="AU176" i="4" s="1"/>
  <c r="BF176" i="4"/>
  <c r="BF175" i="4"/>
  <c r="BF179" i="4" s="1"/>
  <c r="BF175" i="4" a="1"/>
  <c r="AU175" i="4" a="1"/>
  <c r="AU175" i="4" s="1"/>
  <c r="AR175" i="4"/>
  <c r="AR179" i="4" s="1"/>
  <c r="AR175" i="4" a="1"/>
  <c r="AI175" i="4"/>
  <c r="AI179" i="4" s="1"/>
  <c r="AI175" i="4" a="1"/>
  <c r="BF173" i="4"/>
  <c r="BF173" i="4" a="1"/>
  <c r="AU173" i="4"/>
  <c r="AU173" i="4" a="1"/>
  <c r="AR173" i="4"/>
  <c r="AR173" i="4" a="1"/>
  <c r="BF172" i="4" a="1"/>
  <c r="BF172" i="4" s="1"/>
  <c r="AU172" i="4" a="1"/>
  <c r="AU172" i="4" s="1"/>
  <c r="AR172" i="4" a="1"/>
  <c r="AR172" i="4" s="1"/>
  <c r="AI172" i="4" a="1"/>
  <c r="AI172" i="4" s="1"/>
  <c r="AY171" i="4"/>
  <c r="AR171" i="4"/>
  <c r="AI171" i="4"/>
  <c r="BF170" i="4"/>
  <c r="BF170" i="4" a="1"/>
  <c r="AU170" i="4" a="1"/>
  <c r="AU170" i="4" s="1"/>
  <c r="BF169" i="4"/>
  <c r="BF168" i="4" s="1"/>
  <c r="BF169" i="4" a="1"/>
  <c r="AU169" i="4" a="1"/>
  <c r="AU169" i="4" s="1"/>
  <c r="AU168" i="4" s="1"/>
  <c r="BF167" i="4"/>
  <c r="BF166" i="4" s="1"/>
  <c r="BF167" i="4" a="1"/>
  <c r="AU167" i="4" a="1"/>
  <c r="AU167" i="4" s="1"/>
  <c r="AY166" i="4"/>
  <c r="AR166" i="4"/>
  <c r="AI166" i="4"/>
  <c r="BF165" i="4"/>
  <c r="BF165" i="4" a="1"/>
  <c r="AU165" i="4"/>
  <c r="AU165" i="4" a="1"/>
  <c r="AR165" i="4"/>
  <c r="AR165" i="4" a="1"/>
  <c r="AI165" i="4"/>
  <c r="AI165" i="4" a="1"/>
  <c r="BF164" i="4" a="1"/>
  <c r="BF164" i="4" s="1"/>
  <c r="AU164" i="4"/>
  <c r="AU164" i="4" a="1"/>
  <c r="BF163" i="4" a="1"/>
  <c r="BF163" i="4" s="1"/>
  <c r="AU163" i="4"/>
  <c r="AU163" i="4" a="1"/>
  <c r="BF162" i="4" a="1"/>
  <c r="BF162" i="4" s="1"/>
  <c r="AR162" i="4"/>
  <c r="AI161" i="4"/>
  <c r="M160" i="4" a="1"/>
  <c r="BF159" i="4" a="1"/>
  <c r="BF159" i="4" s="1"/>
  <c r="G159" i="4"/>
  <c r="C159" i="4"/>
  <c r="AE156" i="4"/>
  <c r="AD156" i="4"/>
  <c r="M156" i="4" a="1"/>
  <c r="M140" i="4" a="1"/>
  <c r="M139" i="4" a="1"/>
  <c r="M138" i="4" a="1"/>
  <c r="BF137" i="4"/>
  <c r="BF137" i="4" a="1"/>
  <c r="AY137" i="4"/>
  <c r="AU137" i="4"/>
  <c r="AR137" i="4"/>
  <c r="AN137" i="4"/>
  <c r="AI137" i="4"/>
  <c r="M137" i="4" a="1"/>
  <c r="BF136" i="4" a="1"/>
  <c r="BF136" i="4" s="1"/>
  <c r="AY136" i="4"/>
  <c r="AU136" i="4"/>
  <c r="AU133" i="4" s="1"/>
  <c r="AR136" i="4"/>
  <c r="AN136" i="4"/>
  <c r="AI136" i="4"/>
  <c r="BF135" i="4"/>
  <c r="BF135" i="4" a="1"/>
  <c r="AY135" i="4"/>
  <c r="AU135" i="4"/>
  <c r="AR135" i="4"/>
  <c r="AN135" i="4"/>
  <c r="AI135" i="4"/>
  <c r="BF134" i="4" a="1"/>
  <c r="BF134" i="4" s="1"/>
  <c r="AY134" i="4"/>
  <c r="AU134" i="4"/>
  <c r="AR134" i="4"/>
  <c r="AR133" i="4" s="1"/>
  <c r="AN134" i="4"/>
  <c r="AI134" i="4"/>
  <c r="BF133" i="4"/>
  <c r="BF133" i="4" a="1"/>
  <c r="BF132" i="4" a="1"/>
  <c r="BF132" i="4" s="1"/>
  <c r="AY132" i="4"/>
  <c r="AU132" i="4"/>
  <c r="AR132" i="4"/>
  <c r="AN132" i="4"/>
  <c r="AI132" i="4"/>
  <c r="BF131" i="4"/>
  <c r="BF131" i="4" a="1"/>
  <c r="BF130" i="4"/>
  <c r="BF130" i="4" a="1"/>
  <c r="BF129" i="4" a="1"/>
  <c r="BF129" i="4" s="1"/>
  <c r="AY129" i="4"/>
  <c r="AU129" i="4"/>
  <c r="AR129" i="4"/>
  <c r="AN129" i="4"/>
  <c r="AI129" i="4"/>
  <c r="BF127" i="4"/>
  <c r="BF127" i="4" a="1"/>
  <c r="BF126" i="4"/>
  <c r="BF126" i="4" a="1"/>
  <c r="AY126" i="4"/>
  <c r="AU126" i="4"/>
  <c r="AR126" i="4"/>
  <c r="AN126" i="4"/>
  <c r="BE126" i="4" s="1"/>
  <c r="AI126" i="4"/>
  <c r="Y126" i="4"/>
  <c r="M126" i="4" a="1"/>
  <c r="BF125" i="4"/>
  <c r="BF125" i="4" a="1"/>
  <c r="Y125" i="4"/>
  <c r="Y127" i="4" s="1"/>
  <c r="BF124" i="4" a="1"/>
  <c r="BF124" i="4" s="1"/>
  <c r="BF123" i="4" a="1"/>
  <c r="BF123" i="4" s="1"/>
  <c r="AY123" i="4"/>
  <c r="AU123" i="4"/>
  <c r="AR123" i="4"/>
  <c r="AN123" i="4"/>
  <c r="AI123" i="4"/>
  <c r="BF122" i="4"/>
  <c r="BF122" i="4" a="1"/>
  <c r="AY122" i="4"/>
  <c r="AU122" i="4"/>
  <c r="AR122" i="4"/>
  <c r="AN122" i="4"/>
  <c r="AI122" i="4"/>
  <c r="M122" i="4" a="1"/>
  <c r="BF121" i="4" a="1"/>
  <c r="BF121" i="4" s="1"/>
  <c r="AA121" i="4"/>
  <c r="AA125" i="4" s="1"/>
  <c r="BF120" i="4"/>
  <c r="BF120" i="4" a="1"/>
  <c r="AU120" i="4"/>
  <c r="AR120" i="4"/>
  <c r="AO120" i="4"/>
  <c r="AN120" i="4"/>
  <c r="AI120" i="4"/>
  <c r="AF120" i="4"/>
  <c r="BE120" i="4" s="1"/>
  <c r="AE120" i="4"/>
  <c r="AA120" i="4"/>
  <c r="BF119" i="4" a="1"/>
  <c r="BF119" i="4" s="1"/>
  <c r="AN119" i="4" a="1"/>
  <c r="AN119" i="4" s="1"/>
  <c r="AI119" i="4"/>
  <c r="AA119" i="4"/>
  <c r="BF118" i="4" a="1"/>
  <c r="BF118" i="4" s="1"/>
  <c r="AN118" i="4"/>
  <c r="BE118" i="4" s="1"/>
  <c r="AN118" i="4" a="1"/>
  <c r="BF117" i="4" a="1"/>
  <c r="BF117" i="4" s="1"/>
  <c r="AU117" i="4"/>
  <c r="AU117" i="4" a="1"/>
  <c r="AN117" i="4"/>
  <c r="BE117" i="4" s="1"/>
  <c r="AN117" i="4" a="1"/>
  <c r="BF116" i="4" a="1"/>
  <c r="BF116" i="4" s="1"/>
  <c r="AU116" i="4"/>
  <c r="AN116" i="4" a="1"/>
  <c r="AN116" i="4" s="1"/>
  <c r="BF115" i="4"/>
  <c r="BF115" i="4" a="1"/>
  <c r="AY115" i="4" a="1"/>
  <c r="AY115" i="4" s="1"/>
  <c r="AR115" i="4"/>
  <c r="AR115" i="4" a="1"/>
  <c r="AI115" i="4" a="1"/>
  <c r="AI115" i="4" s="1"/>
  <c r="BF114" i="4"/>
  <c r="BF114" i="4" a="1"/>
  <c r="AU114" i="4"/>
  <c r="AR114" i="4"/>
  <c r="AO114" i="4"/>
  <c r="AN114" i="4"/>
  <c r="AI114" i="4"/>
  <c r="AI111" i="4" s="1"/>
  <c r="AF114" i="4"/>
  <c r="AE114" i="4"/>
  <c r="AA114" i="4"/>
  <c r="BF113" i="4" a="1"/>
  <c r="BF113" i="4" s="1"/>
  <c r="AU113" i="4"/>
  <c r="AU113" i="4" a="1"/>
  <c r="AN113" i="4"/>
  <c r="AN113" i="4" a="1"/>
  <c r="AA113" i="4"/>
  <c r="BF112" i="4" a="1"/>
  <c r="BF112" i="4" s="1"/>
  <c r="AO112" i="4"/>
  <c r="AN112" i="4"/>
  <c r="AI112" i="4"/>
  <c r="AF112" i="4"/>
  <c r="AE112" i="4"/>
  <c r="BE112" i="4" s="1"/>
  <c r="AA112" i="4"/>
  <c r="M112" i="4" a="1"/>
  <c r="E112" i="4" a="1"/>
  <c r="E112" i="4" s="1"/>
  <c r="AA111" i="4"/>
  <c r="AA115" i="4" s="1"/>
  <c r="AA116" i="4" s="1"/>
  <c r="E111" i="4"/>
  <c r="E111" i="4" a="1"/>
  <c r="AV109" i="4"/>
  <c r="AV385" i="4" s="1"/>
  <c r="AO109" i="4"/>
  <c r="AF109" i="4"/>
  <c r="AE109" i="4"/>
  <c r="AD109" i="4"/>
  <c r="AA109" i="4"/>
  <c r="A109" i="4" a="1"/>
  <c r="B108" i="4" a="1"/>
  <c r="A108" i="4"/>
  <c r="Y107" i="4"/>
  <c r="M159" i="4" s="1" a="1"/>
  <c r="M159" i="4" s="1"/>
  <c r="Y107" i="4" a="1"/>
  <c r="B107" i="4"/>
  <c r="M106" i="4" a="1"/>
  <c r="M106" i="4" s="1"/>
  <c r="A106" i="4"/>
  <c r="B106" i="4" s="1"/>
  <c r="M105" i="4" a="1"/>
  <c r="M105" i="4" s="1"/>
  <c r="A105" i="4"/>
  <c r="B105" i="4" s="1"/>
  <c r="M104" i="4" a="1"/>
  <c r="M104" i="4" s="1"/>
  <c r="A104" i="4"/>
  <c r="B104" i="4" s="1"/>
  <c r="M103" i="4" a="1"/>
  <c r="M103" i="4" s="1"/>
  <c r="A103" i="4"/>
  <c r="B103" i="4" s="1"/>
  <c r="M102" i="4" a="1"/>
  <c r="M102" i="4" s="1"/>
  <c r="B102" i="4" a="1"/>
  <c r="B102" i="4" s="1"/>
  <c r="A102" i="4"/>
  <c r="M101" i="4"/>
  <c r="M101" i="4" a="1"/>
  <c r="A101" i="4"/>
  <c r="B101" i="4" s="1" a="1"/>
  <c r="B101" i="4" s="1"/>
  <c r="M100" i="4" a="1"/>
  <c r="M100" i="4" s="1"/>
  <c r="B100" i="4" a="1"/>
  <c r="B100" i="4" s="1"/>
  <c r="A100" i="4"/>
  <c r="M99" i="4"/>
  <c r="M99" i="4" a="1"/>
  <c r="A99" i="4"/>
  <c r="B99" i="4" s="1" a="1"/>
  <c r="B99" i="4" s="1"/>
  <c r="M98" i="4" a="1"/>
  <c r="M98" i="4" s="1"/>
  <c r="B98" i="4" a="1"/>
  <c r="B98" i="4" s="1"/>
  <c r="A98" i="4"/>
  <c r="M97" i="4"/>
  <c r="M97" i="4" a="1"/>
  <c r="A97" i="4"/>
  <c r="B97" i="4" s="1" a="1"/>
  <c r="B97" i="4" s="1"/>
  <c r="M96" i="4" a="1"/>
  <c r="M96" i="4" s="1"/>
  <c r="B96" i="4" a="1"/>
  <c r="B96" i="4" s="1"/>
  <c r="A96" i="4"/>
  <c r="M95" i="4"/>
  <c r="M95" i="4" a="1"/>
  <c r="A95" i="4"/>
  <c r="B95" i="4" s="1" a="1"/>
  <c r="B95" i="4" s="1"/>
  <c r="M94" i="4" a="1"/>
  <c r="M94" i="4" s="1"/>
  <c r="B94" i="4" a="1"/>
  <c r="B94" i="4" s="1"/>
  <c r="A94" i="4"/>
  <c r="M93" i="4"/>
  <c r="M93" i="4" a="1"/>
  <c r="A93" i="4"/>
  <c r="B93" i="4" s="1" a="1"/>
  <c r="B93" i="4" s="1"/>
  <c r="M92" i="4" a="1"/>
  <c r="M92" i="4" s="1"/>
  <c r="B92" i="4" a="1"/>
  <c r="B92" i="4" s="1"/>
  <c r="A92" i="4"/>
  <c r="M91" i="4"/>
  <c r="M91" i="4" a="1"/>
  <c r="M90" i="4"/>
  <c r="M90" i="4" a="1"/>
  <c r="BF89" i="4" a="1"/>
  <c r="BF89" i="4" s="1"/>
  <c r="AY89" i="4" a="1"/>
  <c r="AY89" i="4" s="1"/>
  <c r="AV89" i="4" a="1"/>
  <c r="AV89" i="4" s="1"/>
  <c r="AU89" i="4" a="1"/>
  <c r="AU89" i="4" s="1"/>
  <c r="AR89" i="4" a="1"/>
  <c r="AR89" i="4" s="1"/>
  <c r="AO89" i="4" a="1"/>
  <c r="AO89" i="4" s="1"/>
  <c r="AN89" i="4" a="1"/>
  <c r="AN89" i="4" s="1"/>
  <c r="AI89" i="4" a="1"/>
  <c r="AI89" i="4" s="1"/>
  <c r="AF89" i="4" a="1"/>
  <c r="AF89" i="4" s="1"/>
  <c r="AO119" i="4" s="1"/>
  <c r="AO111" i="4" s="1"/>
  <c r="AE89" i="4" a="1"/>
  <c r="AE89" i="4" s="1"/>
  <c r="AD89" i="4" a="1"/>
  <c r="AD89" i="4" s="1"/>
  <c r="AE119" i="4" s="1"/>
  <c r="AD88" i="4"/>
  <c r="AD88" i="4" a="1"/>
  <c r="AU85" i="4"/>
  <c r="AY84" i="4" a="1"/>
  <c r="AY84" i="4" s="1"/>
  <c r="AV84" i="4" a="1"/>
  <c r="AV84" i="4" s="1"/>
  <c r="AU84" i="4"/>
  <c r="AU87" i="4" s="1"/>
  <c r="AR84" i="4"/>
  <c r="AR85" i="4" s="1"/>
  <c r="AO84" i="4"/>
  <c r="AO88" i="4" s="1"/>
  <c r="AN84" i="4"/>
  <c r="AN351" i="4" s="1"/>
  <c r="AI84" i="4"/>
  <c r="AI87" i="4" s="1"/>
  <c r="AF84" i="4"/>
  <c r="AF87" i="4" s="1"/>
  <c r="AE84" i="4"/>
  <c r="AE88" i="4" s="1"/>
  <c r="AD84" i="4"/>
  <c r="AD85" i="4" s="1"/>
  <c r="AN81" i="4"/>
  <c r="AC81" i="4" a="1"/>
  <c r="AC81" i="4" s="1"/>
  <c r="AC80" i="4"/>
  <c r="AC79" i="4" a="1"/>
  <c r="AC79" i="4" s="1"/>
  <c r="AC78" i="4" a="1"/>
  <c r="AC78" i="4" s="1"/>
  <c r="AC56" i="4" a="1"/>
  <c r="AC56" i="4" s="1"/>
  <c r="AC55" i="4"/>
  <c r="A174" i="4" s="1"/>
  <c r="A175" i="4" s="1" a="1"/>
  <c r="A175" i="4" s="1"/>
  <c r="A176" i="4" s="1" a="1"/>
  <c r="A176" i="4" s="1"/>
  <c r="A177" i="4" s="1" a="1"/>
  <c r="A177" i="4" s="1"/>
  <c r="A178" i="4" s="1" a="1"/>
  <c r="A178" i="4" s="1"/>
  <c r="A179" i="4" s="1" a="1"/>
  <c r="A179" i="4" s="1"/>
  <c r="A180" i="4" s="1" a="1"/>
  <c r="A180" i="4" s="1"/>
  <c r="AC54" i="4"/>
  <c r="AC53" i="4" a="1"/>
  <c r="AC53" i="4" s="1"/>
  <c r="AC52" i="4" a="1"/>
  <c r="AC52" i="4" s="1"/>
  <c r="AC51" i="4" a="1"/>
  <c r="AC51" i="4" s="1"/>
  <c r="AC50" i="4" a="1"/>
  <c r="AC50" i="4" s="1"/>
  <c r="AC49" i="4" a="1"/>
  <c r="AC49" i="4" s="1"/>
  <c r="AC48" i="4" a="1"/>
  <c r="AC48" i="4" s="1"/>
  <c r="AC47" i="4" a="1"/>
  <c r="AC47" i="4" s="1"/>
  <c r="A308" i="4" s="1"/>
  <c r="B308" i="4" s="1" a="1"/>
  <c r="B308" i="4" s="1"/>
  <c r="AC46" i="4" a="1"/>
  <c r="AC46" i="4" s="1"/>
  <c r="AC45" i="4" a="1"/>
  <c r="AC45" i="4" s="1"/>
  <c r="AC44" i="4" a="1"/>
  <c r="AC44" i="4" s="1"/>
  <c r="AC43" i="4" a="1"/>
  <c r="AC43" i="4" s="1"/>
  <c r="AC42" i="4" a="1"/>
  <c r="AC42" i="4" s="1"/>
  <c r="AC41" i="4" a="1"/>
  <c r="AC41" i="4" s="1"/>
  <c r="AC40" i="4" a="1"/>
  <c r="AC40" i="4" s="1"/>
  <c r="AC39" i="4" a="1"/>
  <c r="AC39" i="4" s="1"/>
  <c r="AC38" i="4" a="1"/>
  <c r="AC38" i="4" s="1"/>
  <c r="AC37" i="4" a="1"/>
  <c r="AC37" i="4" s="1"/>
  <c r="AC36" i="4" a="1"/>
  <c r="AC36" i="4" s="1"/>
  <c r="B245" i="4" s="1"/>
  <c r="B254" i="4" s="1" a="1"/>
  <c r="B254" i="4" s="1"/>
  <c r="AC35" i="4" a="1"/>
  <c r="AC35" i="4" s="1"/>
  <c r="AC34" i="4" a="1"/>
  <c r="AC34" i="4" s="1"/>
  <c r="AC33" i="4" a="1"/>
  <c r="AC33" i="4" s="1"/>
  <c r="AC32" i="4" a="1"/>
  <c r="AC32" i="4" s="1"/>
  <c r="AC31" i="4" a="1"/>
  <c r="AC31" i="4" s="1"/>
  <c r="AC30" i="4" a="1"/>
  <c r="AC30" i="4" s="1"/>
  <c r="AC29" i="4" a="1"/>
  <c r="AC29" i="4" s="1"/>
  <c r="AC28" i="4" a="1"/>
  <c r="AC28" i="4" s="1"/>
  <c r="AC27" i="4" a="1"/>
  <c r="AC27" i="4" s="1"/>
  <c r="AC26" i="4" a="1"/>
  <c r="AC26" i="4" s="1"/>
  <c r="AC25" i="4" a="1"/>
  <c r="AC25" i="4" s="1"/>
  <c r="AC24" i="4" a="1"/>
  <c r="AC24" i="4" s="1"/>
  <c r="AC23" i="4"/>
  <c r="AC22" i="4"/>
  <c r="AC22" i="4" a="1"/>
  <c r="BB21" i="4"/>
  <c r="BB8" i="4" s="1" a="1"/>
  <c r="BB8" i="4" s="1"/>
  <c r="BC8" i="4" s="1" a="1"/>
  <c r="BC8" i="4" s="1"/>
  <c r="BD8" i="4" s="1" a="1"/>
  <c r="BD8" i="4" s="1"/>
  <c r="BB21" i="4" a="1"/>
  <c r="BA21" i="4"/>
  <c r="BA9" i="4" s="1" a="1"/>
  <c r="BA9" i="4" s="1"/>
  <c r="BA21" i="4" a="1"/>
  <c r="AZ21" i="4"/>
  <c r="AZ8" i="4" s="1" a="1"/>
  <c r="AZ8" i="4" s="1"/>
  <c r="AZ21" i="4" a="1"/>
  <c r="AY21" i="4"/>
  <c r="AY9" i="4" s="1" a="1"/>
  <c r="AY9" i="4" s="1"/>
  <c r="AY21" i="4" a="1"/>
  <c r="AX21" i="4"/>
  <c r="AX8" i="4" s="1" a="1"/>
  <c r="AX8" i="4" s="1"/>
  <c r="AX21" i="4" a="1"/>
  <c r="AW21" i="4"/>
  <c r="AW9" i="4" s="1" a="1"/>
  <c r="AW9" i="4" s="1"/>
  <c r="AW21" i="4" a="1"/>
  <c r="AV21" i="4"/>
  <c r="AV8" i="4" s="1" a="1"/>
  <c r="AV8" i="4" s="1"/>
  <c r="AV21" i="4" a="1"/>
  <c r="AU21" i="4"/>
  <c r="AU9" i="4" s="1" a="1"/>
  <c r="AU9" i="4" s="1"/>
  <c r="AU21" i="4" a="1"/>
  <c r="AT21" i="4"/>
  <c r="AT8" i="4" s="1" a="1"/>
  <c r="AT8" i="4" s="1"/>
  <c r="AT21" i="4" a="1"/>
  <c r="AS21" i="4"/>
  <c r="AS9" i="4" s="1" a="1"/>
  <c r="AS9" i="4" s="1"/>
  <c r="AS21" i="4" a="1"/>
  <c r="AR21" i="4"/>
  <c r="AR8" i="4" s="1" a="1"/>
  <c r="AR8" i="4" s="1"/>
  <c r="AR21" i="4" a="1"/>
  <c r="AQ21" i="4"/>
  <c r="AQ9" i="4" s="1" a="1"/>
  <c r="AQ9" i="4" s="1"/>
  <c r="AQ21" i="4" a="1"/>
  <c r="AP21" i="4"/>
  <c r="AP8" i="4" s="1" a="1"/>
  <c r="AP8" i="4" s="1"/>
  <c r="AP21" i="4" a="1"/>
  <c r="AO21" i="4"/>
  <c r="AO9" i="4" s="1" a="1"/>
  <c r="AO9" i="4" s="1"/>
  <c r="AO21" i="4" a="1"/>
  <c r="AN21" i="4"/>
  <c r="AN8" i="4" s="1" a="1"/>
  <c r="AN8" i="4" s="1"/>
  <c r="AN21" i="4" a="1"/>
  <c r="AM21" i="4"/>
  <c r="AM9" i="4" s="1" a="1"/>
  <c r="AM9" i="4" s="1"/>
  <c r="AM21" i="4" a="1"/>
  <c r="AL21" i="4"/>
  <c r="AL8" i="4" s="1" a="1"/>
  <c r="AL8" i="4" s="1"/>
  <c r="AL21" i="4" a="1"/>
  <c r="AK21" i="4"/>
  <c r="AK9" i="4" s="1" a="1"/>
  <c r="AK9" i="4" s="1"/>
  <c r="AK21" i="4" a="1"/>
  <c r="AJ21" i="4"/>
  <c r="AJ8" i="4" s="1" a="1"/>
  <c r="AJ8" i="4" s="1"/>
  <c r="AJ21" i="4" a="1"/>
  <c r="AI21" i="4"/>
  <c r="AI9" i="4" s="1" a="1"/>
  <c r="AI9" i="4" s="1"/>
  <c r="AI21" i="4" a="1"/>
  <c r="AH21" i="4"/>
  <c r="AH8" i="4" s="1" a="1"/>
  <c r="AH8" i="4" s="1"/>
  <c r="AH21" i="4" a="1"/>
  <c r="AG21" i="4"/>
  <c r="AG9" i="4" s="1" a="1"/>
  <c r="AG9" i="4" s="1"/>
  <c r="AG21" i="4" a="1"/>
  <c r="AF21" i="4"/>
  <c r="AF8" i="4" s="1" a="1"/>
  <c r="AF8" i="4" s="1"/>
  <c r="AF21" i="4" a="1"/>
  <c r="AE21" i="4"/>
  <c r="AE9" i="4" s="1" a="1"/>
  <c r="AE9" i="4" s="1"/>
  <c r="AE21" i="4" a="1"/>
  <c r="AD21" i="4"/>
  <c r="AD8" i="4" s="1" a="1"/>
  <c r="AD8" i="4" s="1"/>
  <c r="AD21" i="4" a="1"/>
  <c r="AM2" i="4"/>
  <c r="AL2" i="4"/>
  <c r="B108" i="4" l="1"/>
  <c r="B294" i="4"/>
  <c r="A295" i="4"/>
  <c r="B295" i="4" s="1" a="1"/>
  <c r="B295" i="4" s="1"/>
  <c r="B330" i="4"/>
  <c r="AU131" i="4"/>
  <c r="AU179" i="4"/>
  <c r="AU174" i="4"/>
  <c r="AO85" i="4"/>
  <c r="AO87" i="4"/>
  <c r="M122" i="4"/>
  <c r="BE123" i="4"/>
  <c r="BE135" i="4"/>
  <c r="M137" i="4"/>
  <c r="M138" i="4"/>
  <c r="AU219" i="4"/>
  <c r="BE270" i="4"/>
  <c r="BE278" i="4"/>
  <c r="BE299" i="4"/>
  <c r="BE129" i="4"/>
  <c r="AY133" i="4"/>
  <c r="AY131" i="4" s="1"/>
  <c r="AY127" i="4" s="1"/>
  <c r="AY130" i="4" s="1"/>
  <c r="M139" i="4"/>
  <c r="M160" i="4"/>
  <c r="AU180" i="4"/>
  <c r="AU273" i="4"/>
  <c r="AE87" i="4"/>
  <c r="A109" i="4"/>
  <c r="A110" i="4" s="1" a="1"/>
  <c r="A110" i="4" s="1"/>
  <c r="A111" i="4" s="1" a="1"/>
  <c r="A111" i="4" s="1"/>
  <c r="M112" i="4"/>
  <c r="BE114" i="4"/>
  <c r="BE122" i="4"/>
  <c r="M126" i="4"/>
  <c r="AR131" i="4"/>
  <c r="BE136" i="4"/>
  <c r="BE137" i="4"/>
  <c r="M140" i="4"/>
  <c r="AY259" i="4"/>
  <c r="B329" i="4"/>
  <c r="A331" i="4"/>
  <c r="B344" i="4"/>
  <c r="M156" i="4"/>
  <c r="BE249" i="4"/>
  <c r="BE253" i="4"/>
  <c r="AN273" i="4"/>
  <c r="BE280" i="4"/>
  <c r="BE300" i="4"/>
  <c r="A307" i="4"/>
  <c r="B307" i="4" s="1" a="1"/>
  <c r="B307" i="4" s="1"/>
  <c r="AN307" i="4" a="1"/>
  <c r="AN307" i="4" s="1"/>
  <c r="A300" i="4"/>
  <c r="B300" i="4" s="1" a="1"/>
  <c r="B300" i="4" s="1"/>
  <c r="AU307" i="4" a="1"/>
  <c r="AU307" i="4" s="1"/>
  <c r="A255" i="4"/>
  <c r="B255" i="4" s="1" a="1"/>
  <c r="B255" i="4" s="1"/>
  <c r="A265" i="4"/>
  <c r="B86" i="4"/>
  <c r="AM1" i="4"/>
  <c r="AL1" i="4"/>
  <c r="A90" i="4"/>
  <c r="B90" i="4" s="1" a="1"/>
  <c r="B90" i="4" s="1"/>
  <c r="AY351" i="4"/>
  <c r="AY353" i="4" s="1"/>
  <c r="AY352" i="4"/>
  <c r="AY87" i="4"/>
  <c r="AR211" i="4"/>
  <c r="AR168" i="4"/>
  <c r="AR196" i="4"/>
  <c r="AY119" i="4"/>
  <c r="B246" i="4"/>
  <c r="B247" i="4" s="1" a="1"/>
  <c r="B247" i="4" s="1"/>
  <c r="B248" i="4" s="1"/>
  <c r="B249" i="4" s="1" a="1"/>
  <c r="B249" i="4" s="1"/>
  <c r="B250" i="4" s="1" a="1"/>
  <c r="B250" i="4" s="1"/>
  <c r="B251" i="4" s="1" a="1"/>
  <c r="B251" i="4" s="1"/>
  <c r="B252" i="4" s="1" a="1"/>
  <c r="B252" i="4" s="1"/>
  <c r="B253" i="4" s="1" a="1"/>
  <c r="B253" i="4" s="1"/>
  <c r="AR245" i="4"/>
  <c r="A306" i="4"/>
  <c r="B306" i="4" s="1" a="1"/>
  <c r="B306" i="4" s="1"/>
  <c r="A299" i="4"/>
  <c r="B299" i="4" s="1" a="1"/>
  <c r="B299" i="4" s="1"/>
  <c r="AU306" i="4" a="1"/>
  <c r="AU306" i="4" s="1"/>
  <c r="AN306" i="4" a="1"/>
  <c r="AN306" i="4" s="1"/>
  <c r="A256" i="4"/>
  <c r="B256" i="4" s="1" a="1"/>
  <c r="B256" i="4" s="1"/>
  <c r="AI211" i="4"/>
  <c r="AI196" i="4"/>
  <c r="AI168" i="4"/>
  <c r="AR119" i="4"/>
  <c r="AU119" i="4" s="1" a="1"/>
  <c r="AU119" i="4" s="1"/>
  <c r="AN284" i="4"/>
  <c r="AU284" i="4"/>
  <c r="A305" i="4"/>
  <c r="B305" i="4" s="1" a="1"/>
  <c r="B305" i="4" s="1"/>
  <c r="AU305" i="4" a="1"/>
  <c r="AU305" i="4" s="1"/>
  <c r="AN305" i="4" a="1"/>
  <c r="AN305" i="4" s="1"/>
  <c r="A298" i="4"/>
  <c r="B298" i="4" s="1" a="1"/>
  <c r="B298" i="4" s="1"/>
  <c r="A257" i="4"/>
  <c r="B257" i="4" s="1" a="1"/>
  <c r="B257" i="4" s="1"/>
  <c r="AE111" i="4"/>
  <c r="AB125" i="4"/>
  <c r="AR125" i="4" a="1"/>
  <c r="AR125" i="4" s="1"/>
  <c r="AN125" i="4" a="1"/>
  <c r="AN125" i="4" s="1"/>
  <c r="AY125" i="4" a="1"/>
  <c r="AY125" i="4" s="1"/>
  <c r="AI125" i="4" a="1"/>
  <c r="AI125" i="4" s="1"/>
  <c r="AU125" i="4" a="1"/>
  <c r="AU125" i="4" s="1"/>
  <c r="AV85" i="4"/>
  <c r="AV87" i="4"/>
  <c r="AF119" i="4"/>
  <c r="BE119" i="4" s="1"/>
  <c r="AY211" i="4"/>
  <c r="AY196" i="4"/>
  <c r="AY168" i="4"/>
  <c r="A113" i="4" a="1"/>
  <c r="A113" i="4" s="1"/>
  <c r="A114" i="4" s="1" a="1"/>
  <c r="A114" i="4" s="1"/>
  <c r="A115" i="4" s="1" a="1"/>
  <c r="A115" i="4" s="1"/>
  <c r="A116" i="4" s="1" a="1"/>
  <c r="A116" i="4" s="1"/>
  <c r="A117" i="4" s="1" a="1"/>
  <c r="A117" i="4" s="1"/>
  <c r="A118" i="4" s="1" a="1"/>
  <c r="A118" i="4" s="1"/>
  <c r="A119" i="4" s="1" a="1"/>
  <c r="A119" i="4" s="1"/>
  <c r="A120" i="4" s="1" a="1"/>
  <c r="A120" i="4" s="1"/>
  <c r="A112" i="4" a="1"/>
  <c r="A112" i="4" s="1"/>
  <c r="AE1" i="4" a="1"/>
  <c r="AE1" i="4" s="1"/>
  <c r="AN1" i="4" a="1"/>
  <c r="AN1" i="4" s="1"/>
  <c r="AV1" i="4" a="1"/>
  <c r="AV1" i="4" s="1"/>
  <c r="AW1" i="4" s="1"/>
  <c r="AY1" i="4" a="1"/>
  <c r="AY1" i="4" s="1"/>
  <c r="AZ1" i="4" s="1"/>
  <c r="BB1" i="4" a="1"/>
  <c r="BB1" i="4" s="1"/>
  <c r="BC1" i="4" s="1" a="1"/>
  <c r="BC1" i="4" s="1"/>
  <c r="BD1" i="4" s="1" a="1"/>
  <c r="BD1" i="4" s="1"/>
  <c r="BE1" i="4" s="1" a="1"/>
  <c r="BE1" i="4" s="1"/>
  <c r="BF1" i="4" s="1" a="1"/>
  <c r="BF1" i="4" s="1"/>
  <c r="BG1" i="4" s="1" a="1"/>
  <c r="BG1" i="4" s="1"/>
  <c r="BH1" i="4" s="1" a="1"/>
  <c r="BH1" i="4" s="1"/>
  <c r="BI1" i="4" s="1" a="1"/>
  <c r="BI1" i="4" s="1"/>
  <c r="BJ1" i="4" s="1" a="1"/>
  <c r="BJ1" i="4" s="1"/>
  <c r="BK1" i="4" s="1" a="1"/>
  <c r="BK1" i="4" s="1"/>
  <c r="BL1" i="4" s="1" a="1"/>
  <c r="BL1" i="4" s="1"/>
  <c r="BM1" i="4" s="1" a="1"/>
  <c r="BM1" i="4" s="1"/>
  <c r="AD2" i="4" a="1"/>
  <c r="AD2" i="4" s="1"/>
  <c r="AF2" i="4" a="1"/>
  <c r="AF2" i="4" s="1"/>
  <c r="AI2" i="4" a="1"/>
  <c r="AI2" i="4" s="1"/>
  <c r="AO2" i="4" a="1"/>
  <c r="AO2" i="4" s="1"/>
  <c r="AR2" i="4" a="1"/>
  <c r="AR2" i="4" s="1"/>
  <c r="AU2" i="4" a="1"/>
  <c r="AU2" i="4" s="1"/>
  <c r="AE5" i="4" a="1"/>
  <c r="AE5" i="4" s="1"/>
  <c r="AG5" i="4" a="1"/>
  <c r="AG5" i="4" s="1"/>
  <c r="AI5" i="4" a="1"/>
  <c r="AI5" i="4" s="1"/>
  <c r="AK5" i="4" a="1"/>
  <c r="AK5" i="4" s="1"/>
  <c r="AM5" i="4" a="1"/>
  <c r="AM5" i="4" s="1"/>
  <c r="AO5" i="4" a="1"/>
  <c r="AO5" i="4" s="1"/>
  <c r="AQ5" i="4" a="1"/>
  <c r="AQ5" i="4" s="1"/>
  <c r="AS5" i="4" a="1"/>
  <c r="AS5" i="4" s="1"/>
  <c r="AU5" i="4" a="1"/>
  <c r="AU5" i="4" s="1"/>
  <c r="AW5" i="4" a="1"/>
  <c r="AW5" i="4" s="1"/>
  <c r="AY5" i="4" a="1"/>
  <c r="AY5" i="4" s="1"/>
  <c r="BA5" i="4" a="1"/>
  <c r="BA5" i="4" s="1"/>
  <c r="AD6" i="4" a="1"/>
  <c r="AD6" i="4" s="1"/>
  <c r="AF6" i="4" a="1"/>
  <c r="AF6" i="4" s="1"/>
  <c r="AH6" i="4" a="1"/>
  <c r="AH6" i="4" s="1"/>
  <c r="AJ6" i="4" a="1"/>
  <c r="AJ6" i="4" s="1"/>
  <c r="AL6" i="4" a="1"/>
  <c r="AL6" i="4" s="1"/>
  <c r="AN6" i="4" a="1"/>
  <c r="AN6" i="4" s="1"/>
  <c r="AP6" i="4" a="1"/>
  <c r="AP6" i="4" s="1"/>
  <c r="AR6" i="4" a="1"/>
  <c r="AR6" i="4" s="1"/>
  <c r="AT6" i="4" a="1"/>
  <c r="AT6" i="4" s="1"/>
  <c r="AV6" i="4" a="1"/>
  <c r="AV6" i="4" s="1"/>
  <c r="AX6" i="4" a="1"/>
  <c r="AX6" i="4" s="1"/>
  <c r="AZ6" i="4" a="1"/>
  <c r="AZ6" i="4" s="1"/>
  <c r="BB6" i="4" a="1"/>
  <c r="BB6" i="4" s="1"/>
  <c r="BC6" i="4" s="1" a="1"/>
  <c r="BC6" i="4" s="1"/>
  <c r="BD6" i="4" s="1" a="1"/>
  <c r="BD6" i="4" s="1"/>
  <c r="AE8" i="4" a="1"/>
  <c r="AE8" i="4" s="1"/>
  <c r="AG8" i="4" a="1"/>
  <c r="AG8" i="4" s="1"/>
  <c r="AI8" i="4" a="1"/>
  <c r="AI8" i="4" s="1"/>
  <c r="AK8" i="4" a="1"/>
  <c r="AK8" i="4" s="1"/>
  <c r="AM8" i="4" a="1"/>
  <c r="AM8" i="4" s="1"/>
  <c r="AO8" i="4" a="1"/>
  <c r="AO8" i="4" s="1"/>
  <c r="AQ8" i="4" a="1"/>
  <c r="AQ8" i="4" s="1"/>
  <c r="AS8" i="4" a="1"/>
  <c r="AS8" i="4" s="1"/>
  <c r="AU8" i="4" a="1"/>
  <c r="AU8" i="4" s="1"/>
  <c r="AW8" i="4" a="1"/>
  <c r="AW8" i="4" s="1"/>
  <c r="AY8" i="4" a="1"/>
  <c r="AY8" i="4" s="1"/>
  <c r="BA8" i="4" a="1"/>
  <c r="BA8" i="4" s="1"/>
  <c r="AD9" i="4" a="1"/>
  <c r="AD9" i="4" s="1"/>
  <c r="AF9" i="4" a="1"/>
  <c r="AF9" i="4" s="1"/>
  <c r="AH9" i="4" a="1"/>
  <c r="AH9" i="4" s="1"/>
  <c r="AJ9" i="4" a="1"/>
  <c r="AJ9" i="4" s="1"/>
  <c r="AL9" i="4" a="1"/>
  <c r="AL9" i="4" s="1"/>
  <c r="AN9" i="4" a="1"/>
  <c r="AN9" i="4" s="1"/>
  <c r="AP9" i="4" a="1"/>
  <c r="AP9" i="4" s="1"/>
  <c r="AR9" i="4" a="1"/>
  <c r="AR9" i="4" s="1"/>
  <c r="AT9" i="4" a="1"/>
  <c r="AT9" i="4" s="1"/>
  <c r="AV9" i="4" a="1"/>
  <c r="AV9" i="4" s="1"/>
  <c r="AX9" i="4" a="1"/>
  <c r="AX9" i="4" s="1"/>
  <c r="AZ9" i="4" a="1"/>
  <c r="AZ9" i="4" s="1"/>
  <c r="BB9" i="4" a="1"/>
  <c r="BB9" i="4" s="1"/>
  <c r="BC9" i="4" s="1" a="1"/>
  <c r="BC9" i="4" s="1"/>
  <c r="BD9" i="4" s="1" a="1"/>
  <c r="BD9" i="4" s="1"/>
  <c r="AE85" i="4"/>
  <c r="AD87" i="4"/>
  <c r="AN87" i="4"/>
  <c r="M109" i="4" a="1"/>
  <c r="M109" i="4" s="1"/>
  <c r="M113" i="4" a="1"/>
  <c r="M113" i="4" s="1"/>
  <c r="M114" i="4" a="1"/>
  <c r="M114" i="4" s="1"/>
  <c r="BE116" i="4"/>
  <c r="M117" i="4" a="1"/>
  <c r="M117" i="4" s="1"/>
  <c r="M118" i="4" a="1"/>
  <c r="M118" i="4" s="1"/>
  <c r="M120" i="4" a="1"/>
  <c r="M120" i="4" s="1"/>
  <c r="M121" i="4" a="1"/>
  <c r="M121" i="4" s="1"/>
  <c r="AU127" i="4"/>
  <c r="AU130" i="4" s="1"/>
  <c r="M128" i="4" a="1"/>
  <c r="M128" i="4" s="1"/>
  <c r="AN133" i="4"/>
  <c r="AN131" i="4" s="1"/>
  <c r="M143" i="4" a="1"/>
  <c r="M143" i="4" s="1"/>
  <c r="M145" i="4" a="1"/>
  <c r="M145" i="4" s="1"/>
  <c r="M147" i="4" a="1"/>
  <c r="M147" i="4" s="1"/>
  <c r="M149" i="4" a="1"/>
  <c r="M149" i="4" s="1"/>
  <c r="M151" i="4" a="1"/>
  <c r="M151" i="4" s="1"/>
  <c r="M153" i="4" a="1"/>
  <c r="M153" i="4" s="1"/>
  <c r="M155" i="4" a="1"/>
  <c r="M155" i="4" s="1"/>
  <c r="BF161" i="4"/>
  <c r="BF160" i="4" s="1"/>
  <c r="AR351" i="4"/>
  <c r="AR352" i="4"/>
  <c r="AF85" i="4"/>
  <c r="AF88" i="4"/>
  <c r="AA117" i="4"/>
  <c r="AA118" i="4"/>
  <c r="AA126" i="4"/>
  <c r="AA124" i="4"/>
  <c r="AA123" i="4"/>
  <c r="AR127" i="4"/>
  <c r="AR130" i="4" s="1"/>
  <c r="AR121" i="4" a="1"/>
  <c r="AR121" i="4" s="1"/>
  <c r="AD1" i="4" a="1"/>
  <c r="AD1" i="4" s="1"/>
  <c r="AF1" i="4" a="1"/>
  <c r="AF1" i="4" s="1"/>
  <c r="AH1" i="4" s="1"/>
  <c r="AH2" i="4" s="1"/>
  <c r="AI1" i="4" a="1"/>
  <c r="AI1" i="4" s="1"/>
  <c r="AK1" i="4" s="1"/>
  <c r="AK2" i="4" s="1"/>
  <c r="AO1" i="4" a="1"/>
  <c r="AO1" i="4" s="1"/>
  <c r="AP1" i="4" s="1"/>
  <c r="AP2" i="4" s="1"/>
  <c r="AR1" i="4" a="1"/>
  <c r="AR1" i="4" s="1"/>
  <c r="AS1" i="4" s="1"/>
  <c r="AS2" i="4" s="1"/>
  <c r="AU1" i="4" a="1"/>
  <c r="AU1" i="4" s="1"/>
  <c r="AE2" i="4" a="1"/>
  <c r="AE2" i="4" s="1"/>
  <c r="AN2" i="4" a="1"/>
  <c r="AN2" i="4" s="1"/>
  <c r="AV2" i="4" a="1"/>
  <c r="AV2" i="4" s="1"/>
  <c r="AY2" i="4" a="1"/>
  <c r="AY2" i="4" s="1"/>
  <c r="BB2" i="4" a="1"/>
  <c r="BB2" i="4" s="1"/>
  <c r="BC2" i="4" s="1" a="1"/>
  <c r="BC2" i="4" s="1"/>
  <c r="BD2" i="4" s="1" a="1"/>
  <c r="BD2" i="4" s="1"/>
  <c r="BE2" i="4" s="1" a="1"/>
  <c r="BE2" i="4" s="1"/>
  <c r="BF2" i="4" s="1" a="1"/>
  <c r="BF2" i="4" s="1"/>
  <c r="BG2" i="4" s="1" a="1"/>
  <c r="BG2" i="4" s="1"/>
  <c r="BH2" i="4" s="1" a="1"/>
  <c r="BH2" i="4" s="1"/>
  <c r="BI2" i="4" s="1" a="1"/>
  <c r="BI2" i="4" s="1"/>
  <c r="BJ2" i="4" s="1" a="1"/>
  <c r="BJ2" i="4" s="1"/>
  <c r="BK2" i="4" s="1" a="1"/>
  <c r="BK2" i="4" s="1"/>
  <c r="BL2" i="4" s="1" a="1"/>
  <c r="BL2" i="4" s="1"/>
  <c r="BM2" i="4" s="1" a="1"/>
  <c r="BM2" i="4" s="1"/>
  <c r="AD5" i="4" a="1"/>
  <c r="AD5" i="4" s="1"/>
  <c r="AF5" i="4" a="1"/>
  <c r="AF5" i="4" s="1"/>
  <c r="AH5" i="4" a="1"/>
  <c r="AH5" i="4" s="1"/>
  <c r="AJ5" i="4" a="1"/>
  <c r="AJ5" i="4" s="1"/>
  <c r="AL5" i="4" a="1"/>
  <c r="AL5" i="4" s="1"/>
  <c r="AN5" i="4" a="1"/>
  <c r="AN5" i="4" s="1"/>
  <c r="AP5" i="4" a="1"/>
  <c r="AP5" i="4" s="1"/>
  <c r="AR5" i="4" a="1"/>
  <c r="AR5" i="4" s="1"/>
  <c r="AT5" i="4" a="1"/>
  <c r="AT5" i="4" s="1"/>
  <c r="AV5" i="4" a="1"/>
  <c r="AV5" i="4" s="1"/>
  <c r="AX5" i="4" a="1"/>
  <c r="AX5" i="4" s="1"/>
  <c r="AZ5" i="4" a="1"/>
  <c r="AZ5" i="4" s="1"/>
  <c r="BB5" i="4" a="1"/>
  <c r="BB5" i="4" s="1"/>
  <c r="BC5" i="4" s="1" a="1"/>
  <c r="BC5" i="4" s="1"/>
  <c r="BD5" i="4" s="1" a="1"/>
  <c r="BD5" i="4" s="1"/>
  <c r="AE6" i="4" a="1"/>
  <c r="AE6" i="4" s="1"/>
  <c r="AG6" i="4" a="1"/>
  <c r="AG6" i="4" s="1"/>
  <c r="AI6" i="4" a="1"/>
  <c r="AI6" i="4" s="1"/>
  <c r="AK6" i="4" a="1"/>
  <c r="AK6" i="4" s="1"/>
  <c r="AM6" i="4" a="1"/>
  <c r="AM6" i="4" s="1"/>
  <c r="AO6" i="4" a="1"/>
  <c r="AO6" i="4" s="1"/>
  <c r="AQ6" i="4" a="1"/>
  <c r="AQ6" i="4" s="1"/>
  <c r="AS6" i="4" a="1"/>
  <c r="AS6" i="4" s="1"/>
  <c r="AU6" i="4" a="1"/>
  <c r="AU6" i="4" s="1"/>
  <c r="AW6" i="4" a="1"/>
  <c r="AW6" i="4" s="1"/>
  <c r="AY6" i="4" a="1"/>
  <c r="AY6" i="4" s="1"/>
  <c r="BA6" i="4" a="1"/>
  <c r="BA6" i="4" s="1"/>
  <c r="AN239" i="4" a="1"/>
  <c r="AN239" i="4" s="1"/>
  <c r="AN240" i="4" a="1"/>
  <c r="AN240" i="4" s="1"/>
  <c r="AN238" i="4" a="1"/>
  <c r="AN238" i="4" s="1"/>
  <c r="AN234" i="4" a="1"/>
  <c r="AN234" i="4" s="1"/>
  <c r="BE234" i="4" s="1"/>
  <c r="AN231" i="4" a="1"/>
  <c r="AN231" i="4" s="1"/>
  <c r="AN236" i="4" a="1"/>
  <c r="AN236" i="4" s="1"/>
  <c r="BE236" i="4" s="1"/>
  <c r="AN225" i="4" a="1"/>
  <c r="AN225" i="4" s="1"/>
  <c r="AN218" i="4" a="1"/>
  <c r="AN218" i="4" s="1"/>
  <c r="AN213" i="4" a="1"/>
  <c r="AN213" i="4" s="1"/>
  <c r="BE213" i="4" s="1"/>
  <c r="AN207" i="4" a="1"/>
  <c r="AN207" i="4" s="1"/>
  <c r="BE207" i="4" s="1"/>
  <c r="AN204" i="4" a="1"/>
  <c r="AN204" i="4" s="1"/>
  <c r="AN192" i="4" a="1"/>
  <c r="AN192" i="4" s="1"/>
  <c r="AN190" i="4" a="1"/>
  <c r="AN190" i="4" s="1"/>
  <c r="BE190" i="4" s="1"/>
  <c r="AN182" i="4" a="1"/>
  <c r="AN182" i="4" s="1"/>
  <c r="AN233" i="4" a="1"/>
  <c r="AN233" i="4" s="1"/>
  <c r="AN232" i="4" s="1"/>
  <c r="AN229" i="4" a="1"/>
  <c r="AN229" i="4" s="1"/>
  <c r="AN223" i="4" a="1"/>
  <c r="AN223" i="4" s="1"/>
  <c r="AN222" i="4" a="1"/>
  <c r="AN222" i="4" s="1"/>
  <c r="AN215" i="4" a="1"/>
  <c r="AN215" i="4" s="1"/>
  <c r="AN212" i="4" a="1"/>
  <c r="AN212" i="4" s="1"/>
  <c r="AN210" i="4" a="1"/>
  <c r="AN210" i="4" s="1"/>
  <c r="AN208" i="4" a="1"/>
  <c r="AN208" i="4" s="1"/>
  <c r="BE208" i="4" s="1"/>
  <c r="AN206" i="4" a="1"/>
  <c r="AN206" i="4" s="1"/>
  <c r="BE206" i="4" s="1"/>
  <c r="AN205" i="4" a="1"/>
  <c r="AN205" i="4" s="1"/>
  <c r="BE205" i="4" s="1"/>
  <c r="AN187" i="4" a="1"/>
  <c r="AN187" i="4" s="1"/>
  <c r="BE187" i="4" s="1"/>
  <c r="AN186" i="4" a="1"/>
  <c r="AN186" i="4" s="1"/>
  <c r="BE186" i="4" s="1"/>
  <c r="AN184" i="4" a="1"/>
  <c r="AN184" i="4" s="1"/>
  <c r="BE184" i="4" s="1"/>
  <c r="AN177" i="4" a="1"/>
  <c r="AN177" i="4" s="1"/>
  <c r="AN176" i="4" s="1"/>
  <c r="AN224" i="4" a="1"/>
  <c r="AN224" i="4" s="1"/>
  <c r="AN202" i="4" a="1"/>
  <c r="AN202" i="4" s="1"/>
  <c r="AN172" i="4" a="1"/>
  <c r="AN172" i="4" s="1"/>
  <c r="BE172" i="4" s="1"/>
  <c r="AN169" i="4" a="1"/>
  <c r="AN169" i="4" s="1"/>
  <c r="AN167" i="4" a="1"/>
  <c r="AN167" i="4" s="1"/>
  <c r="AN228" i="4" a="1"/>
  <c r="AN228" i="4" s="1"/>
  <c r="AN227" i="4" s="1"/>
  <c r="AN220" i="4" a="1"/>
  <c r="AN220" i="4" s="1"/>
  <c r="BE220" i="4" s="1"/>
  <c r="AN216" i="4" a="1"/>
  <c r="AN216" i="4" s="1"/>
  <c r="BE216" i="4" s="1"/>
  <c r="AN203" i="4" a="1"/>
  <c r="AN203" i="4" s="1"/>
  <c r="AN198" i="4" a="1"/>
  <c r="AN198" i="4" s="1"/>
  <c r="BE198" i="4" s="1"/>
  <c r="AN193" i="4"/>
  <c r="BE193" i="4" s="1"/>
  <c r="AN188" i="4" a="1"/>
  <c r="AN188" i="4" s="1"/>
  <c r="BE188" i="4" s="1"/>
  <c r="AN183" i="4" a="1"/>
  <c r="AN183" i="4" s="1"/>
  <c r="AN178" i="4" a="1"/>
  <c r="AN178" i="4" s="1"/>
  <c r="AN163" i="4" a="1"/>
  <c r="AN163" i="4" s="1"/>
  <c r="BE163" i="4" s="1"/>
  <c r="AN226" i="4" a="1"/>
  <c r="AN226" i="4" s="1"/>
  <c r="BE226" i="4" s="1"/>
  <c r="AN195" i="4" a="1"/>
  <c r="AN195" i="4" s="1"/>
  <c r="AN185" i="4" a="1"/>
  <c r="AN185" i="4" s="1"/>
  <c r="AN170" i="4" a="1"/>
  <c r="AN170" i="4" s="1"/>
  <c r="BE170" i="4" s="1"/>
  <c r="AN237" i="4" a="1"/>
  <c r="AN237" i="4" s="1"/>
  <c r="AN221" i="4" a="1"/>
  <c r="AN221" i="4" s="1"/>
  <c r="AN217" i="4" a="1"/>
  <c r="AN217" i="4" s="1"/>
  <c r="AN197" i="4" a="1"/>
  <c r="AN197" i="4" s="1"/>
  <c r="AN175" i="4" a="1"/>
  <c r="AN175" i="4" s="1"/>
  <c r="AN173" i="4" a="1"/>
  <c r="AN173" i="4" s="1"/>
  <c r="AN165" i="4" a="1"/>
  <c r="AN165" i="4" s="1"/>
  <c r="BE165" i="4" s="1"/>
  <c r="AN164" i="4" a="1"/>
  <c r="AN164" i="4" s="1"/>
  <c r="BE164" i="4" s="1"/>
  <c r="AI351" i="4"/>
  <c r="AI352" i="4"/>
  <c r="AI85" i="4"/>
  <c r="AR87" i="4"/>
  <c r="AI88" i="4"/>
  <c r="AR88" i="4"/>
  <c r="M370" i="4" a="1"/>
  <c r="M370" i="4" s="1"/>
  <c r="M369" i="4" a="1"/>
  <c r="M369" i="4" s="1"/>
  <c r="M368" i="4" a="1"/>
  <c r="M368" i="4" s="1"/>
  <c r="M367" i="4" a="1"/>
  <c r="M367" i="4" s="1"/>
  <c r="M366" i="4" a="1"/>
  <c r="M366" i="4" s="1"/>
  <c r="M365" i="4" a="1"/>
  <c r="M365" i="4" s="1"/>
  <c r="M361" i="4" a="1"/>
  <c r="M361" i="4" s="1"/>
  <c r="M360" i="4" a="1"/>
  <c r="M360" i="4" s="1"/>
  <c r="M359" i="4" a="1"/>
  <c r="M359" i="4" s="1"/>
  <c r="M358" i="4" a="1"/>
  <c r="M358" i="4" s="1"/>
  <c r="M357" i="4" a="1"/>
  <c r="M357" i="4" s="1"/>
  <c r="M353" i="4" a="1"/>
  <c r="M353" i="4" s="1"/>
  <c r="M352" i="4" a="1"/>
  <c r="M352" i="4" s="1"/>
  <c r="M346" i="4" a="1"/>
  <c r="M346" i="4" s="1"/>
  <c r="M380" i="4" a="1"/>
  <c r="M380" i="4" s="1"/>
  <c r="M378" i="4" a="1"/>
  <c r="M378" i="4" s="1"/>
  <c r="M376" i="4" a="1"/>
  <c r="M376" i="4" s="1"/>
  <c r="M374" i="4" a="1"/>
  <c r="M374" i="4" s="1"/>
  <c r="M372" i="4" a="1"/>
  <c r="M372" i="4" s="1"/>
  <c r="M371" i="4" a="1"/>
  <c r="M371" i="4" s="1"/>
  <c r="M364" i="4" a="1"/>
  <c r="M364" i="4" s="1"/>
  <c r="M356" i="4" a="1"/>
  <c r="M356" i="4" s="1"/>
  <c r="M347" i="4" a="1"/>
  <c r="M347" i="4" s="1"/>
  <c r="M345" i="4" a="1"/>
  <c r="M345" i="4" s="1"/>
  <c r="M341" i="4" a="1"/>
  <c r="M341" i="4" s="1"/>
  <c r="M363" i="4" a="1"/>
  <c r="M363" i="4" s="1"/>
  <c r="M355" i="4" a="1"/>
  <c r="M355" i="4" s="1"/>
  <c r="M350" i="4" a="1"/>
  <c r="M350" i="4" s="1"/>
  <c r="M349" i="4" a="1"/>
  <c r="M349" i="4" s="1"/>
  <c r="M348" i="4" a="1"/>
  <c r="M348" i="4" s="1"/>
  <c r="M342" i="4" a="1"/>
  <c r="M342" i="4" s="1"/>
  <c r="M340" i="4" a="1"/>
  <c r="M340" i="4" s="1"/>
  <c r="M339" i="4" a="1"/>
  <c r="M339" i="4" s="1"/>
  <c r="M338" i="4" a="1"/>
  <c r="M338" i="4" s="1"/>
  <c r="M375" i="4" a="1"/>
  <c r="M375" i="4" s="1"/>
  <c r="M351" i="4" a="1"/>
  <c r="M351" i="4" s="1"/>
  <c r="M337" i="4" a="1"/>
  <c r="M337" i="4" s="1"/>
  <c r="M334" i="4" a="1"/>
  <c r="M334" i="4" s="1"/>
  <c r="M320" i="4" a="1"/>
  <c r="M320" i="4" s="1"/>
  <c r="M319" i="4" a="1"/>
  <c r="M319" i="4" s="1"/>
  <c r="M316" i="4" a="1"/>
  <c r="M316" i="4" s="1"/>
  <c r="M379" i="4" a="1"/>
  <c r="M379" i="4" s="1"/>
  <c r="M362" i="4" a="1"/>
  <c r="M362" i="4" s="1"/>
  <c r="M332" i="4" a="1"/>
  <c r="M332" i="4" s="1"/>
  <c r="M329" i="4" a="1"/>
  <c r="M329" i="4" s="1"/>
  <c r="M322" i="4" a="1"/>
  <c r="M322" i="4" s="1"/>
  <c r="M321" i="4" a="1"/>
  <c r="M321" i="4" s="1"/>
  <c r="M317" i="4" a="1"/>
  <c r="M317" i="4" s="1"/>
  <c r="M315" i="4" a="1"/>
  <c r="M315" i="4" s="1"/>
  <c r="M377" i="4" a="1"/>
  <c r="M377" i="4" s="1"/>
  <c r="M344" i="4" a="1"/>
  <c r="M344" i="4" s="1"/>
  <c r="M333" i="4" a="1"/>
  <c r="M333" i="4" s="1"/>
  <c r="M330" i="4" a="1"/>
  <c r="M330" i="4" s="1"/>
  <c r="M325" i="4" a="1"/>
  <c r="M325" i="4" s="1"/>
  <c r="M323" i="4" a="1"/>
  <c r="M323" i="4" s="1"/>
  <c r="M313" i="4" a="1"/>
  <c r="M313" i="4" s="1"/>
  <c r="M302" i="4" a="1"/>
  <c r="M302" i="4" s="1"/>
  <c r="M336" i="4" a="1"/>
  <c r="M336" i="4" s="1"/>
  <c r="M327" i="4" a="1"/>
  <c r="M327" i="4" s="1"/>
  <c r="M309" i="4" a="1"/>
  <c r="M309" i="4" s="1"/>
  <c r="M300" i="4" a="1"/>
  <c r="M300" i="4" s="1"/>
  <c r="M299" i="4" a="1"/>
  <c r="M299" i="4" s="1"/>
  <c r="M298" i="4" a="1"/>
  <c r="M298" i="4" s="1"/>
  <c r="M297" i="4" a="1"/>
  <c r="M297" i="4" s="1"/>
  <c r="M373" i="4" a="1"/>
  <c r="M373" i="4" s="1"/>
  <c r="M354" i="4" a="1"/>
  <c r="M354" i="4" s="1"/>
  <c r="M308" i="4" a="1"/>
  <c r="M308" i="4" s="1"/>
  <c r="M295" i="4" a="1"/>
  <c r="M295" i="4" s="1"/>
  <c r="M289" i="4" a="1"/>
  <c r="M289" i="4" s="1"/>
  <c r="M286" i="4" a="1"/>
  <c r="M286" i="4" s="1"/>
  <c r="M285" i="4" a="1"/>
  <c r="M285" i="4" s="1"/>
  <c r="M283" i="4" a="1"/>
  <c r="M283" i="4" s="1"/>
  <c r="M271" i="4" a="1"/>
  <c r="M271" i="4" s="1"/>
  <c r="M269" i="4" a="1"/>
  <c r="M269" i="4" s="1"/>
  <c r="M265" i="4" a="1"/>
  <c r="M265" i="4" s="1"/>
  <c r="M263" i="4" a="1"/>
  <c r="M263" i="4" s="1"/>
  <c r="M381" i="4" a="1"/>
  <c r="M381" i="4" s="1"/>
  <c r="M331" i="4" a="1"/>
  <c r="M331" i="4" s="1"/>
  <c r="M326" i="4" a="1"/>
  <c r="M326" i="4" s="1"/>
  <c r="M324" i="4" a="1"/>
  <c r="M324" i="4" s="1"/>
  <c r="M312" i="4" a="1"/>
  <c r="M312" i="4" s="1"/>
  <c r="M305" i="4" a="1"/>
  <c r="M305" i="4" s="1"/>
  <c r="M303" i="4" a="1"/>
  <c r="M303" i="4" s="1"/>
  <c r="M293" i="4" a="1"/>
  <c r="M293" i="4" s="1"/>
  <c r="M292" i="4" a="1"/>
  <c r="M292" i="4" s="1"/>
  <c r="M291" i="4" a="1"/>
  <c r="M291" i="4" s="1"/>
  <c r="M282" i="4" a="1"/>
  <c r="M282" i="4" s="1"/>
  <c r="M275" i="4" a="1"/>
  <c r="M275" i="4" s="1"/>
  <c r="M274" i="4" a="1"/>
  <c r="M274" i="4" s="1"/>
  <c r="M272" i="4" a="1"/>
  <c r="M272" i="4" s="1"/>
  <c r="M270" i="4" a="1"/>
  <c r="M270" i="4" s="1"/>
  <c r="M266" i="4" a="1"/>
  <c r="M266" i="4" s="1"/>
  <c r="M257" i="4" a="1"/>
  <c r="M257" i="4" s="1"/>
  <c r="M255" i="4" a="1"/>
  <c r="M255" i="4" s="1"/>
  <c r="M247" i="4" a="1"/>
  <c r="M247" i="4" s="1"/>
  <c r="M243" i="4" a="1"/>
  <c r="M243" i="4" s="1"/>
  <c r="M242" i="4" a="1"/>
  <c r="M242" i="4" s="1"/>
  <c r="M335" i="4" a="1"/>
  <c r="M335" i="4" s="1"/>
  <c r="M311" i="4" a="1"/>
  <c r="M311" i="4" s="1"/>
  <c r="M306" i="4" a="1"/>
  <c r="M306" i="4" s="1"/>
  <c r="M301" i="4" a="1"/>
  <c r="M301" i="4" s="1"/>
  <c r="M287" i="4" a="1"/>
  <c r="M287" i="4" s="1"/>
  <c r="M284" i="4" a="1"/>
  <c r="M284" i="4" s="1"/>
  <c r="M281" i="4" a="1"/>
  <c r="M281" i="4" s="1"/>
  <c r="M279" i="4" a="1"/>
  <c r="M279" i="4" s="1"/>
  <c r="M277" i="4" a="1"/>
  <c r="M277" i="4" s="1"/>
  <c r="M276" i="4" a="1"/>
  <c r="M276" i="4" s="1"/>
  <c r="M267" i="4" a="1"/>
  <c r="M267" i="4" s="1"/>
  <c r="M264" i="4" a="1"/>
  <c r="M264" i="4" s="1"/>
  <c r="M262" i="4" a="1"/>
  <c r="M262" i="4" s="1"/>
  <c r="M343" i="4" a="1"/>
  <c r="M343" i="4" s="1"/>
  <c r="M328" i="4" a="1"/>
  <c r="M328" i="4" s="1"/>
  <c r="M318" i="4" a="1"/>
  <c r="M318" i="4" s="1"/>
  <c r="M314" i="4" a="1"/>
  <c r="M314" i="4" s="1"/>
  <c r="M310" i="4" a="1"/>
  <c r="M310" i="4" s="1"/>
  <c r="M307" i="4" a="1"/>
  <c r="M307" i="4" s="1"/>
  <c r="M296" i="4" a="1"/>
  <c r="M296" i="4" s="1"/>
  <c r="M294" i="4" a="1"/>
  <c r="M294" i="4" s="1"/>
  <c r="M290" i="4" a="1"/>
  <c r="M290" i="4" s="1"/>
  <c r="M288" i="4" a="1"/>
  <c r="M288" i="4" s="1"/>
  <c r="M280" i="4" a="1"/>
  <c r="M280" i="4" s="1"/>
  <c r="M278" i="4" a="1"/>
  <c r="M278" i="4" s="1"/>
  <c r="M273" i="4" a="1"/>
  <c r="M273" i="4" s="1"/>
  <c r="M268" i="4" a="1"/>
  <c r="M268" i="4" s="1"/>
  <c r="M256" i="4" a="1"/>
  <c r="M256" i="4" s="1"/>
  <c r="M246" i="4" a="1"/>
  <c r="M246" i="4" s="1"/>
  <c r="M244" i="4" a="1"/>
  <c r="M244" i="4" s="1"/>
  <c r="M238" i="4" a="1"/>
  <c r="M238" i="4" s="1"/>
  <c r="M261" i="4" a="1"/>
  <c r="M261" i="4" s="1"/>
  <c r="M259" i="4" a="1"/>
  <c r="M259" i="4" s="1"/>
  <c r="M254" i="4" a="1"/>
  <c r="M254" i="4" s="1"/>
  <c r="M252" i="4" a="1"/>
  <c r="M252" i="4" s="1"/>
  <c r="M250" i="4" a="1"/>
  <c r="M250" i="4" s="1"/>
  <c r="M248" i="4" a="1"/>
  <c r="M248" i="4" s="1"/>
  <c r="M245" i="4" a="1"/>
  <c r="M245" i="4" s="1"/>
  <c r="M235" i="4" a="1"/>
  <c r="M235" i="4" s="1"/>
  <c r="M234" i="4" a="1"/>
  <c r="M234" i="4" s="1"/>
  <c r="M233" i="4" a="1"/>
  <c r="M233" i="4" s="1"/>
  <c r="M229" i="4" a="1"/>
  <c r="M229" i="4" s="1"/>
  <c r="M258" i="4" a="1"/>
  <c r="M258" i="4" s="1"/>
  <c r="M231" i="4" a="1"/>
  <c r="M231" i="4" s="1"/>
  <c r="M230" i="4" a="1"/>
  <c r="M230" i="4" s="1"/>
  <c r="M227" i="4" a="1"/>
  <c r="M227" i="4" s="1"/>
  <c r="M224" i="4" a="1"/>
  <c r="M224" i="4" s="1"/>
  <c r="M221" i="4" a="1"/>
  <c r="M221" i="4" s="1"/>
  <c r="M220" i="4" a="1"/>
  <c r="M220" i="4" s="1"/>
  <c r="M217" i="4" a="1"/>
  <c r="M217" i="4" s="1"/>
  <c r="M216" i="4" a="1"/>
  <c r="M216" i="4" s="1"/>
  <c r="M203" i="4" a="1"/>
  <c r="M203" i="4" s="1"/>
  <c r="M201" i="4" a="1"/>
  <c r="M201" i="4" s="1"/>
  <c r="M199" i="4" a="1"/>
  <c r="M199" i="4" s="1"/>
  <c r="M197" i="4" a="1"/>
  <c r="M197" i="4" s="1"/>
  <c r="M195" i="4" a="1"/>
  <c r="M195" i="4" s="1"/>
  <c r="M188" i="4" a="1"/>
  <c r="M188" i="4" s="1"/>
  <c r="M185" i="4" a="1"/>
  <c r="M185" i="4" s="1"/>
  <c r="M253" i="4" a="1"/>
  <c r="M253" i="4" s="1"/>
  <c r="M251" i="4" a="1"/>
  <c r="M251" i="4" s="1"/>
  <c r="M249" i="4" a="1"/>
  <c r="M249" i="4" s="1"/>
  <c r="M260" i="4" a="1"/>
  <c r="M260" i="4" s="1"/>
  <c r="M241" i="4" a="1"/>
  <c r="M241" i="4" s="1"/>
  <c r="M237" i="4" a="1"/>
  <c r="M237" i="4" s="1"/>
  <c r="M228" i="4" a="1"/>
  <c r="M228" i="4" s="1"/>
  <c r="M226" i="4" a="1"/>
  <c r="M226" i="4" s="1"/>
  <c r="M219" i="4" a="1"/>
  <c r="M219" i="4" s="1"/>
  <c r="M202" i="4" a="1"/>
  <c r="M202" i="4" s="1"/>
  <c r="M200" i="4" a="1"/>
  <c r="M200" i="4" s="1"/>
  <c r="M198" i="4" a="1"/>
  <c r="M198" i="4" s="1"/>
  <c r="M196" i="4" a="1"/>
  <c r="M196" i="4" s="1"/>
  <c r="M194" i="4" a="1"/>
  <c r="M194" i="4" s="1"/>
  <c r="M193" i="4" a="1"/>
  <c r="M193" i="4" s="1"/>
  <c r="M183" i="4" a="1"/>
  <c r="M183" i="4" s="1"/>
  <c r="M178" i="4" a="1"/>
  <c r="M178" i="4" s="1"/>
  <c r="M177" i="4" a="1"/>
  <c r="M177" i="4" s="1"/>
  <c r="M232" i="4" a="1"/>
  <c r="M232" i="4" s="1"/>
  <c r="M211" i="4" a="1"/>
  <c r="M211" i="4" s="1"/>
  <c r="M208" i="4" a="1"/>
  <c r="M208" i="4" s="1"/>
  <c r="M205" i="4" a="1"/>
  <c r="M205" i="4" s="1"/>
  <c r="M204" i="4" a="1"/>
  <c r="M204" i="4" s="1"/>
  <c r="M190" i="4" a="1"/>
  <c r="M190" i="4" s="1"/>
  <c r="M184" i="4" a="1"/>
  <c r="M184" i="4" s="1"/>
  <c r="M181" i="4" a="1"/>
  <c r="M181" i="4" s="1"/>
  <c r="M175" i="4" a="1"/>
  <c r="M175" i="4" s="1"/>
  <c r="M174" i="4" a="1"/>
  <c r="M174" i="4" s="1"/>
  <c r="M165" i="4" a="1"/>
  <c r="M165" i="4" s="1"/>
  <c r="M163" i="4" a="1"/>
  <c r="M163" i="4" s="1"/>
  <c r="M161" i="4" a="1"/>
  <c r="M161" i="4" s="1"/>
  <c r="M239" i="4" a="1"/>
  <c r="M239" i="4" s="1"/>
  <c r="M213" i="4" a="1"/>
  <c r="M213" i="4" s="1"/>
  <c r="M192" i="4" a="1"/>
  <c r="M192" i="4" s="1"/>
  <c r="M186" i="4" a="1"/>
  <c r="M186" i="4" s="1"/>
  <c r="M180" i="4" a="1"/>
  <c r="M180" i="4" s="1"/>
  <c r="M172" i="4" a="1"/>
  <c r="M172" i="4" s="1"/>
  <c r="M170" i="4" a="1"/>
  <c r="M170" i="4" s="1"/>
  <c r="M168" i="4" a="1"/>
  <c r="M168" i="4" s="1"/>
  <c r="M166" i="4" a="1"/>
  <c r="M166" i="4" s="1"/>
  <c r="M157" i="4" a="1"/>
  <c r="M157" i="4" s="1"/>
  <c r="M134" i="4" a="1"/>
  <c r="M134" i="4" s="1"/>
  <c r="M131" i="4" a="1"/>
  <c r="M131" i="4" s="1"/>
  <c r="M125" i="4" a="1"/>
  <c r="M125" i="4" s="1"/>
  <c r="M124" i="4" a="1"/>
  <c r="M124" i="4" s="1"/>
  <c r="M123" i="4" a="1"/>
  <c r="M123" i="4" s="1"/>
  <c r="M116" i="4" a="1"/>
  <c r="M116" i="4" s="1"/>
  <c r="M115" i="4" a="1"/>
  <c r="M115" i="4" s="1"/>
  <c r="M111" i="4" a="1"/>
  <c r="M111" i="4" s="1"/>
  <c r="AB107" i="4" a="1"/>
  <c r="AB107" i="4" s="1"/>
  <c r="X107" i="4" a="1"/>
  <c r="X107" i="4" s="1"/>
  <c r="M107" i="4" a="1"/>
  <c r="M107" i="4" s="1"/>
  <c r="M240" i="4" a="1"/>
  <c r="M240" i="4" s="1"/>
  <c r="M223" i="4" a="1"/>
  <c r="M223" i="4" s="1"/>
  <c r="M222" i="4" a="1"/>
  <c r="M222" i="4" s="1"/>
  <c r="M218" i="4" a="1"/>
  <c r="M218" i="4" s="1"/>
  <c r="M210" i="4" a="1"/>
  <c r="M210" i="4" s="1"/>
  <c r="M209" i="4" a="1"/>
  <c r="M209" i="4" s="1"/>
  <c r="M207" i="4" a="1"/>
  <c r="M207" i="4" s="1"/>
  <c r="M206" i="4" a="1"/>
  <c r="M206" i="4" s="1"/>
  <c r="M191" i="4" a="1"/>
  <c r="M191" i="4" s="1"/>
  <c r="M173" i="4" a="1"/>
  <c r="M173" i="4" s="1"/>
  <c r="M164" i="4" a="1"/>
  <c r="M164" i="4" s="1"/>
  <c r="M162" i="4" a="1"/>
  <c r="M162" i="4" s="1"/>
  <c r="M236" i="4" a="1"/>
  <c r="M236" i="4" s="1"/>
  <c r="M225" i="4" a="1"/>
  <c r="M225" i="4" s="1"/>
  <c r="M215" i="4" a="1"/>
  <c r="M215" i="4" s="1"/>
  <c r="M214" i="4" a="1"/>
  <c r="M214" i="4" s="1"/>
  <c r="M212" i="4" a="1"/>
  <c r="M212" i="4" s="1"/>
  <c r="M189" i="4" a="1"/>
  <c r="M189" i="4" s="1"/>
  <c r="M187" i="4" a="1"/>
  <c r="M187" i="4" s="1"/>
  <c r="M182" i="4" a="1"/>
  <c r="M182" i="4" s="1"/>
  <c r="M179" i="4" a="1"/>
  <c r="M179" i="4" s="1"/>
  <c r="M176" i="4" a="1"/>
  <c r="M176" i="4" s="1"/>
  <c r="M171" i="4" a="1"/>
  <c r="M171" i="4" s="1"/>
  <c r="M169" i="4" a="1"/>
  <c r="M169" i="4" s="1"/>
  <c r="M167" i="4" a="1"/>
  <c r="M167" i="4" s="1"/>
  <c r="M158" i="4" a="1"/>
  <c r="M158" i="4" s="1"/>
  <c r="M141" i="4" a="1"/>
  <c r="M141" i="4" s="1"/>
  <c r="M136" i="4" a="1"/>
  <c r="M136" i="4" s="1"/>
  <c r="M132" i="4" a="1"/>
  <c r="M132" i="4" s="1"/>
  <c r="M129" i="4" a="1"/>
  <c r="M129" i="4" s="1"/>
  <c r="M127" i="4" a="1"/>
  <c r="M127" i="4" s="1"/>
  <c r="M110" i="4" a="1"/>
  <c r="M110" i="4" s="1"/>
  <c r="M108" i="4" a="1"/>
  <c r="M108" i="4" s="1"/>
  <c r="AO385" i="4"/>
  <c r="BF111" i="4"/>
  <c r="AY111" i="4"/>
  <c r="M119" i="4" a="1"/>
  <c r="M119" i="4" s="1"/>
  <c r="AA122" i="4"/>
  <c r="AA127" i="4"/>
  <c r="AA129" i="4" s="1"/>
  <c r="AA130" i="4" s="1"/>
  <c r="M130" i="4" a="1"/>
  <c r="M130" i="4" s="1"/>
  <c r="M133" i="4" a="1"/>
  <c r="M133" i="4" s="1"/>
  <c r="M135" i="4" a="1"/>
  <c r="M135" i="4" s="1"/>
  <c r="M142" i="4" a="1"/>
  <c r="M142" i="4" s="1"/>
  <c r="M144" i="4" a="1"/>
  <c r="M144" i="4" s="1"/>
  <c r="M146" i="4" a="1"/>
  <c r="M146" i="4" s="1"/>
  <c r="M148" i="4" a="1"/>
  <c r="M148" i="4" s="1"/>
  <c r="M150" i="4" a="1"/>
  <c r="M150" i="4" s="1"/>
  <c r="M152" i="4" a="1"/>
  <c r="M152" i="4" s="1"/>
  <c r="M154" i="4" a="1"/>
  <c r="M154" i="4" s="1"/>
  <c r="AU171" i="4"/>
  <c r="AU166" i="4"/>
  <c r="BE237" i="4"/>
  <c r="AU272" i="4" a="1"/>
  <c r="AU272" i="4" s="1"/>
  <c r="AU162" i="4"/>
  <c r="AU161" i="4" s="1"/>
  <c r="AU160" i="4" s="1"/>
  <c r="AE385" i="4"/>
  <c r="BE113" i="4"/>
  <c r="AN111" i="4"/>
  <c r="AF111" i="4"/>
  <c r="AF385" i="4" s="1"/>
  <c r="AR111" i="4"/>
  <c r="AN115" i="4"/>
  <c r="BE115" i="4" s="1"/>
  <c r="AA131" i="4"/>
  <c r="AI131" i="4"/>
  <c r="BE132" i="4"/>
  <c r="AY121" i="4" a="1"/>
  <c r="BE134" i="4"/>
  <c r="AI133" i="4"/>
  <c r="BE133" i="4" s="1"/>
  <c r="Y131" i="4"/>
  <c r="AI160" i="4"/>
  <c r="AR161" i="4"/>
  <c r="AR160" i="4" s="1"/>
  <c r="AR174" i="4"/>
  <c r="BF174" i="4"/>
  <c r="BE185" i="4"/>
  <c r="BF191" i="4"/>
  <c r="AI191" i="4"/>
  <c r="AU201" i="4"/>
  <c r="AU200" i="4" s="1"/>
  <c r="AI219" i="4"/>
  <c r="BE222" i="4"/>
  <c r="BE229" i="4"/>
  <c r="BF171" i="4"/>
  <c r="BF180" i="4"/>
  <c r="BE183" i="4"/>
  <c r="AU214" i="4"/>
  <c r="BE227" i="4"/>
  <c r="BE228" i="4"/>
  <c r="AD385" i="4"/>
  <c r="AI174" i="4"/>
  <c r="AR181" i="4"/>
  <c r="AU194" i="4"/>
  <c r="AU191" i="4" s="1"/>
  <c r="AU199" i="4"/>
  <c r="AI201" i="4"/>
  <c r="BE204" i="4"/>
  <c r="BF214" i="4"/>
  <c r="BF209" i="4"/>
  <c r="BF200" i="4" s="1"/>
  <c r="AI235" i="4"/>
  <c r="BE231" i="4"/>
  <c r="AR234" i="4"/>
  <c r="AR180" i="4"/>
  <c r="AI181" i="4"/>
  <c r="BF194" i="4"/>
  <c r="BE240" i="4"/>
  <c r="AR240" i="4"/>
  <c r="AI232" i="4"/>
  <c r="BE239" i="4"/>
  <c r="AN246" i="4"/>
  <c r="Y262" i="4"/>
  <c r="Y263" i="4"/>
  <c r="Y264" i="4" s="1"/>
  <c r="BE262" i="4"/>
  <c r="AR273" i="4"/>
  <c r="AR258" i="4" s="1"/>
  <c r="BE276" i="4"/>
  <c r="BF286" i="4"/>
  <c r="BF283" i="4"/>
  <c r="BE242" i="4"/>
  <c r="BE245" i="4"/>
  <c r="BE261" i="4"/>
  <c r="AI259" i="4"/>
  <c r="AR286" i="4"/>
  <c r="AR283" i="4"/>
  <c r="BE306" i="4"/>
  <c r="BE238" i="4"/>
  <c r="AN243" i="4"/>
  <c r="BE243" i="4" s="1"/>
  <c r="BE248" i="4"/>
  <c r="BE250" i="4"/>
  <c r="BE252" i="4"/>
  <c r="BE254" i="4"/>
  <c r="BF259" i="4"/>
  <c r="BF258" i="4" s="1"/>
  <c r="BE274" i="4"/>
  <c r="AI273" i="4"/>
  <c r="BE273" i="4" s="1"/>
  <c r="AY273" i="4"/>
  <c r="AY258" i="4" s="1"/>
  <c r="AY157" i="4" s="1"/>
  <c r="AY156" i="4" s="1"/>
  <c r="AY340" i="4" s="1"/>
  <c r="BF273" i="4"/>
  <c r="BE279" i="4"/>
  <c r="BE288" i="4"/>
  <c r="BE294" i="4"/>
  <c r="BE241" i="4"/>
  <c r="AU246" i="4"/>
  <c r="BE255" i="4"/>
  <c r="BE256" i="4"/>
  <c r="BE257" i="4"/>
  <c r="BE260" i="4"/>
  <c r="Y257" i="4"/>
  <c r="BE284" i="4"/>
  <c r="BF302" i="4"/>
  <c r="AI303" i="4"/>
  <c r="BE303" i="4" s="1"/>
  <c r="AY303" i="4"/>
  <c r="Y289" i="4"/>
  <c r="BE298" i="4"/>
  <c r="AU302" i="4"/>
  <c r="Y307" i="4"/>
  <c r="Y308" i="4" s="1"/>
  <c r="BF310" i="4"/>
  <c r="BF309" i="4" s="1"/>
  <c r="A332" i="4" a="1"/>
  <c r="A332" i="4" s="1"/>
  <c r="B331" i="4" a="1"/>
  <c r="B331" i="4" s="1"/>
  <c r="AI283" i="4"/>
  <c r="AY283" i="4"/>
  <c r="AY317" i="4" s="1"/>
  <c r="Y288" i="4"/>
  <c r="A296" i="4" a="1"/>
  <c r="A296" i="4" s="1"/>
  <c r="B296" i="4" s="1" a="1"/>
  <c r="B296" i="4" s="1"/>
  <c r="BE297" i="4"/>
  <c r="AR303" i="4"/>
  <c r="BE311" i="4"/>
  <c r="AI310" i="4"/>
  <c r="BE313" i="4"/>
  <c r="AU349" i="4"/>
  <c r="AU351" i="4"/>
  <c r="Y277" i="4"/>
  <c r="BE293" i="4"/>
  <c r="A321" i="4" a="1"/>
  <c r="A321" i="4" s="1"/>
  <c r="B320" i="4" a="1"/>
  <c r="B320" i="4" s="1"/>
  <c r="BE323" i="4"/>
  <c r="BE325" i="4"/>
  <c r="AU320" i="4"/>
  <c r="AN352" i="4"/>
  <c r="AN353" i="4" s="1"/>
  <c r="BE348" i="4"/>
  <c r="A316" i="4" a="1"/>
  <c r="A316" i="4" s="1"/>
  <c r="B316" i="4" s="1" a="1"/>
  <c r="B316" i="4" s="1"/>
  <c r="B315" i="4" a="1"/>
  <c r="B315" i="4" s="1"/>
  <c r="AN320" i="4"/>
  <c r="BE320" i="4" s="1"/>
  <c r="AU352" i="4"/>
  <c r="BE349" i="4"/>
  <c r="BE334" i="4"/>
  <c r="BE347" i="4"/>
  <c r="BF351" i="4"/>
  <c r="BF353" i="4" s="1"/>
  <c r="BE232" i="4" l="1"/>
  <c r="BE233" i="4"/>
  <c r="AZ2" i="4"/>
  <c r="BE307" i="4"/>
  <c r="AY121" i="4"/>
  <c r="AW2" i="4"/>
  <c r="AU121" i="4" a="1"/>
  <c r="AU121" i="4"/>
  <c r="AR158" i="4"/>
  <c r="AA132" i="4"/>
  <c r="AA133" i="4"/>
  <c r="V107" i="4" a="1"/>
  <c r="V107" i="4" s="1"/>
  <c r="T107" i="4" a="1"/>
  <c r="T107" i="4" s="1"/>
  <c r="AB126" i="4" s="1"/>
  <c r="W107" i="4" a="1"/>
  <c r="W107" i="4" s="1"/>
  <c r="U107" i="4" a="1"/>
  <c r="U107" i="4" s="1"/>
  <c r="S107" i="4" a="1"/>
  <c r="S107" i="4" s="1"/>
  <c r="AN196" i="4"/>
  <c r="BE197" i="4"/>
  <c r="AN219" i="4"/>
  <c r="AR353" i="4"/>
  <c r="AN272" i="4"/>
  <c r="AN162" i="4" s="1"/>
  <c r="AU124" i="4"/>
  <c r="AR124" i="4"/>
  <c r="AJ1" i="4"/>
  <c r="AJ2" i="4" s="1"/>
  <c r="AT1" i="4"/>
  <c r="AT2" i="4" s="1"/>
  <c r="AQ1" i="4"/>
  <c r="AQ2" i="4" s="1"/>
  <c r="AI180" i="4"/>
  <c r="AI121" i="4" a="1"/>
  <c r="AI121" i="4" s="1"/>
  <c r="AI127" i="4"/>
  <c r="BE131" i="4"/>
  <c r="AU353" i="4"/>
  <c r="Y278" i="4"/>
  <c r="Y281" i="4" s="1"/>
  <c r="BE246" i="4"/>
  <c r="AI200" i="4"/>
  <c r="Y265" i="4"/>
  <c r="AN201" i="4"/>
  <c r="BE202" i="4"/>
  <c r="BE182" i="4"/>
  <c r="AN181" i="4"/>
  <c r="BE181" i="4" s="1"/>
  <c r="BF158" i="4"/>
  <c r="AN121" i="4" a="1"/>
  <c r="AN121" i="4" s="1"/>
  <c r="AN127" i="4"/>
  <c r="AN130" i="4" s="1"/>
  <c r="BE125" i="4"/>
  <c r="A266" i="4" a="1"/>
  <c r="A266" i="4" s="1"/>
  <c r="B265" i="4" a="1"/>
  <c r="B265" i="4" s="1"/>
  <c r="B321" i="4" a="1"/>
  <c r="B321" i="4" s="1"/>
  <c r="A322" i="4" a="1"/>
  <c r="A322" i="4" s="1"/>
  <c r="AI309" i="4"/>
  <c r="BE309" i="4" s="1"/>
  <c r="BE310" i="4"/>
  <c r="AI258" i="4"/>
  <c r="BE259" i="4"/>
  <c r="Y290" i="4"/>
  <c r="Y279" i="4"/>
  <c r="Y280" i="4" s="1"/>
  <c r="A333" i="4" a="1"/>
  <c r="A333" i="4" s="1"/>
  <c r="B333" i="4" s="1" a="1"/>
  <c r="B333" i="4" s="1"/>
  <c r="B332" i="4" a="1"/>
  <c r="B332" i="4" s="1"/>
  <c r="Y266" i="4"/>
  <c r="AR177" i="4"/>
  <c r="AR176" i="4" s="1"/>
  <c r="AR159" i="4" a="1"/>
  <c r="AR159" i="4" s="1"/>
  <c r="AU159" i="4" s="1" a="1"/>
  <c r="AU159" i="4" s="1"/>
  <c r="BE352" i="4"/>
  <c r="AN199" i="4"/>
  <c r="BE199" i="4" s="1"/>
  <c r="AN194" i="4"/>
  <c r="BE194" i="4" s="1"/>
  <c r="BE195" i="4"/>
  <c r="BE167" i="4"/>
  <c r="AN166" i="4"/>
  <c r="BE166" i="4" s="1"/>
  <c r="AN171" i="4"/>
  <c r="BE171" i="4" s="1"/>
  <c r="BE210" i="4"/>
  <c r="AN214" i="4"/>
  <c r="BE214" i="4" s="1"/>
  <c r="AN209" i="4"/>
  <c r="BE209" i="4" s="1"/>
  <c r="AN235" i="4"/>
  <c r="BE235" i="4" s="1"/>
  <c r="AN230" i="4"/>
  <c r="BE230" i="4" s="1"/>
  <c r="AY124" i="4"/>
  <c r="AU286" i="4"/>
  <c r="AU283" i="4"/>
  <c r="AU258" i="4" s="1"/>
  <c r="BE196" i="4"/>
  <c r="BA1" i="4"/>
  <c r="BA2" i="4" s="1"/>
  <c r="AX1" i="4"/>
  <c r="AX2" i="4" s="1"/>
  <c r="AU158" i="4"/>
  <c r="AU109" i="4" s="1"/>
  <c r="AU385" i="4" s="1"/>
  <c r="AI177" i="4"/>
  <c r="AN88" i="4" a="1"/>
  <c r="AN88" i="4" s="1"/>
  <c r="AI353" i="4"/>
  <c r="BE353" i="4" s="1"/>
  <c r="BE351" i="4"/>
  <c r="AN174" i="4"/>
  <c r="AN179" i="4"/>
  <c r="BE169" i="4"/>
  <c r="AN168" i="4"/>
  <c r="BE168" i="4" s="1"/>
  <c r="BE212" i="4"/>
  <c r="AN211" i="4"/>
  <c r="BE211" i="4" s="1"/>
  <c r="AN191" i="4"/>
  <c r="BE191" i="4" s="1"/>
  <c r="BE192" i="4"/>
  <c r="BE111" i="4"/>
  <c r="BE305" i="4"/>
  <c r="AN302" i="4"/>
  <c r="BE302" i="4" s="1"/>
  <c r="AN286" i="4"/>
  <c r="BE286" i="4" s="1"/>
  <c r="AN283" i="4"/>
  <c r="BE283" i="4" s="1"/>
  <c r="AG1" i="4"/>
  <c r="AG2" i="4" s="1"/>
  <c r="AN200" i="4" l="1"/>
  <c r="AN124" i="4"/>
  <c r="Y282" i="4"/>
  <c r="AN161" i="4"/>
  <c r="BF317" i="4"/>
  <c r="BF157" i="4"/>
  <c r="AI130" i="4"/>
  <c r="BE130" i="4" s="1"/>
  <c r="BE127" i="4"/>
  <c r="AA136" i="4"/>
  <c r="AA134" i="4"/>
  <c r="AA135" i="4"/>
  <c r="AA137" i="4"/>
  <c r="AU317" i="4"/>
  <c r="AU157" i="4"/>
  <c r="AN180" i="4"/>
  <c r="Y291" i="4"/>
  <c r="A267" i="4" a="1"/>
  <c r="A267" i="4" s="1"/>
  <c r="B266" i="4" a="1"/>
  <c r="B266" i="4" s="1"/>
  <c r="BE121" i="4"/>
  <c r="A350" i="4"/>
  <c r="B350" i="4" s="1"/>
  <c r="A349" i="4"/>
  <c r="B349" i="4" s="1" a="1"/>
  <c r="B349" i="4" s="1"/>
  <c r="A369" i="4"/>
  <c r="B369" i="4" s="1"/>
  <c r="A366" i="4"/>
  <c r="B366" i="4" s="1"/>
  <c r="A362" i="4"/>
  <c r="B362" i="4" s="1" a="1"/>
  <c r="B362" i="4" s="1"/>
  <c r="A361" i="4"/>
  <c r="B361" i="4" s="1"/>
  <c r="A358" i="4"/>
  <c r="B358" i="4" s="1"/>
  <c r="A354" i="4"/>
  <c r="B354" i="4" s="1" a="1"/>
  <c r="B354" i="4" s="1"/>
  <c r="A353" i="4"/>
  <c r="B353" i="4" s="1"/>
  <c r="A341" i="4"/>
  <c r="B341" i="4" s="1" a="1"/>
  <c r="B341" i="4" s="1"/>
  <c r="A357" i="4"/>
  <c r="B357" i="4" s="1" a="1"/>
  <c r="B357" i="4" s="1"/>
  <c r="A342" i="4"/>
  <c r="B342" i="4" s="1" a="1"/>
  <c r="B342" i="4" s="1"/>
  <c r="A343" i="4"/>
  <c r="B343" i="4" s="1" a="1"/>
  <c r="B343" i="4" s="1"/>
  <c r="A365" i="4"/>
  <c r="B365" i="4" s="1" a="1"/>
  <c r="B365" i="4" s="1"/>
  <c r="A346" i="4"/>
  <c r="B346" i="4" s="1" a="1"/>
  <c r="B346" i="4" s="1"/>
  <c r="A364" i="4"/>
  <c r="B364" i="4" s="1" a="1"/>
  <c r="B364" i="4" s="1"/>
  <c r="A368" i="4"/>
  <c r="B368" i="4" s="1"/>
  <c r="B347" i="4"/>
  <c r="B351" i="4" s="1"/>
  <c r="A356" i="4"/>
  <c r="B356" i="4" s="1" a="1"/>
  <c r="B356" i="4" s="1"/>
  <c r="A367" i="4"/>
  <c r="B367" i="4" s="1"/>
  <c r="B348" i="4"/>
  <c r="B352" i="4" s="1"/>
  <c r="A363" i="4"/>
  <c r="B363" i="4" s="1" a="1"/>
  <c r="B363" i="4" s="1"/>
  <c r="A360" i="4"/>
  <c r="B360" i="4" s="1"/>
  <c r="A355" i="4"/>
  <c r="B355" i="4" s="1" a="1"/>
  <c r="B355" i="4" s="1"/>
  <c r="A359" i="4"/>
  <c r="B359" i="4" s="1"/>
  <c r="AN258" i="4"/>
  <c r="BE258" i="4" s="1"/>
  <c r="BE272" i="4"/>
  <c r="Y267" i="4"/>
  <c r="AI176" i="4"/>
  <c r="BE176" i="4" s="1"/>
  <c r="BE177" i="4"/>
  <c r="B322" i="4" a="1"/>
  <c r="B322" i="4" s="1"/>
  <c r="A323" i="4" a="1"/>
  <c r="A323" i="4" s="1"/>
  <c r="AR317" i="4"/>
  <c r="AR157" i="4"/>
  <c r="AR156" i="4" s="1"/>
  <c r="AR340" i="4" s="1"/>
  <c r="AY112" i="4"/>
  <c r="AI124" i="4"/>
  <c r="BE124" i="4" s="1"/>
  <c r="BF109" i="4"/>
  <c r="B318" i="4"/>
  <c r="B319" i="4" s="1" a="1"/>
  <c r="B319" i="4" s="1"/>
  <c r="AY319" i="4"/>
  <c r="A370" i="4"/>
  <c r="B370" i="4" s="1"/>
  <c r="AI158" i="4"/>
  <c r="AR109" i="4"/>
  <c r="AY346" i="4"/>
  <c r="AY350" i="4" s="1"/>
  <c r="BF346" i="4"/>
  <c r="AR346" i="4"/>
  <c r="AR350" i="4" s="1"/>
  <c r="A337" i="4"/>
  <c r="A277" i="4"/>
  <c r="A121" i="4"/>
  <c r="A138" i="4"/>
  <c r="A128" i="4"/>
  <c r="A126" i="4"/>
  <c r="A127" i="4" s="1" a="1"/>
  <c r="A127" i="4" s="1"/>
  <c r="A124" i="4"/>
  <c r="AA156" i="4" a="1"/>
  <c r="AA156" i="4" s="1"/>
  <c r="A129" i="4"/>
  <c r="A130" i="4" s="1" a="1"/>
  <c r="A130" i="4" s="1"/>
  <c r="A131" i="4" s="1" a="1"/>
  <c r="A131" i="4" s="1"/>
  <c r="A132" i="4" s="1" a="1"/>
  <c r="A132" i="4" s="1"/>
  <c r="A133" i="4" s="1" a="1"/>
  <c r="A133" i="4" s="1"/>
  <c r="A134" i="4" s="1" a="1"/>
  <c r="A134" i="4" s="1"/>
  <c r="A135" i="4" s="1" a="1"/>
  <c r="A135" i="4" s="1"/>
  <c r="A136" i="4" s="1" a="1"/>
  <c r="A136" i="4" s="1"/>
  <c r="A137" i="4" s="1" a="1"/>
  <c r="A137" i="4" s="1"/>
  <c r="A125" i="4"/>
  <c r="A271" i="4"/>
  <c r="B271" i="4" s="1" a="1"/>
  <c r="B271" i="4" s="1"/>
  <c r="A263" i="4"/>
  <c r="B263" i="4" s="1" a="1"/>
  <c r="B263" i="4" s="1"/>
  <c r="AR319" i="4" l="1"/>
  <c r="AU319" i="4" s="1" a="1"/>
  <c r="AU319" i="4" s="1"/>
  <c r="AU318" i="4" s="1"/>
  <c r="AU156" i="4" s="1"/>
  <c r="AU340" i="4" s="1"/>
  <c r="AU346" i="4" s="1"/>
  <c r="AU350" i="4" s="1"/>
  <c r="A383" i="4" a="1"/>
  <c r="A383" i="4" s="1"/>
  <c r="A382" i="4" a="1"/>
  <c r="A382" i="4" s="1"/>
  <c r="B381" i="4" a="1"/>
  <c r="B381" i="4" s="1"/>
  <c r="A380" i="4" a="1"/>
  <c r="A380" i="4" s="1"/>
  <c r="B379" i="4" a="1"/>
  <c r="B379" i="4" s="1"/>
  <c r="A378" i="4" a="1"/>
  <c r="A378" i="4" s="1"/>
  <c r="B377" i="4" a="1"/>
  <c r="B377" i="4" s="1"/>
  <c r="A376" i="4" a="1"/>
  <c r="A376" i="4" s="1"/>
  <c r="B375" i="4" a="1"/>
  <c r="B375" i="4" s="1"/>
  <c r="A374" i="4" a="1"/>
  <c r="A374" i="4" s="1"/>
  <c r="B373" i="4" a="1"/>
  <c r="B373" i="4" s="1"/>
  <c r="A372" i="4" a="1"/>
  <c r="A372" i="4" s="1"/>
  <c r="A381" i="4" a="1"/>
  <c r="A381" i="4" s="1"/>
  <c r="B378" i="4" a="1"/>
  <c r="B378" i="4" s="1"/>
  <c r="A373" i="4" a="1"/>
  <c r="A373" i="4" s="1"/>
  <c r="B382" i="4" a="1"/>
  <c r="B382" i="4" s="1"/>
  <c r="A377" i="4" a="1"/>
  <c r="A377" i="4" s="1"/>
  <c r="B374" i="4" a="1"/>
  <c r="B374" i="4" s="1"/>
  <c r="B383" i="4" a="1"/>
  <c r="B383" i="4" s="1"/>
  <c r="B372" i="4" a="1"/>
  <c r="B372" i="4" s="1"/>
  <c r="B380" i="4" a="1"/>
  <c r="B380" i="4" s="1"/>
  <c r="A375" i="4" a="1"/>
  <c r="A375" i="4" s="1"/>
  <c r="A379" i="4" a="1"/>
  <c r="A379" i="4" s="1"/>
  <c r="B376" i="4" a="1"/>
  <c r="B376" i="4" s="1"/>
  <c r="A123" i="4"/>
  <c r="A122" i="4"/>
  <c r="B122" i="4"/>
  <c r="B123" i="4"/>
  <c r="BF350" i="4"/>
  <c r="BF348" i="4"/>
  <c r="BF352" i="4" s="1"/>
  <c r="AY221" i="4"/>
  <c r="AY217" i="4"/>
  <c r="BE217" i="4" s="1"/>
  <c r="AY183" i="4"/>
  <c r="AY178" i="4"/>
  <c r="BE178" i="4" s="1"/>
  <c r="AY185" i="4"/>
  <c r="AY224" i="4"/>
  <c r="BE224" i="4" s="1"/>
  <c r="AY231" i="4"/>
  <c r="AY175" i="4"/>
  <c r="AY225" i="4"/>
  <c r="BE225" i="4" s="1"/>
  <c r="AY228" i="4"/>
  <c r="AY203" i="4"/>
  <c r="AY172" i="4"/>
  <c r="AY236" i="4"/>
  <c r="AY218" i="4"/>
  <c r="BE218" i="4" s="1"/>
  <c r="AY182" i="4"/>
  <c r="AY215" i="4"/>
  <c r="BE215" i="4" s="1"/>
  <c r="AY223" i="4"/>
  <c r="BE223" i="4" s="1"/>
  <c r="AY229" i="4"/>
  <c r="AY238" i="4"/>
  <c r="AY165" i="4"/>
  <c r="AY162" i="4"/>
  <c r="AY173" i="4"/>
  <c r="AY184" i="4"/>
  <c r="AY187" i="4"/>
  <c r="B267" i="4" a="1"/>
  <c r="B267" i="4" s="1"/>
  <c r="A268" i="4" a="1"/>
  <c r="A268" i="4" s="1"/>
  <c r="B277" i="4" a="1"/>
  <c r="B277" i="4" s="1"/>
  <c r="A278" i="4" a="1"/>
  <c r="A278" i="4" s="1"/>
  <c r="B278" i="4" s="1" a="1"/>
  <c r="B278" i="4" s="1"/>
  <c r="AR385" i="4"/>
  <c r="BE161" i="4"/>
  <c r="AN160" i="4"/>
  <c r="AI317" i="4"/>
  <c r="AI157" i="4"/>
  <c r="AR112" i="4"/>
  <c r="AI159" i="4" a="1"/>
  <c r="AI159" i="4" s="1"/>
  <c r="AI109" i="4"/>
  <c r="Y293" i="4"/>
  <c r="BF318" i="4"/>
  <c r="BF156" i="4"/>
  <c r="BF340" i="4" s="1"/>
  <c r="Y292" i="4"/>
  <c r="AA320" i="4"/>
  <c r="AA318" i="4"/>
  <c r="AA319" i="4" s="1"/>
  <c r="AA302" i="4"/>
  <c r="AA309" i="4"/>
  <c r="AA157" i="4"/>
  <c r="A142" i="4"/>
  <c r="A143" i="4" a="1"/>
  <c r="A143" i="4" s="1"/>
  <c r="A144" i="4" s="1" a="1"/>
  <c r="A144" i="4" s="1"/>
  <c r="A145" i="4" s="1" a="1"/>
  <c r="A145" i="4" s="1"/>
  <c r="A146" i="4" s="1" a="1"/>
  <c r="A146" i="4" s="1"/>
  <c r="A147" i="4" s="1" a="1"/>
  <c r="A147" i="4" s="1"/>
  <c r="A148" i="4" s="1" a="1"/>
  <c r="A148" i="4" s="1"/>
  <c r="A149" i="4" s="1" a="1"/>
  <c r="A149" i="4" s="1"/>
  <c r="A150" i="4" s="1" a="1"/>
  <c r="A150" i="4" s="1"/>
  <c r="A151" i="4" s="1" a="1"/>
  <c r="A151" i="4" s="1"/>
  <c r="A152" i="4" s="1" a="1"/>
  <c r="A152" i="4" s="1"/>
  <c r="A153" i="4" s="1" a="1"/>
  <c r="A153" i="4" s="1"/>
  <c r="A154" i="4" s="1" a="1"/>
  <c r="A154" i="4" s="1"/>
  <c r="A155" i="4" s="1" a="1"/>
  <c r="A155" i="4" s="1"/>
  <c r="A140" i="4"/>
  <c r="A141" i="4"/>
  <c r="A139" i="4"/>
  <c r="B140" i="4"/>
  <c r="B139" i="4"/>
  <c r="A324" i="4" a="1"/>
  <c r="A324" i="4" s="1"/>
  <c r="B323" i="4" a="1"/>
  <c r="B323" i="4" s="1"/>
  <c r="Y268" i="4"/>
  <c r="Y269" i="4" s="1"/>
  <c r="Y270" i="4" s="1"/>
  <c r="Y271" i="4" s="1"/>
  <c r="AY181" i="4" l="1"/>
  <c r="AY235" i="4"/>
  <c r="AY234" i="4"/>
  <c r="AN158" i="4"/>
  <c r="BE160" i="4"/>
  <c r="AY161" i="4"/>
  <c r="AY160" i="4" s="1"/>
  <c r="BE162" i="4"/>
  <c r="AY219" i="4"/>
  <c r="BE219" i="4" s="1"/>
  <c r="BE221" i="4"/>
  <c r="A325" i="4" a="1"/>
  <c r="A325" i="4" s="1"/>
  <c r="B324" i="4" a="1"/>
  <c r="B324" i="4" s="1"/>
  <c r="AA258" i="4"/>
  <c r="AA158" i="4"/>
  <c r="AA241" i="4"/>
  <c r="AA329" i="4"/>
  <c r="AA334" i="4" s="1"/>
  <c r="AA322" i="4"/>
  <c r="AA321" i="4"/>
  <c r="AA324" i="4"/>
  <c r="AA328" i="4"/>
  <c r="AA327" i="4"/>
  <c r="AA323" i="4"/>
  <c r="AY179" i="4"/>
  <c r="BE179" i="4" s="1"/>
  <c r="AY174" i="4"/>
  <c r="BE174" i="4" s="1"/>
  <c r="BE175" i="4"/>
  <c r="AA317" i="4"/>
  <c r="AA314" i="4"/>
  <c r="AA310" i="4"/>
  <c r="AA313" i="4"/>
  <c r="AY201" i="4"/>
  <c r="BE203" i="4"/>
  <c r="AA307" i="4"/>
  <c r="AA306" i="4"/>
  <c r="AA305" i="4"/>
  <c r="AA303" i="4"/>
  <c r="AA304" i="4" s="1"/>
  <c r="Y294" i="4"/>
  <c r="AU115" i="4"/>
  <c r="AU111" i="4" s="1"/>
  <c r="AN159" i="4" a="1"/>
  <c r="AN159" i="4" s="1"/>
  <c r="BE159" i="4" s="1"/>
  <c r="A269" i="4" a="1"/>
  <c r="A269" i="4" s="1"/>
  <c r="B269" i="4" s="1" a="1"/>
  <c r="B269" i="4" s="1"/>
  <c r="B268" i="4" a="1"/>
  <c r="B268" i="4" s="1"/>
  <c r="AY180" i="4"/>
  <c r="BE180" i="4" s="1"/>
  <c r="BE173" i="4"/>
  <c r="AY240" i="4"/>
  <c r="AI385" i="4"/>
  <c r="AI156" i="4"/>
  <c r="AI319" i="4"/>
  <c r="AI340" i="4" l="1"/>
  <c r="AA290" i="4"/>
  <c r="AA294" i="4"/>
  <c r="AA273" i="4"/>
  <c r="AA293" i="4"/>
  <c r="AA292" i="4"/>
  <c r="AA291" i="4"/>
  <c r="AA283" i="4"/>
  <c r="AA272" i="4"/>
  <c r="AA259" i="4"/>
  <c r="AN317" i="4"/>
  <c r="BE317" i="4" s="1"/>
  <c r="AN157" i="4"/>
  <c r="AU112" i="4"/>
  <c r="BE158" i="4"/>
  <c r="Y299" i="4"/>
  <c r="AA299" i="4" s="1"/>
  <c r="Y297" i="4"/>
  <c r="AY200" i="4"/>
  <c r="BE200" i="4" s="1"/>
  <c r="BE201" i="4"/>
  <c r="AA326" i="4"/>
  <c r="AA325" i="4"/>
  <c r="AN109" i="4"/>
  <c r="AA336" i="4"/>
  <c r="AA335" i="4"/>
  <c r="AA242" i="4"/>
  <c r="AA243" i="4" s="1"/>
  <c r="AA244" i="4" s="1"/>
  <c r="AA257" i="4"/>
  <c r="AA256" i="4"/>
  <c r="AA255" i="4"/>
  <c r="A326" i="4" a="1"/>
  <c r="A326" i="4" s="1"/>
  <c r="B325" i="4" a="1"/>
  <c r="B325" i="4" s="1"/>
  <c r="AY109" i="4"/>
  <c r="AY385" i="4" s="1"/>
  <c r="AN319" i="4" a="1"/>
  <c r="AN319" i="4" s="1"/>
  <c r="AN318" i="4" s="1"/>
  <c r="BE318" i="4" s="1"/>
  <c r="BE319" i="4"/>
  <c r="Y298" i="4"/>
  <c r="AA298" i="4" s="1"/>
  <c r="AA312" i="4"/>
  <c r="AA311" i="4"/>
  <c r="AA338" i="4"/>
  <c r="AA339" i="4" s="1"/>
  <c r="AA200" i="4"/>
  <c r="AA227" i="4"/>
  <c r="AA160" i="4"/>
  <c r="AA191" i="4"/>
  <c r="AA159" i="4"/>
  <c r="A327" i="4" l="1" a="1"/>
  <c r="A327" i="4" s="1"/>
  <c r="B326" i="4" a="1"/>
  <c r="B326" i="4" s="1"/>
  <c r="AA254" i="4"/>
  <c r="AA245" i="4" a="1"/>
  <c r="AA245" i="4" s="1"/>
  <c r="AA296" i="4"/>
  <c r="AA295" i="4"/>
  <c r="AA340" i="4"/>
  <c r="AA236" i="4"/>
  <c r="AA240" i="4"/>
  <c r="AA239" i="4"/>
  <c r="AA237" i="4"/>
  <c r="AA228" i="4"/>
  <c r="AA230" i="4"/>
  <c r="AA229" i="4"/>
  <c r="AA238" i="4"/>
  <c r="Y300" i="4"/>
  <c r="AN156" i="4"/>
  <c r="BE157" i="4"/>
  <c r="AA297" i="4"/>
  <c r="AA173" i="4"/>
  <c r="AA165" i="4"/>
  <c r="AA161" i="4"/>
  <c r="AA181" i="4"/>
  <c r="AA172" i="4"/>
  <c r="AA166" i="4"/>
  <c r="AA219" i="4"/>
  <c r="AA217" i="4"/>
  <c r="AA216" i="4"/>
  <c r="AA201" i="4"/>
  <c r="AA218" i="4"/>
  <c r="AA209" i="4"/>
  <c r="AA215" i="4"/>
  <c r="AA288" i="4"/>
  <c r="AA284" i="4"/>
  <c r="AA289" i="4"/>
  <c r="AA287" i="4"/>
  <c r="AA194" i="4"/>
  <c r="AA193" i="4"/>
  <c r="AA192" i="4"/>
  <c r="AN385" i="4"/>
  <c r="BE109" i="4"/>
  <c r="AA263" i="4"/>
  <c r="AA261" i="4"/>
  <c r="AA270" i="4"/>
  <c r="AA264" i="4"/>
  <c r="AA262" i="4"/>
  <c r="AA260" i="4"/>
  <c r="AA280" i="4"/>
  <c r="AA278" i="4"/>
  <c r="AA282" i="4"/>
  <c r="AA275" i="4"/>
  <c r="AA281" i="4"/>
  <c r="AA279" i="4"/>
  <c r="AA277" i="4"/>
  <c r="AA276" i="4"/>
  <c r="AA274" i="4"/>
  <c r="AI346" i="4"/>
  <c r="AA180" i="4" l="1"/>
  <c r="AA174" i="4"/>
  <c r="Y301" i="4"/>
  <c r="AA301" i="4" s="1"/>
  <c r="AA300" i="4"/>
  <c r="AA246" i="4"/>
  <c r="AA247" i="4"/>
  <c r="AA251" i="4"/>
  <c r="AA248" i="4"/>
  <c r="AA213" i="4"/>
  <c r="AA214" i="4" s="1"/>
  <c r="AA210" i="4"/>
  <c r="AA183" i="4"/>
  <c r="AA188" i="4"/>
  <c r="AA185" i="4"/>
  <c r="AA186" i="4"/>
  <c r="AA187" i="4"/>
  <c r="AA182" i="4"/>
  <c r="AA190" i="4"/>
  <c r="AA184" i="4"/>
  <c r="AA346" i="4"/>
  <c r="AA350" i="4" s="1"/>
  <c r="AI350" i="4"/>
  <c r="AA286" i="4"/>
  <c r="AA285" i="4"/>
  <c r="AA226" i="4"/>
  <c r="AA224" i="4"/>
  <c r="AA221" i="4"/>
  <c r="AA220" i="4"/>
  <c r="AA223" i="4"/>
  <c r="AA222" i="4"/>
  <c r="AA225" i="4"/>
  <c r="AA164" i="4"/>
  <c r="AA162" i="4"/>
  <c r="AA163" i="4"/>
  <c r="AA198" i="4"/>
  <c r="AA199" i="4" s="1"/>
  <c r="AA195" i="4"/>
  <c r="AA202" i="4"/>
  <c r="AA203" i="4"/>
  <c r="AA207" i="4"/>
  <c r="AA206" i="4"/>
  <c r="AA208" i="4"/>
  <c r="AA205" i="4"/>
  <c r="AA204" i="4"/>
  <c r="AA167" i="4"/>
  <c r="AA170" i="4"/>
  <c r="AA171" i="4" s="1"/>
  <c r="AN340" i="4"/>
  <c r="BE156" i="4"/>
  <c r="AA231" i="4"/>
  <c r="AA234" i="4"/>
  <c r="AA235" i="4" s="1"/>
  <c r="A328" i="4" a="1"/>
  <c r="A328" i="4" s="1"/>
  <c r="B328" i="4" s="1" a="1"/>
  <c r="B328" i="4" s="1"/>
  <c r="B327" i="4" a="1"/>
  <c r="B327" i="4" s="1"/>
  <c r="AA351" i="4" l="1"/>
  <c r="AA353" i="4"/>
  <c r="AA352" i="4"/>
  <c r="AA232" i="4"/>
  <c r="AA233" i="4"/>
  <c r="AA169" i="4"/>
  <c r="AA168" i="4"/>
  <c r="AA196" i="4"/>
  <c r="AA197" i="4"/>
  <c r="AA249" i="4"/>
  <c r="AA250" i="4"/>
  <c r="AA349" i="4"/>
  <c r="AA348" i="4"/>
  <c r="AA347" i="4"/>
  <c r="AA253" i="4"/>
  <c r="AA252" i="4"/>
  <c r="AN346" i="4"/>
  <c r="BE340" i="4"/>
  <c r="AA212" i="4"/>
  <c r="AA211" i="4"/>
  <c r="AA178" i="4"/>
  <c r="AA179" i="4" s="1"/>
  <c r="AA175" i="4"/>
  <c r="AN350" i="4" l="1"/>
  <c r="BE350" i="4" s="1"/>
  <c r="BE346" i="4"/>
  <c r="AA177" i="4"/>
  <c r="AA176" i="4"/>
</calcChain>
</file>

<file path=xl/comments1.xml><?xml version="1.0" encoding="utf-8"?>
<comments xmlns="http://schemas.openxmlformats.org/spreadsheetml/2006/main">
  <authors>
    <author>Автор</author>
  </authors>
  <commentList>
    <comment ref="BD80" authorId="0">
      <text>
        <r>
          <rPr>
            <sz val="9"/>
            <color indexed="81"/>
            <rFont val="Tahoma"/>
            <family val="2"/>
          </rPr>
          <t>Нужно ли индексировать численность персонала?</t>
        </r>
      </text>
    </comment>
  </commentList>
</comments>
</file>

<file path=xl/sharedStrings.xml><?xml version="1.0" encoding="utf-8"?>
<sst xmlns="http://schemas.openxmlformats.org/spreadsheetml/2006/main" count="6584" uniqueCount="572">
  <si>
    <t>D0243 Вид индекса</t>
  </si>
  <si>
    <t>D0396 Лист шаблона</t>
  </si>
  <si>
    <t>D0248 Вид расходов</t>
  </si>
  <si>
    <t>D0060 Вид персонала</t>
  </si>
  <si>
    <t>D0308 Расшифровка показателей надежности и качества объектов ЦС ХВС/ВО</t>
  </si>
  <si>
    <t>D0075 Энергия на хозяйственные нужды/на технологические цели</t>
  </si>
  <si>
    <t>D0162 Вид регулируемой деятельности</t>
  </si>
  <si>
    <t>D0686 Блок тарифа</t>
  </si>
  <si>
    <t>D0041 Год</t>
  </si>
  <si>
    <t>D0004 План / факт</t>
  </si>
  <si>
    <t>D0173 Тип значения</t>
  </si>
  <si>
    <t>Значение</t>
  </si>
  <si>
    <t>URL-ссылка</t>
  </si>
  <si>
    <t>Ссылка на ПН</t>
  </si>
  <si>
    <t>Обоснование причин</t>
  </si>
  <si>
    <t>D0528 Версия данных</t>
  </si>
  <si>
    <t>D0462 Период</t>
  </si>
  <si>
    <t>Отображение листа "СиМ (детально)"</t>
  </si>
  <si>
    <t>Отображение блока 2 и 3 на листе "СиМ (детально)"</t>
  </si>
  <si>
    <t>Удалить приписку про 5% в п.2 и 3 листа "СиМ (детально)"</t>
  </si>
  <si>
    <t>Отображение листа "ФОТ (по ВД)"</t>
  </si>
  <si>
    <t>Отображение листа "Cчет 23"</t>
  </si>
  <si>
    <t>Отображение листа "Счет 25"</t>
  </si>
  <si>
    <t>Отображение листа "Адм.расходы"</t>
  </si>
  <si>
    <t>Отображение листа "Амортизация (оборудование)"</t>
  </si>
  <si>
    <t>Отображение листа "Аренда (оборудование)"</t>
  </si>
  <si>
    <t>Отображение листа "Земельные участки"</t>
  </si>
  <si>
    <t>Отображение листа "Прочие прямые"</t>
  </si>
  <si>
    <t>Отображение листа "Текремонты"</t>
  </si>
  <si>
    <t>Отображение листа "Капремонты"</t>
  </si>
  <si>
    <t>Отображение листа "Топливо"</t>
  </si>
  <si>
    <t>На листе "ЭЭ" деление объема на технологические и общепроизводственные нужды</t>
  </si>
  <si>
    <t>Расчет ЭЭ через два удельника</t>
  </si>
  <si>
    <t>На какой объем считается удельный расход - подъем или подано воды в сеть (лист ЭЭ)</t>
  </si>
  <si>
    <t>На какой объем считается удельный расход - подъем или подано воды в сеть (Показатели - водоподготовка)</t>
  </si>
  <si>
    <t>На какой объем считается удельный расход - подъем или подано воды в сеть (Показатели - транспортировка)</t>
  </si>
  <si>
    <t xml:space="preserve">Отображать детальный расчет налогов </t>
  </si>
  <si>
    <t>Детализация внесения оборудования: производственные расходы</t>
  </si>
  <si>
    <t>Детализация внесения оборудования: административные расходы</t>
  </si>
  <si>
    <t>Детализация внесения оборудования: общепроизводственные расходы</t>
  </si>
  <si>
    <t>Пообъектный учет амортизации и аренды?</t>
  </si>
  <si>
    <t>Учитывать аренду транспорта в прочих производственных расходов?</t>
  </si>
  <si>
    <t>Лист "Амортизация (оборудование)" добавить строку прочее</t>
  </si>
  <si>
    <t>Разделять "Счет 23" на ОР, НР и амортизацию?</t>
  </si>
  <si>
    <t>Разделять "Счет 25" на ОР, НР и амортизацию?</t>
  </si>
  <si>
    <t>Разделять "Адм.расходы" на ОР, НР и амортизацию?</t>
  </si>
  <si>
    <t>Формирование баланса, как в шаблоне ФАС или как в Приказе Минстроя №640</t>
  </si>
  <si>
    <t>Отражать услуги по горячему водоснабжению на листах "Смета" и "НР"</t>
  </si>
  <si>
    <t>Отображение строки с ГСМ и материалами</t>
  </si>
  <si>
    <t>Учитывать неучтенный приток</t>
  </si>
  <si>
    <t>ФОТ как в ЭЗ ФАС</t>
  </si>
  <si>
    <t>Разбивка листа ИТОГ по полугодиям</t>
  </si>
  <si>
    <t>Итоговый результат</t>
  </si>
  <si>
    <t>Организация</t>
  </si>
  <si>
    <t>Вид тарифа</t>
  </si>
  <si>
    <t>Период регулирования</t>
  </si>
  <si>
    <t>Плательщик НДС</t>
  </si>
  <si>
    <t>№ п/п</t>
  </si>
  <si>
    <t>Наименование</t>
  </si>
  <si>
    <t>Единица измерений</t>
  </si>
  <si>
    <t>Версия организации</t>
  </si>
  <si>
    <t>Версия регулятора</t>
  </si>
  <si>
    <t>Указание на подтверждающие документы / URL-ссылка на копии подтверждающих документов</t>
  </si>
  <si>
    <t>Ссылка на правовую норму (основание для принятия показателя в расчет тарифа)</t>
  </si>
  <si>
    <t>Обоснование причин, на основании которых принято решение об исключении из расчета тарифов экономически не обоснованных расходов, учтенных регулируемой организацией в предложении об установлении тарифов</t>
  </si>
  <si>
    <t>Рабочее пространство для комментариев и дополнительных расчетов (не будет загружено в БД)</t>
  </si>
  <si>
    <t>факт</t>
  </si>
  <si>
    <t>утвержденный план Органа регулирования</t>
  </si>
  <si>
    <t>год</t>
  </si>
  <si>
    <t>Условие для учета реагентов в ОР</t>
  </si>
  <si>
    <t>Условие для индексации ОР</t>
  </si>
  <si>
    <t>Количество месяцев</t>
  </si>
  <si>
    <t>M3877</t>
  </si>
  <si>
    <t>Индекс разделения по полугодиям</t>
  </si>
  <si>
    <t>Не определено</t>
  </si>
  <si>
    <t>ИТОГ</t>
  </si>
  <si>
    <t>M3876</t>
  </si>
  <si>
    <t>Баланс водоснабжения (год)</t>
  </si>
  <si>
    <t>Всего</t>
  </si>
  <si>
    <t>M3416</t>
  </si>
  <si>
    <t>Баланс водоснабжения 1 полугодие</t>
  </si>
  <si>
    <t>Не опрееделено</t>
  </si>
  <si>
    <t>M3417</t>
  </si>
  <si>
    <t>Баланс водоснабжения 2 полугодие</t>
  </si>
  <si>
    <t>M0513</t>
  </si>
  <si>
    <t>Расходы</t>
  </si>
  <si>
    <t>Итого НВВ</t>
  </si>
  <si>
    <t>M3874</t>
  </si>
  <si>
    <t>Разделение тарифа (НВВ I полугодие)</t>
  </si>
  <si>
    <t>M3875</t>
  </si>
  <si>
    <t xml:space="preserve">Разделение тарифа (НВВ II полугодия) </t>
  </si>
  <si>
    <t>M3033</t>
  </si>
  <si>
    <t>Среднегодовой тариф</t>
  </si>
  <si>
    <t>M3034</t>
  </si>
  <si>
    <t>Тариф на первый период</t>
  </si>
  <si>
    <t>M3035</t>
  </si>
  <si>
    <t>Тариф на второй период</t>
  </si>
  <si>
    <t>M2358</t>
  </si>
  <si>
    <t>Темп роста тарифа</t>
  </si>
  <si>
    <t>M2875</t>
  </si>
  <si>
    <t>Среднегодовой тариф с НДС</t>
  </si>
  <si>
    <t>M2876</t>
  </si>
  <si>
    <t>Тариф на первый период с НДС</t>
  </si>
  <si>
    <t>M2877</t>
  </si>
  <si>
    <t>Тариф на второй период с НДС</t>
  </si>
  <si>
    <t>M2878</t>
  </si>
  <si>
    <t>Темп роста тарифа с НДС</t>
  </si>
  <si>
    <t>Проверки</t>
  </si>
  <si>
    <t>Для фильтра</t>
  </si>
  <si>
    <t>Дубль расчёта</t>
  </si>
  <si>
    <t>﻿M2656</t>
  </si>
  <si>
    <t>Проверка</t>
  </si>
  <si>
    <t>﻿Операционные расходы</t>
  </si>
  <si>
    <t>Проверка операционных расходов</t>
  </si>
  <si>
    <t>тыс. руб.</t>
  </si>
  <si>
    <t>Индексы и коэффициенты</t>
  </si>
  <si>
    <t>M2315</t>
  </si>
  <si>
    <t>Индекс</t>
  </si>
  <si>
    <t>ИИКА</t>
  </si>
  <si>
    <t>Коэффициент операционных расходов</t>
  </si>
  <si>
    <t>Коэффициент роста ОР к значению прошлого года</t>
  </si>
  <si>
    <t>Индекс эффективности операционных расходов (ИЭР)</t>
  </si>
  <si>
    <t>%</t>
  </si>
  <si>
    <t>Индекс потребительских цен, определенный в базовом варианте прогноза СЭР РФ</t>
  </si>
  <si>
    <t>Индекс потребительских цен (ИПЦ)</t>
  </si>
  <si>
    <t>Индекс изменения количества активов</t>
  </si>
  <si>
    <t>Индекс изменения количество активов (ИКА)</t>
  </si>
  <si>
    <t>Индекс изменения количества условных метров сети</t>
  </si>
  <si>
    <t>Изменение количества условных метров сети</t>
  </si>
  <si>
    <t>M2292</t>
  </si>
  <si>
    <t>Изменение ОР на водоподготовку, связанное с вводом в эксплуатацию нового объекта водоподготовки</t>
  </si>
  <si>
    <t>Изменение операционных расходов на водоподготовку, очистку сточных вод, связанное с вводом в эксплуатацию нового объекта водоподготовки</t>
  </si>
  <si>
    <t>M3182</t>
  </si>
  <si>
    <t>Доля операционных расходов по транспортировке в общих операционных расходах</t>
  </si>
  <si>
    <t>Доля операционных расходов по транспортировке в общих ОР</t>
  </si>
  <si>
    <t>Коэффициент неполного года</t>
  </si>
  <si>
    <t>Расчет тарифа МИ</t>
  </si>
  <si>
    <t>Индекс цен на электрическую энергию</t>
  </si>
  <si>
    <t>Индексы</t>
  </si>
  <si>
    <t>Баланс водоснабжения</t>
  </si>
  <si>
    <t>тыс.куб.м</t>
  </si>
  <si>
    <t>1 полугодие</t>
  </si>
  <si>
    <t>2 полугодие</t>
  </si>
  <si>
    <t>M3028</t>
  </si>
  <si>
    <t>Объем воды и стоков</t>
  </si>
  <si>
    <t>Объем воды из источников водоснабжения</t>
  </si>
  <si>
    <t>Поднято воды - всего</t>
  </si>
  <si>
    <t>Потребление на собственные нужды</t>
  </si>
  <si>
    <t>Получено воды со стороны от других операторов</t>
  </si>
  <si>
    <t>Подано воды в сеть</t>
  </si>
  <si>
    <t>Расходы воды при транспортировке</t>
  </si>
  <si>
    <t>Потери воды</t>
  </si>
  <si>
    <t>M2516</t>
  </si>
  <si>
    <t>потери воды в процентах</t>
  </si>
  <si>
    <t>потери воды в % к V поданной воды в сеть</t>
  </si>
  <si>
    <t>Отпущено воды, всего</t>
  </si>
  <si>
    <t>Отпущено воды - всего</t>
  </si>
  <si>
    <t>отпущено воды на нужды предприятия (другие виды производственной деятельности, в т.ч. для приготовления горячей воды)</t>
  </si>
  <si>
    <t>на нужды предприятия</t>
  </si>
  <si>
    <t>отпущено воды абонентам</t>
  </si>
  <si>
    <t>Объем реализации по категориям потребителей:</t>
  </si>
  <si>
    <t>население, исполнители коммунальных услуг (УК, ТСЖ и пр.)</t>
  </si>
  <si>
    <t>населению</t>
  </si>
  <si>
    <t>бюджетные потребители</t>
  </si>
  <si>
    <t>бюджетным учреждениям</t>
  </si>
  <si>
    <t>прочие потребители</t>
  </si>
  <si>
    <t>прочим потребителям</t>
  </si>
  <si>
    <t>передано воды другим водопроводам</t>
  </si>
  <si>
    <t>Отпущено воды другим водопроводам</t>
  </si>
  <si>
    <t>M3976</t>
  </si>
  <si>
    <t>Баланс водоотведения</t>
  </si>
  <si>
    <t>M3418</t>
  </si>
  <si>
    <t>Баланс водоотведения 1 полугодие</t>
  </si>
  <si>
    <t>M3419</t>
  </si>
  <si>
    <t>Баланс водоотведения 2 полугодие</t>
  </si>
  <si>
    <t>Прием сточных вод (с учетом технологических нужд)</t>
  </si>
  <si>
    <t>Прием сточных вод, технологические нужды предприятия</t>
  </si>
  <si>
    <t>Прием сточных вод, всего</t>
  </si>
  <si>
    <t>прием сточных вод от собственного производства (других видов производственной деятельности)</t>
  </si>
  <si>
    <t>Объем сточных вод, принятых у абонентов</t>
  </si>
  <si>
    <t>от собственных абонентов</t>
  </si>
  <si>
    <t>от бюджетных потребителей</t>
  </si>
  <si>
    <t>от населения, исполнителей коммунальных услуг (УК, ТСЖ и пр.)</t>
  </si>
  <si>
    <t>от прочих</t>
  </si>
  <si>
    <t>от других организаций, осуществляющих водоотведение</t>
  </si>
  <si>
    <t>неучтенный приток сточных вод</t>
  </si>
  <si>
    <t>Объем транспортируемых сточных вод</t>
  </si>
  <si>
    <t>транспортируемые сточные воды на собственные очистные сооружения</t>
  </si>
  <si>
    <t>транспортируемые другим организациям сточные воды</t>
  </si>
  <si>
    <t>Объем сточных вод, поступивших на очистные сооружения</t>
  </si>
  <si>
    <t>Необходимая валовая выручка</t>
  </si>
  <si>
    <t>Текущие расходы</t>
  </si>
  <si>
    <t>Итого по операционным расходам</t>
  </si>
  <si>
    <t>Операционные расходы:</t>
  </si>
  <si>
    <t>Скорректированные операционные расходы</t>
  </si>
  <si>
    <t>Производственные расходы</t>
  </si>
  <si>
    <t>ОР (базовый)</t>
  </si>
  <si>
    <t>Производственные расходы:</t>
  </si>
  <si>
    <t>Расходы на сырье и материалы</t>
  </si>
  <si>
    <t>расходы на приобретение сырья и материалов и их хранение</t>
  </si>
  <si>
    <t>Реагенты</t>
  </si>
  <si>
    <t>Горюче-смазочные материалы</t>
  </si>
  <si>
    <t>Материалы и малоценные основные средства</t>
  </si>
  <si>
    <t>Расходы на оплату работ и услуг, связанные с эксплуатацией ЦС ВС/ВО: прочие услуги</t>
  </si>
  <si>
    <t>расходы на оплату регулируемыми организациями выполняемых сторонними организациями работ и (или) услуг</t>
  </si>
  <si>
    <t>Расходы на оплату труда и отчисления на социальные нужды</t>
  </si>
  <si>
    <t>Основные производственные рабочие</t>
  </si>
  <si>
    <t>расходы на оплату труда и отчисления на социальные нужды ОПП</t>
  </si>
  <si>
    <t>Расходы на оплату труда</t>
  </si>
  <si>
    <t>расходы на оплату труда производственного персонала</t>
  </si>
  <si>
    <t>M3045</t>
  </si>
  <si>
    <t>Оплата труда</t>
  </si>
  <si>
    <t>Сред. зарплата 1 работ-щего в мес</t>
  </si>
  <si>
    <t>руб.</t>
  </si>
  <si>
    <t>M2019</t>
  </si>
  <si>
    <t>Численность, принятая для расчета</t>
  </si>
  <si>
    <t>Числ-ть осн. рабочих</t>
  </si>
  <si>
    <t>чел.</t>
  </si>
  <si>
    <t>Отчисления на социальные нужды</t>
  </si>
  <si>
    <t>отчисления на социальные нужды производственного персонала</t>
  </si>
  <si>
    <t>M2084</t>
  </si>
  <si>
    <t>% расходов на уплату страховых взносов</t>
  </si>
  <si>
    <t>процент страховых взносов</t>
  </si>
  <si>
    <t>Расходы на уплату процентов по займам и кредитам</t>
  </si>
  <si>
    <t>расходы на уплату процентов по займам и кредитам</t>
  </si>
  <si>
    <t>Общепроизводственные (цеховые) расходы</t>
  </si>
  <si>
    <t>общехозяйственные расходы</t>
  </si>
  <si>
    <t>Цеховый персонал</t>
  </si>
  <si>
    <t>Счет 25</t>
  </si>
  <si>
    <t>расходы на оплату труда и отчисления на социальные нужды ОХП</t>
  </si>
  <si>
    <t>расходы на оплату труда цехового персонала</t>
  </si>
  <si>
    <t>отчисления на социальные нужды цехового персонала</t>
  </si>
  <si>
    <t>﻿Другие расходы (с расшифровкой) в составе общехозяйственных расходов</t>
  </si>
  <si>
    <t>другие общехозяйственные расходы</t>
  </si>
  <si>
    <t>Итого по прочим производственным расходам</t>
  </si>
  <si>
    <t>Прочие производственные расходы:</t>
  </si>
  <si>
    <t>Прочие производственные расходы: расходы на амортизацию автотранспорта</t>
  </si>
  <si>
    <t>расходы на амортизацию автотранспорта</t>
  </si>
  <si>
    <t>Прочие производственные расходы: услуги по обращению с осадком сточных вод</t>
  </si>
  <si>
    <t>расходы на обезвоживание, обезвреживание и захоронение осадка сточных вод</t>
  </si>
  <si>
    <t>Прочие производственные расходы: расходы на приобретение (использование) вспомогательных материалов, запасных частей</t>
  </si>
  <si>
    <t>расходы на приобретение (использование) вспомогательных материалов, запасных частей</t>
  </si>
  <si>
    <t>Прочие производственные расходы: расходы на эксплуатацию, техническое обслуживание и ремонт автотранспорта</t>
  </si>
  <si>
    <t>расходы на эксплуатацию, техническое обслуживание и ремонт автотранспорта</t>
  </si>
  <si>
    <t>Прочие производственные расходы: контроль качества воды/контроль сточных вод</t>
  </si>
  <si>
    <t>расходы на осуществление производственного контроля качества воды и производственного контроля состава и свойств сточных вод расходы на осуществление производственного контроля качества воды и производственного контроля состава и свойств сточных вод</t>
  </si>
  <si>
    <t>Прочие производственные расходы: расходы на аварийно-техническое обслуживание</t>
  </si>
  <si>
    <t>расходы на аварийно- диспетчерское обслуживание</t>
  </si>
  <si>
    <t>Прочие производственные расходы: вспомогаельные расходы</t>
  </si>
  <si>
    <t>вспомогательные расходы</t>
  </si>
  <si>
    <t>Аренда производственного траспорта</t>
  </si>
  <si>
    <t>другие производственные расходы</t>
  </si>
  <si>
    <t>Ремонтные работы</t>
  </si>
  <si>
    <t>Ремонтные расходы</t>
  </si>
  <si>
    <t>Расходы на текущий ремонт объектов ЦС ХВС/ВО либо объектов, входящих в такие системы (без расходов на оплату труда ремонтного персонала)</t>
  </si>
  <si>
    <t>расходы на текущий ремонт</t>
  </si>
  <si>
    <t xml:space="preserve">Расходы на капитальный ремонт ЦС ХВС/ВО либо объектов, входящих в такие системы </t>
  </si>
  <si>
    <t>расходы на капитальный ремонт</t>
  </si>
  <si>
    <t>Ремонтный персонал</t>
  </si>
  <si>
    <t>расходы на оплату труда и отчисления на социальные нужды РП</t>
  </si>
  <si>
    <t>расходы на оплату труда ремонтного персонала</t>
  </si>
  <si>
    <t>отчисления на социальные нужды ремонтного персонала</t>
  </si>
  <si>
    <t>Административные расходы</t>
  </si>
  <si>
    <t>Расходы на оплату работ и услуг, выполняемых сторонними организациями, в составе административных расходов</t>
  </si>
  <si>
    <t>Расходы на оплату работ и услуг, выполняемых сторонними организациями</t>
  </si>
  <si>
    <t>услуги связи и интернет в составе административных расходов</t>
  </si>
  <si>
    <t>услуги связи и интернет</t>
  </si>
  <si>
    <t>юридические услуги в составе административных расходов</t>
  </si>
  <si>
    <t>юридические услуги</t>
  </si>
  <si>
    <t>аудиторские услуги, лицензии, разрешения, экспертиза в составе административных расходов</t>
  </si>
  <si>
    <t>аудиторские услуги, лицензии, разрешения, экспертиза</t>
  </si>
  <si>
    <t>консультационные услуги в составе административных расходов</t>
  </si>
  <si>
    <t>консультационные услуги</t>
  </si>
  <si>
    <t>услуги по вневедомственной охране объектов и территорий в составе административных расходов</t>
  </si>
  <si>
    <t>услуги по вневедомственной охране объектов и территорий</t>
  </si>
  <si>
    <t>информационные услуги в составе административных расходов</t>
  </si>
  <si>
    <t>информационные услуги</t>
  </si>
  <si>
    <t>прочие услуги, выполняемые сторонними организациями, в составе административных расходов</t>
  </si>
  <si>
    <t>прочие услуги</t>
  </si>
  <si>
    <t>АУП</t>
  </si>
  <si>
    <t>Расходы на оплату труда и отчисления на социальные нужды АП</t>
  </si>
  <si>
    <t>расходы на оплату труда административного персонала</t>
  </si>
  <si>
    <t>отчисления на социальные нужды АП</t>
  </si>
  <si>
    <t>Арендная плата и лизинговые платежи, не связанные с арендой (лизингом) ЦС в/с, либо объектов, входящих в такие системы</t>
  </si>
  <si>
    <t>Служебные командировки в составе административных расходов</t>
  </si>
  <si>
    <t>Служебные командировки</t>
  </si>
  <si>
    <t>Обучение персонала в составе административных расходов</t>
  </si>
  <si>
    <t>Обучение персонала</t>
  </si>
  <si>
    <t>Средства на страхование в составе административных расходов</t>
  </si>
  <si>
    <t>Средства на страхование производственных объектов</t>
  </si>
  <si>
    <t>Итого по прочим административным расходам</t>
  </si>
  <si>
    <t>Прочие административные расходы</t>
  </si>
  <si>
    <t>Прочие административные расходы: расходы на амортизацию непроизводственных активов</t>
  </si>
  <si>
    <t>расходы на амортизацию непроизводственных активов</t>
  </si>
  <si>
    <t>Прочие административные расходы: расходы по охране объектов и территорий</t>
  </si>
  <si>
    <t>расходы по охране объектов и территорий, в т.ч. пожарная охрана</t>
  </si>
  <si>
    <t>Прочие административные расходы: материалы</t>
  </si>
  <si>
    <t>материалы</t>
  </si>
  <si>
    <t>Прочие административные расходы: ремонт и содержание ОС</t>
  </si>
  <si>
    <t>ремонт и содержание ОС</t>
  </si>
  <si>
    <t>Прочие административные расходы: транспорт</t>
  </si>
  <si>
    <t>транспорт</t>
  </si>
  <si>
    <t>Прочие административные расходы: налоги</t>
  </si>
  <si>
    <t>налоги</t>
  </si>
  <si>
    <t>Прочие административные расходы: прочее</t>
  </si>
  <si>
    <t>прочие расходы</t>
  </si>
  <si>
    <t>Сбытовые расходы гарантирующей организации (за исключением резерва по сомнительным долгам)</t>
  </si>
  <si>
    <t>Сбытовые расходы гарантирующей организации:</t>
  </si>
  <si>
    <t>Расходы на приобретение материалов, связанные со сбытовой деятельностью</t>
  </si>
  <si>
    <t>Расходы на содержание помещений, используемых при осуществлении сбытовой деятельности</t>
  </si>
  <si>
    <t>Сбыт</t>
  </si>
  <si>
    <t>Расходы на оплату труда, страховые взносы на обязательное социальное страхование, выплачиваемые из фонда оплаты труда сбытового персонала</t>
  </si>
  <si>
    <t>M0514</t>
  </si>
  <si>
    <t>Заработная плата всего</t>
  </si>
  <si>
    <t>Расходы на амортизацию основных средств и нематериальных активов (сбытовая деятельность)</t>
  </si>
  <si>
    <t>Расходы на амортизацию основных средств и нематериальных активов, используемых при осуществлении сбытовой деятельности</t>
  </si>
  <si>
    <t>Расходы на аренду, лизинг имущества, используемого при осуществлении сбытовой деятельности</t>
  </si>
  <si>
    <t>Расходы на уплату процентов по займам и кредитам, привлечение которых обосновано ростом дебиторской задолженности абонентов</t>
  </si>
  <si>
    <t>Расходы на уплату процентов по займам и кредитам, привлечение которых обосновано ростом дебиторской задолженности абонентов за регулируемые услуги водоснабжения (водоотведения)</t>
  </si>
  <si>
    <t>Расходы на оплату работ и (или) услуг, выполняемых сторонними организациями или индивидуальными предпринимателями (сбытовая деятельность)</t>
  </si>
  <si>
    <t>Расходы на оплату работ и (или) услуг, выполняемых сторонними организациями или индивидуальными предпринимателями, связанных со сбытовой деятельностью</t>
  </si>
  <si>
    <t>Прочие расходы, связанные со сбытовой деятельностью</t>
  </si>
  <si>
    <t>Затраты на электроэнергию, всего</t>
  </si>
  <si>
    <t>Расходы на электрическую энергию</t>
  </si>
  <si>
    <t>Производственные расходы на электрическую энергию</t>
  </si>
  <si>
    <t>Смета</t>
  </si>
  <si>
    <t>M2124</t>
  </si>
  <si>
    <t>Тариф на электроэнергию</t>
  </si>
  <si>
    <t>Тариф по электроэнергии</t>
  </si>
  <si>
    <t>руб/кВт*ч</t>
  </si>
  <si>
    <t>M2122</t>
  </si>
  <si>
    <t>Объем покупной электроэнергии</t>
  </si>
  <si>
    <t>Кол-во электроэнергии</t>
  </si>
  <si>
    <t>тыс.кВт*ч</t>
  </si>
  <si>
    <t>На технологические цели</t>
  </si>
  <si>
    <t>ЭЭ</t>
  </si>
  <si>
    <t>Кол-во электроэнергии на технологические нужды</t>
  </si>
  <si>
    <t>M3030</t>
  </si>
  <si>
    <t>Удельное потребление электрической энергии</t>
  </si>
  <si>
    <t>Удельный расход электроэнергии</t>
  </si>
  <si>
    <t>кВт*ч/м3</t>
  </si>
  <si>
    <t>M3098</t>
  </si>
  <si>
    <t>Подано воды в сеть/Принято сточных вод</t>
  </si>
  <si>
    <t>объем воды/сточных вод</t>
  </si>
  <si>
    <t>M3046</t>
  </si>
  <si>
    <t>Показатель надежности и качества объектов ЦС ХВС/ВО</t>
  </si>
  <si>
    <t>общее количество электроэнергии, потребляемой в процессе подготовки/очистки вод</t>
  </si>
  <si>
    <t>Показатели</t>
  </si>
  <si>
    <t>Кол-во электроэнергии на технологические нужды водоподготовки/очистки сточных вод</t>
  </si>
  <si>
    <t>Удельный расход электрической энергии, потребляемой в процессе подготовки/очистки вод, на единицу объема</t>
  </si>
  <si>
    <t>Удельный расход электроэнергии на водоподготовку/очистку сточных вод</t>
  </si>
  <si>
    <t>общий объем питьевой воды, подвергаемой водоподготовке/сточных вод, подвергающихся очистке</t>
  </si>
  <si>
    <t>общее количество электроэнергии, потребляемой при транспортировке</t>
  </si>
  <si>
    <t>Кол-во электроэнергии на технологические нужды транспортировки воды/сточных вод</t>
  </si>
  <si>
    <t>Удельный расход электрической энергии, потребляемой в процессе транспортировки питьевой воды/сточных вод, на единицу объема</t>
  </si>
  <si>
    <t>Удельный расход электроэнергии на транспортировку воды/сточных вод</t>
  </si>
  <si>
    <t>общий объем транспортируемой питьевой воды/сточных вод</t>
  </si>
  <si>
    <t>На хозяйственные нужды</t>
  </si>
  <si>
    <t>Кол-во электроэнергии на общепроизводственные нужды</t>
  </si>
  <si>
    <t>Электрическая энергия в составе общей суммы вспомогательных расходов</t>
  </si>
  <si>
    <t>Счет 23</t>
  </si>
  <si>
    <t>Вспомогательные расходы на электрическую энергию (счет 23)</t>
  </si>
  <si>
    <t>Электрическая энергия в составе общей суммы цеховых расходов</t>
  </si>
  <si>
    <t>Общепроизводственные расходы на электрическую энергию (счет 25)</t>
  </si>
  <si>
    <t>Электрическая энергия в составе общей суммы административных расходов</t>
  </si>
  <si>
    <t>Счет 26</t>
  </si>
  <si>
    <t>Административные расходы на электрическую энергию (счет 26)</t>
  </si>
  <si>
    <t>Неподконтрольные расходы</t>
  </si>
  <si>
    <t>Неподконтрольные расходы, в том числе:</t>
  </si>
  <si>
    <t>Расходы на оплату товаров (услуг, работ), приобретаемых у других организаций</t>
  </si>
  <si>
    <t>НР</t>
  </si>
  <si>
    <t>Расходы на оплату товаров (услуг, работ), приобретаемых у других организаций:</t>
  </si>
  <si>
    <t>Расходы на тепловую энергию, всего</t>
  </si>
  <si>
    <t>Расходы на тепловую энергию</t>
  </si>
  <si>
    <t>Расходы на теплоноситель</t>
  </si>
  <si>
    <t>Расходы на топливо</t>
  </si>
  <si>
    <t>Расходы на оплату работ и услуг, связанные с эксплуатацией ЦС ВС/ВО: транспортировка воды</t>
  </si>
  <si>
    <t>Расходы на транспортировку воды</t>
  </si>
  <si>
    <t>Расходы на приобретение холодной воды/оплату услуг по перекачке и очистке стоков</t>
  </si>
  <si>
    <t>Расходы на покупку воды</t>
  </si>
  <si>
    <t>Расходы на оплату работ и услуг, связанные с эксплуатацией ЦС ВС/ВО: услуги по холодному водоснабжению</t>
  </si>
  <si>
    <t>Расходы на оплату работ и услуг, связанные с эксплуатацией ЦС ВС/ВО: услуги по транспортировке холодной воды</t>
  </si>
  <si>
    <t>Расходы на оплату работ и услуг, связанные с эксплуатацией ЦС ВС/ВО: услуги по горячему водоснабжению</t>
  </si>
  <si>
    <t>Расходы на оплату работ и услуг, связанные с эксплуатацией ЦС ВС/ВО: услуги по приготовлению воды на нужды горячего водоснабжения</t>
  </si>
  <si>
    <t>Расходы на оплату работ и услуг, связанные с эксплуатацией ЦС ВС/ВО: услуги по транспортировке горячей воды</t>
  </si>
  <si>
    <t>Расходы на оплату работ и услуг, связанные с эксплуатацией ЦС ВС/ВО: услуги по водоотведению</t>
  </si>
  <si>
    <t>Услуги по водоотведению</t>
  </si>
  <si>
    <t>Расходы на оплату работ и услуг, связанные с эксплуатацией ЦС ВС/ВО: транспортировка сточных вод</t>
  </si>
  <si>
    <t>Химические реагенты</t>
  </si>
  <si>
    <t>Расходы на реагенты</t>
  </si>
  <si>
    <t>Налоги и сборы</t>
  </si>
  <si>
    <t>Налоги и сборы:</t>
  </si>
  <si>
    <t>Налог на прибыль</t>
  </si>
  <si>
    <t>Налог на имущество организаций</t>
  </si>
  <si>
    <t>Земельный налог</t>
  </si>
  <si>
    <t>Водный налог</t>
  </si>
  <si>
    <t>Плата за пользование водным объектом</t>
  </si>
  <si>
    <t>Транспортный налог</t>
  </si>
  <si>
    <t>Плата за негативное воздействие на окружающую среду</t>
  </si>
  <si>
    <t>Прочие налоги и сборы</t>
  </si>
  <si>
    <t>Единый налог, уплачиваемый организацией, применяющей упрощённую систему налогообложения</t>
  </si>
  <si>
    <t>Налог при УСН</t>
  </si>
  <si>
    <t>Расходы на арендную плату, лизинговые платежи, концессионную плату</t>
  </si>
  <si>
    <t>Арендная и концессионная плата, лизинговые платежи</t>
  </si>
  <si>
    <t>Аренда имущества</t>
  </si>
  <si>
    <t>Аренда муниципальной или государственной собственности</t>
  </si>
  <si>
    <t>Аренда частной собственности</t>
  </si>
  <si>
    <t>Концессионная плата</t>
  </si>
  <si>
    <t>Лизинговые платежи</t>
  </si>
  <si>
    <t>Аренда земельных участков</t>
  </si>
  <si>
    <t>Расходы по сомнительным долгам, в размере не более 2% НВВ</t>
  </si>
  <si>
    <t>Резерв по сомнительным долгам гарантирующей организации</t>
  </si>
  <si>
    <t>Экономия расходов</t>
  </si>
  <si>
    <t>Расходы на обслуживание бесхозяйных сетей</t>
  </si>
  <si>
    <t>Расходы на компенсацию экономически обоснованных расходов</t>
  </si>
  <si>
    <t>Займы и кредиты (для метода индексации)</t>
  </si>
  <si>
    <t>Займы и кредиты (за исключенением ИП)</t>
  </si>
  <si>
    <t>Возврат займов и кредитов (за исключением средств, привлекаемым на реализацию инвестиционной программы и пополнение оборотных средств)</t>
  </si>
  <si>
    <t>Возврат займов и кредитов</t>
  </si>
  <si>
    <t>Проценты по займам и кредитам  (за исключением средств, привлекаемым на реализацию инвестиционной программы и пополнение оборотных средств)</t>
  </si>
  <si>
    <t>Проценты по займам и кредитам</t>
  </si>
  <si>
    <t>Расходы концессионера на осуществление государственного кадастрового учета и (или) государственной регистрации права собственности концедента</t>
  </si>
  <si>
    <t>Неподконтрольные расходы в составе общей суммы административных расходов</t>
  </si>
  <si>
    <t>Административные расходы (счет 26)</t>
  </si>
  <si>
    <t>Неподконтрольные расходы в составе общей суммы цеховых расходов</t>
  </si>
  <si>
    <t>Общепроизводственные (цеховые) расходы (счет 25)</t>
  </si>
  <si>
    <t>Вспомогательные расходы</t>
  </si>
  <si>
    <t>Вспомогательные расходы (счет 23)</t>
  </si>
  <si>
    <t>Прочие прямые расходы</t>
  </si>
  <si>
    <t>Амортизация</t>
  </si>
  <si>
    <t>Амортизация производственные расходы</t>
  </si>
  <si>
    <t>Амортизация (в том числе инвестиционная (справочно)</t>
  </si>
  <si>
    <t>в том числе инвестиционная (справочно)</t>
  </si>
  <si>
    <t>Амортизация в составе общей суммы административных расходов</t>
  </si>
  <si>
    <t>Амортизация в составе общей суммы цеховых расходов</t>
  </si>
  <si>
    <t>Общепроизводственные расходы (счет 25)</t>
  </si>
  <si>
    <t>Амортизация в составе общей суммы вспомогательных расходов</t>
  </si>
  <si>
    <t>Амортизация в составе общей суммы прочих прямых расходов</t>
  </si>
  <si>
    <t>Прочие прямые</t>
  </si>
  <si>
    <t>Нормативная прибыль</t>
  </si>
  <si>
    <t>Средства на возврат займов и кредитов и процентов по ним, привлекаемым на реализацию инвестиционной программы и пополнение оборотных средств</t>
  </si>
  <si>
    <t>Возврат займов и кредитов (по средствам, привлекаемым на реализацию инвестиционной программы и пополнение оборотных средств)</t>
  </si>
  <si>
    <t>Средства на возврат инвестиционных займов</t>
  </si>
  <si>
    <t>Проценты по займам и кредитам (по средствам, привлекаемым на реализацию инвестиционной программы и пополнение оборотных средств)</t>
  </si>
  <si>
    <t>Средства на уплату процентов по инвестиционным займам</t>
  </si>
  <si>
    <t>Капитальные расходы</t>
  </si>
  <si>
    <t>Иные экономически обоснованные расходы на социальные нужды, в соответствии с пунктом 86 Методических указаний</t>
  </si>
  <si>
    <t>Иные экономически обоснованные расходы на социальные нужды, в соответствии с пунктом 86 настоящих Методических указаний</t>
  </si>
  <si>
    <t>M2133</t>
  </si>
  <si>
    <t>Нормативный уровень прибыли</t>
  </si>
  <si>
    <t>Нормативный уровень прибыли, установленный в соответствии с п.84 Методических указаний</t>
  </si>
  <si>
    <t xml:space="preserve">Нормативный уровень прибыли </t>
  </si>
  <si>
    <t>Нормативный уровень прибыли (справочно)</t>
  </si>
  <si>
    <t>Расчетная предпринимательская прибыль гарантирующей организации</t>
  </si>
  <si>
    <t>M3044</t>
  </si>
  <si>
    <t>Ставка для расчета предпринимательской прибыли гарантирующей организации</t>
  </si>
  <si>
    <t>Корректировка НВВ</t>
  </si>
  <si>
    <t>Отклонение фактически достигнутого объема поданной воды или принятых сточных вод</t>
  </si>
  <si>
    <t>Отклонение фактических значений индекса потребительских цен и других индексов, предусмотренных прогнозом СЭР РФ</t>
  </si>
  <si>
    <t>Отклонение фактических значений индекса потребительских цен и других индексов, предусмотренных прогнозом социально-экономического развития Российской Федерации</t>
  </si>
  <si>
    <t>Отклонение фактически достигнутого уровня неподконтрольных расходов</t>
  </si>
  <si>
    <t>Ввод объектов системы водоснабжения и (или) водоотведения в эксплуатацию и изменение утвержденной инвестиционной программы</t>
  </si>
  <si>
    <t>объем собственных средств на реализацию инвестиционной программы, включающий амортизацию основных средств и нематериальных активов</t>
  </si>
  <si>
    <t>объем собственных средств на реализацию инвестиционной программы, включающий амортизацию основных средств и нематериальных активов, расходы из прибыли и иные собственные средства, определенные инвестиционной программой, за исключением средств бюджетов всех уровней бюджетной системы Российской Федерации, и платы за подключение (технологическое присоединение) к централизованной системе водоснабжения и (или) водоотведения</t>
  </si>
  <si>
    <t xml:space="preserve">размер финансирования инвестиционной программы за счет всех источников финансирования, за исключением средств бюджетов всех уровней бюджетной системы Российской Федерации, и платы за подключение </t>
  </si>
  <si>
    <t>размер финансирования инвестиционной программы за счет всех источников финансирования, за исключением средств бюджетов всех уровней бюджетной системы Российской Федерации, и платы за подключение (технологическое присоединение) к централизованной системе водоснабжения и (или) водоотведения</t>
  </si>
  <si>
    <t>Степень исполнения регулируемой организацией обязательств по созданию и (или) реконструкции объектов концессионного соглашения</t>
  </si>
  <si>
    <t>Степень исполнения регулируемой организацией обязательств по созданию и (или) реконструкции объектов концессионного соглашения, по эксплуатации объектов по договору аренды централизованных систем горячего водоснабжения, холодного водоснабжения и (или) водоотведения, отдельных объектов таких систем, находящихся в государственной или муниципальной собственности, по реализации инвестиционной программы, производственной программы при недостижении регулируемой организацией утвержденных плановых значений показателей надежности и качества объектов централизованных систем водоснабжения и (или) водоотведения</t>
  </si>
  <si>
    <t>Размер корректировки НВВ, осуществляемой с целью учёта отклонения фактических значений параметров расчёта тарифов от значений, учтённых при установлении тарифов</t>
  </si>
  <si>
    <t>Сглаживание годовое в долгосрочке</t>
  </si>
  <si>
    <t>Сглаживание</t>
  </si>
  <si>
    <t>Недополученные доходы / расходы прошлых периодов</t>
  </si>
  <si>
    <t>Расчет МЭОР</t>
  </si>
  <si>
    <t>Экономически обоснованные расходы, не учтенные органом регулирования тарифов при установлении тарифов в прошлом периоде</t>
  </si>
  <si>
    <t>Недополученные доходы прошлых периодов регулирования</t>
  </si>
  <si>
    <t>Расходы, связанные с обслуживанием заемных средств и собственных средств, направляемых на покрытие недостатка средств</t>
  </si>
  <si>
    <t xml:space="preserve">Избыток средств, полученный за отчётные периоды регулирования </t>
  </si>
  <si>
    <t>Избыток средств, полученный за отчётные периоды регулирования</t>
  </si>
  <si>
    <t>Экономически не обоснованные доходы / расходы прошлых периодов регулирования</t>
  </si>
  <si>
    <t>Бюджетные субсидии, полученные на финансирование расходов, учтенных в тарифах</t>
  </si>
  <si>
    <t>Плата за негативное воздействие</t>
  </si>
  <si>
    <t>Величина отклонения по результатам досудебного рассмотрения споров</t>
  </si>
  <si>
    <t>Величина отклонения по результатам рассмотрения разногласий</t>
  </si>
  <si>
    <t>Итого НВВ для расчета тарифа</t>
  </si>
  <si>
    <t>Тариф на водоснабжение/водоотведение</t>
  </si>
  <si>
    <t>руб./куб. м</t>
  </si>
  <si>
    <t>Тариф с 1.01. по 30.06.</t>
  </si>
  <si>
    <t>Тариф с 1.07. по 31.12.</t>
  </si>
  <si>
    <t>Тариф на водоснабжение/водоотведение с НДС</t>
  </si>
  <si>
    <t>Темп роста тарифа, с НДС</t>
  </si>
  <si>
    <t>M3848</t>
  </si>
  <si>
    <t>Ставка платы за объем принятых стоков</t>
  </si>
  <si>
    <t>M3849</t>
  </si>
  <si>
    <t>Ставка платы за объем принятых стоков I полугодие</t>
  </si>
  <si>
    <t>M3850</t>
  </si>
  <si>
    <t>Ставка платы за объем принятых стоков II полугодие</t>
  </si>
  <si>
    <t>M3851</t>
  </si>
  <si>
    <t>Темп роста ставки платы за объем принятых стоков</t>
  </si>
  <si>
    <t>M3852</t>
  </si>
  <si>
    <t>Ставка платы за объем принятых стоков с НДС</t>
  </si>
  <si>
    <t>M3853</t>
  </si>
  <si>
    <t>Ставка платы за объем принятых стоков с НДС I полугодие</t>
  </si>
  <si>
    <t>M3854</t>
  </si>
  <si>
    <t>Ставка платы за объем принятых стоков с НДС II полугодие</t>
  </si>
  <si>
    <t>M3855</t>
  </si>
  <si>
    <t>Темп роста ставки платы за объем принятых стоков с НДС</t>
  </si>
  <si>
    <t>M3856</t>
  </si>
  <si>
    <t>Ставка платы за содержание мощности</t>
  </si>
  <si>
    <t>M3857</t>
  </si>
  <si>
    <t>Ставка платы за содержание мощности I полугодие</t>
  </si>
  <si>
    <t>M3858</t>
  </si>
  <si>
    <t>Ставка платы за содержание мощности II полугодие</t>
  </si>
  <si>
    <t>M3859</t>
  </si>
  <si>
    <t>темп роста ставки платы за содержание мощности</t>
  </si>
  <si>
    <t>M3860</t>
  </si>
  <si>
    <t>Ставка платы за содержание мощности с НДС</t>
  </si>
  <si>
    <t>M3861</t>
  </si>
  <si>
    <t>Ставка платы за содержание мощности с НДС I полугодие</t>
  </si>
  <si>
    <t>M3862</t>
  </si>
  <si>
    <t>Ставка платы за содержание мощности с НДС II полугодие</t>
  </si>
  <si>
    <t>M3863</t>
  </si>
  <si>
    <t>темп роста ставки платы за содержание мощности с НДС</t>
  </si>
  <si>
    <t>M3864</t>
  </si>
  <si>
    <t>Разделение тарифа</t>
  </si>
  <si>
    <t>M3865</t>
  </si>
  <si>
    <t>M3866</t>
  </si>
  <si>
    <t>Разделение тарифа (тариф)</t>
  </si>
  <si>
    <t>M3867</t>
  </si>
  <si>
    <t>Разделение тарифа (тариф I полугодие)</t>
  </si>
  <si>
    <t>M3868</t>
  </si>
  <si>
    <t>Разделение тарифа (тариф II полугодие)</t>
  </si>
  <si>
    <t>M3869</t>
  </si>
  <si>
    <t>Разделение тарифа (темп роста тарифа)</t>
  </si>
  <si>
    <t>M3870</t>
  </si>
  <si>
    <t>Разделение тарифа (объем реализованной воды/сточных вод)</t>
  </si>
  <si>
    <t>M3871</t>
  </si>
  <si>
    <t>Разделение тарифа (объем I полугодия)</t>
  </si>
  <si>
    <t>M3872</t>
  </si>
  <si>
    <t>Разделение тарифа (объем II полугодия)</t>
  </si>
  <si>
    <t>M3873</t>
  </si>
  <si>
    <t>Разделение тарифа (НВВ)</t>
  </si>
  <si>
    <t>ITOG_ADD</t>
  </si>
  <si>
    <t>M3924</t>
  </si>
  <si>
    <t>Рост к предыдущему году</t>
  </si>
  <si>
    <t>Отклонение от организации</t>
  </si>
  <si>
    <t>Отклонение от плана</t>
  </si>
  <si>
    <t>Комментарий</t>
  </si>
  <si>
    <t>Отклонение от утвержденного плана</t>
  </si>
  <si>
    <t>Прием сточных вод (без учёта неучтенного притока)</t>
  </si>
  <si>
    <t>от собственного производства</t>
  </si>
  <si>
    <t>принято от абонентов, в т.ч.:</t>
  </si>
  <si>
    <t>от собственных абонентов:</t>
  </si>
  <si>
    <t>от населения</t>
  </si>
  <si>
    <t>неучтенный приток</t>
  </si>
  <si>
    <t>на собственные очистные сооружения</t>
  </si>
  <si>
    <t>другим организациям</t>
  </si>
  <si>
    <t>Материалы, производ. инвентарь+материалы на хоз. нужды+ хозяйственны йинвентарь</t>
  </si>
  <si>
    <t>Запчасти, шины, ремонт и обсл. транспорта, услуги автомойки, ТО автотранспорта, приоьретение маршрутных карт</t>
  </si>
  <si>
    <t>Расходные материалы и реактивы, физико-хим. испытания, ремонт лабораторного оборудования</t>
  </si>
  <si>
    <t>лист 23 счет</t>
  </si>
  <si>
    <t>лист Документы п. 2.26.1 ( расчеты обоснование)</t>
  </si>
  <si>
    <t>аккредит, разрешения</t>
  </si>
  <si>
    <t>расчет</t>
  </si>
  <si>
    <t>расчет пожарная охрана ( поверка огнетушителей и обслуживание пожарной охраны)</t>
  </si>
  <si>
    <t>договора аренды, расчет</t>
  </si>
  <si>
    <t>штатное расписание, расчет нормативной численности</t>
  </si>
  <si>
    <t>услуги коллекторского агенства, услуги Симплекс, доставка квитанций Почта России</t>
  </si>
  <si>
    <t>Услуги по транспортировке сточных вод</t>
  </si>
  <si>
    <t>договор лизинга</t>
  </si>
  <si>
    <t>расчет амортизации по максимальному сроку использования объектов</t>
  </si>
  <si>
    <t>выплата за выслугу лет+ выплаты ветеранм</t>
  </si>
  <si>
    <t>Плата за негативное воздействие на работу централизованных систем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</si>
</sst>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0000"/>
    <numFmt numFmtId="166" formatCode="#,##0.00000"/>
    <numFmt numFmtId="167" formatCode="#,##0.000"/>
    <numFmt numFmtId="168" formatCode="#,##0.000000"/>
    <numFmt numFmtId="169" formatCode="#,##0.0000"/>
    <numFmt numFmtId="170" formatCode="dd\.mm\.yyyy"/>
    <numFmt numFmtId="171" formatCode="0.0%"/>
    <numFmt numFmtId="172" formatCode="0.0"/>
    <numFmt numFmtId="173" formatCode="#,##0.0"/>
    <numFmt numFmtId="174" formatCode="0.0000"/>
    <numFmt numFmtId="175" formatCode="_-* #,##0.00_р_._-;\-* #,##0.00_р_._-;_-* &quot;-&quot;??_р_._-;_-@_-"/>
    <numFmt numFmtId="176" formatCode="#,##0.000_ ;\-#,##0.000\ "/>
    <numFmt numFmtId="177" formatCode="#,##0_ ;\-#,##0\ "/>
  </numFmts>
  <fonts count="87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theme="1"/>
      <name val="Tahoma"/>
      <family val="2"/>
      <charset val="204"/>
    </font>
    <font>
      <sz val="11"/>
      <color indexed="0"/>
      <name val="Calibri"/>
      <family val="2"/>
      <scheme val="minor"/>
    </font>
    <font>
      <sz val="9"/>
      <color rgb="FF00000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name val="Tahoma"/>
      <family val="2"/>
      <charset val="204"/>
    </font>
    <font>
      <i/>
      <sz val="9"/>
      <name val="Tahoma"/>
      <family val="2"/>
      <charset val="204"/>
    </font>
    <font>
      <sz val="9"/>
      <color theme="4" tint="-0.249977111117893"/>
      <name val="Tahoma"/>
      <family val="2"/>
      <charset val="204"/>
    </font>
    <font>
      <sz val="9"/>
      <color rgb="FF000080"/>
      <name val="Tahoma"/>
      <family val="2"/>
      <charset val="204"/>
    </font>
    <font>
      <sz val="9"/>
      <name val="Arial Cyr"/>
    </font>
    <font>
      <sz val="9"/>
      <color theme="0"/>
      <name val="Arial Cyr"/>
    </font>
    <font>
      <sz val="10"/>
      <name val="Tahoma"/>
      <family val="2"/>
      <charset val="204"/>
    </font>
    <font>
      <sz val="11"/>
      <color rgb="FFBCBCBC"/>
      <name val="Tahoma"/>
      <family val="2"/>
      <charset val="204"/>
    </font>
    <font>
      <sz val="9"/>
      <color rgb="FF333399"/>
      <name val="Tahoma"/>
      <family val="2"/>
      <charset val="204"/>
    </font>
    <font>
      <b/>
      <sz val="9"/>
      <color rgb="FFFF0000"/>
      <name val="Tahoma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u/>
      <sz val="9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  <font>
      <sz val="9"/>
      <color rgb="FFFFFFFF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16"/>
      <name val="Tahoma"/>
      <family val="2"/>
      <charset val="204"/>
    </font>
    <font>
      <sz val="16"/>
      <color rgb="FFFFFFFF"/>
      <name val="Tahoma"/>
      <family val="2"/>
      <charset val="204"/>
    </font>
    <font>
      <sz val="9"/>
      <color rgb="FFCC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rgb="FF002060"/>
      <name val="Tahoma"/>
      <family val="2"/>
      <charset val="204"/>
    </font>
    <font>
      <sz val="9"/>
      <color rgb="FF0070C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9"/>
      <color rgb="FFBCBCBC"/>
      <name val="Tahoma"/>
      <family val="2"/>
      <charset val="204"/>
    </font>
    <font>
      <sz val="11"/>
      <color rgb="FF000080"/>
      <name val="Tahoma"/>
      <family val="2"/>
      <charset val="204"/>
    </font>
    <font>
      <sz val="10"/>
      <name val="Arial Cyr"/>
    </font>
    <font>
      <sz val="8"/>
      <color rgb="FF000000"/>
      <name val="Tahoma"/>
      <family val="2"/>
      <charset val="204"/>
    </font>
    <font>
      <sz val="8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u/>
      <sz val="9"/>
      <name val="Tahoma"/>
      <family val="2"/>
      <charset val="204"/>
    </font>
    <font>
      <sz val="9"/>
      <color rgb="FF22272F"/>
      <name val="Tahoma"/>
      <family val="2"/>
      <charset val="204"/>
    </font>
    <font>
      <b/>
      <sz val="9"/>
      <color rgb="FFCC0000"/>
      <name val="Tahoma"/>
      <family val="2"/>
      <charset val="204"/>
    </font>
    <font>
      <b/>
      <i/>
      <sz val="9"/>
      <color rgb="FFCC0000"/>
      <name val="Tahoma"/>
      <family val="2"/>
      <charset val="204"/>
    </font>
    <font>
      <sz val="11"/>
      <color rgb="FFFF0000"/>
      <name val="Calibri"/>
      <family val="2"/>
      <charset val="204"/>
    </font>
    <font>
      <u/>
      <sz val="9"/>
      <color rgb="FF000080"/>
      <name val="Tahoma"/>
      <family val="2"/>
      <charset val="204"/>
    </font>
    <font>
      <b/>
      <sz val="9"/>
      <color rgb="FFFFFFFF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sz val="9"/>
      <color theme="4"/>
      <name val="Tahoma"/>
      <family val="2"/>
      <charset val="204"/>
    </font>
    <font>
      <u/>
      <sz val="9"/>
      <name val="Tahoma"/>
      <family val="2"/>
      <charset val="204"/>
    </font>
    <font>
      <sz val="11"/>
      <color rgb="FFFFFFFF"/>
      <name val="Calibri"/>
      <family val="2"/>
      <charset val="204"/>
      <scheme val="minor"/>
    </font>
    <font>
      <b/>
      <sz val="10"/>
      <name val="Tahoma"/>
      <family val="2"/>
      <charset val="204"/>
    </font>
    <font>
      <b/>
      <sz val="9"/>
      <color theme="0" tint="-0.34998626667073579"/>
      <name val="Tahoma"/>
      <family val="2"/>
      <charset val="204"/>
    </font>
    <font>
      <b/>
      <sz val="9"/>
      <color rgb="FFBCBCBC"/>
      <name val="Tahoma"/>
      <family val="2"/>
      <charset val="204"/>
    </font>
    <font>
      <sz val="11"/>
      <color theme="0"/>
      <name val="Tahoma"/>
      <family val="2"/>
      <charset val="204"/>
    </font>
    <font>
      <sz val="9"/>
      <color theme="0" tint="-0.34998626667073579"/>
      <name val="Tahoma"/>
      <family val="2"/>
      <charset val="204"/>
    </font>
    <font>
      <sz val="9"/>
      <color rgb="FF000000"/>
      <name val="Calibri"/>
      <family val="2"/>
      <charset val="204"/>
    </font>
    <font>
      <sz val="18"/>
      <color rgb="FFFF0000"/>
      <name val="Calibri"/>
      <family val="2"/>
      <charset val="204"/>
    </font>
    <font>
      <sz val="1"/>
      <color theme="0"/>
      <name val="Tahoma"/>
      <family val="2"/>
      <charset val="204"/>
    </font>
    <font>
      <sz val="1"/>
      <color theme="1"/>
      <name val="Tahoma"/>
      <family val="2"/>
      <charset val="204"/>
    </font>
    <font>
      <sz val="9"/>
      <color theme="0" tint="-0.249977111117893"/>
      <name val="Tahoma"/>
      <family val="2"/>
      <charset val="204"/>
    </font>
    <font>
      <u/>
      <sz val="9"/>
      <color theme="0"/>
      <name val="Tahoma"/>
      <family val="2"/>
      <charset val="204"/>
    </font>
    <font>
      <b/>
      <u/>
      <sz val="9"/>
      <color rgb="FF0000FF"/>
      <name val="Tahoma"/>
      <family val="2"/>
      <charset val="204"/>
    </font>
    <font>
      <sz val="9"/>
      <color theme="0" tint="-0.14999847407452621"/>
      <name val="Tahoma"/>
      <family val="2"/>
      <charset val="204"/>
    </font>
    <font>
      <sz val="9"/>
      <color theme="0" tint="-4.9989318521683403E-2"/>
      <name val="Tahoma"/>
      <family val="2"/>
      <charset val="204"/>
    </font>
    <font>
      <b/>
      <sz val="9"/>
      <color theme="4" tint="-0.249977111117893"/>
      <name val="Tahoma"/>
      <family val="2"/>
      <charset val="204"/>
    </font>
    <font>
      <b/>
      <sz val="12"/>
      <color rgb="FF0000A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9"/>
      <color rgb="FFCC0000"/>
      <name val="Tahoma"/>
      <family val="2"/>
      <charset val="204"/>
    </font>
    <font>
      <sz val="16"/>
      <color theme="0" tint="-0.499984740745262"/>
      <name val="Tahoma"/>
      <family val="2"/>
      <charset val="204"/>
    </font>
    <font>
      <sz val="9"/>
      <color theme="3"/>
      <name val="Tahoma"/>
      <family val="2"/>
      <charset val="204"/>
    </font>
    <font>
      <sz val="9"/>
      <color rgb="FFD9D9D9"/>
      <name val="Tahoma"/>
      <family val="2"/>
      <charset val="204"/>
    </font>
    <font>
      <sz val="9"/>
      <color rgb="FFD7EAD3"/>
      <name val="Tahoma"/>
      <family val="2"/>
      <charset val="204"/>
    </font>
    <font>
      <sz val="9"/>
      <color rgb="FF3366FF"/>
      <name val="Tahoma"/>
      <family val="2"/>
      <charset val="204"/>
    </font>
    <font>
      <i/>
      <sz val="9"/>
      <color rgb="FF000000"/>
      <name val="Tahoma"/>
      <family val="2"/>
      <charset val="204"/>
    </font>
    <font>
      <sz val="9"/>
      <color rgb="FFFF6600"/>
      <name val="Tahoma"/>
      <family val="2"/>
      <charset val="204"/>
    </font>
    <font>
      <sz val="5"/>
      <name val="Tahoma"/>
      <family val="2"/>
      <charset val="204"/>
    </font>
    <font>
      <sz val="5"/>
      <color rgb="FFCC0000"/>
      <name val="Tahoma"/>
      <family val="2"/>
      <charset val="204"/>
    </font>
    <font>
      <sz val="10"/>
      <name val="Arial"/>
      <family val="2"/>
      <charset val="204"/>
    </font>
    <font>
      <sz val="9"/>
      <color rgb="FF333333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indexed="81"/>
      <name val="Tahoma"/>
      <family val="2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8080"/>
      </patternFill>
    </fill>
    <fill>
      <patternFill patternType="solid">
        <fgColor rgb="FFFFFFFF"/>
      </patternFill>
    </fill>
    <fill>
      <patternFill patternType="solid">
        <fgColor rgb="FFD7EAD3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44777B"/>
      </patternFill>
    </fill>
    <fill>
      <patternFill patternType="solid">
        <fgColor rgb="FF93C0C3"/>
      </patternFill>
    </fill>
    <fill>
      <patternFill patternType="solid">
        <fgColor theme="0"/>
      </patternFill>
    </fill>
    <fill>
      <patternFill patternType="solid">
        <fgColor rgb="FFDCEBEC"/>
      </patternFill>
    </fill>
    <fill>
      <patternFill patternType="solid">
        <fgColor rgb="FFFFFF00"/>
      </patternFill>
    </fill>
    <fill>
      <patternFill patternType="solid">
        <fgColor rgb="FFE3FAFD"/>
      </patternFill>
    </fill>
    <fill>
      <patternFill patternType="solid">
        <fgColor rgb="FFC6DEE0"/>
      </patternFill>
    </fill>
    <fill>
      <patternFill patternType="solid">
        <fgColor rgb="FFFF0000"/>
      </patternFill>
    </fill>
    <fill>
      <patternFill patternType="lightDown">
        <fgColor rgb="FFEAEBEE"/>
        <bgColor rgb="FFFFFFFF"/>
      </patternFill>
    </fill>
    <fill>
      <patternFill patternType="solid">
        <fgColor rgb="FF00B050"/>
      </patternFill>
    </fill>
    <fill>
      <patternFill patternType="solid">
        <fgColor rgb="FFFFFF99"/>
      </patternFill>
    </fill>
    <fill>
      <patternFill patternType="solid">
        <fgColor theme="3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CCFFCC"/>
      </patternFill>
    </fill>
    <fill>
      <patternFill patternType="lightDown">
        <fgColor rgb="FFC0C0C0"/>
      </patternFill>
    </fill>
    <fill>
      <patternFill patternType="solid">
        <fgColor rgb="FFBCBCBC"/>
      </patternFill>
    </fill>
    <fill>
      <patternFill patternType="solid">
        <fgColor rgb="FF9BFFEB"/>
      </patternFill>
    </fill>
    <fill>
      <patternFill patternType="solid">
        <fgColor rgb="FF0070C0"/>
      </patternFill>
    </fill>
    <fill>
      <patternFill patternType="solid">
        <fgColor theme="2" tint="-0.249977111117893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EAEBEE"/>
      </patternFill>
    </fill>
    <fill>
      <patternFill patternType="solid">
        <fgColor theme="0" tint="-0.249977111117893"/>
        <bgColor indexed="65"/>
      </patternFill>
    </fill>
    <fill>
      <patternFill patternType="lightDown">
        <fgColor rgb="FFBCBCBC"/>
      </patternFill>
    </fill>
    <fill>
      <patternFill patternType="solid">
        <fgColor rgb="FFCCFFFF"/>
      </patternFill>
    </fill>
    <fill>
      <patternFill patternType="solid">
        <fgColor rgb="FFD9D9D9"/>
      </patternFill>
    </fill>
    <fill>
      <patternFill patternType="solid">
        <fgColor rgb="FFFF9966"/>
      </patternFill>
    </fill>
    <fill>
      <patternFill patternType="solid">
        <fgColor rgb="FF999999"/>
      </patternFill>
    </fill>
    <fill>
      <patternFill patternType="solid">
        <fgColor rgb="FFFFC000"/>
      </patternFill>
    </fill>
    <fill>
      <patternFill patternType="lightDown">
        <fgColor rgb="FF99CCFF"/>
        <bgColor rgb="FFFFFFFF"/>
      </patternFill>
    </fill>
    <fill>
      <patternFill patternType="solid">
        <fgColor theme="3"/>
      </patternFill>
    </fill>
    <fill>
      <patternFill patternType="solid">
        <fgColor rgb="FFEFF6F7"/>
      </patternFill>
    </fill>
    <fill>
      <patternFill patternType="solid">
        <fgColor rgb="FFEAF0F6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808000"/>
      </patternFill>
    </fill>
    <fill>
      <patternFill patternType="solid">
        <fgColor rgb="FFFFCC00"/>
      </patternFill>
    </fill>
    <fill>
      <patternFill patternType="solid">
        <fgColor rgb="FFCC0000"/>
      </patternFill>
    </fill>
    <fill>
      <patternFill patternType="solid">
        <fgColor rgb="FF660066"/>
      </patternFill>
    </fill>
    <fill>
      <patternFill patternType="solid">
        <fgColor rgb="FFFF9900"/>
      </patternFill>
    </fill>
    <fill>
      <patternFill patternType="solid">
        <fgColor rgb="FF0066CC"/>
      </patternFill>
    </fill>
    <fill>
      <patternFill patternType="solid">
        <fgColor rgb="FF002060"/>
      </patternFill>
    </fill>
    <fill>
      <patternFill patternType="solid">
        <fgColor rgb="FFFF6600"/>
      </patternFill>
    </fill>
    <fill>
      <patternFill patternType="solid">
        <fgColor rgb="FF00B0F0"/>
      </patternFill>
    </fill>
    <fill>
      <patternFill patternType="solid">
        <fgColor rgb="FFDCE6F1"/>
      </patternFill>
    </fill>
  </fills>
  <borders count="207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C0C0C0"/>
      </bottom>
      <diagonal/>
    </border>
    <border>
      <left style="thin">
        <color rgb="FFBCBCBC"/>
      </left>
      <right/>
      <top style="thin">
        <color rgb="FFBCBCBC"/>
      </top>
      <bottom style="thin">
        <color rgb="FFC0C0C0"/>
      </bottom>
      <diagonal/>
    </border>
    <border>
      <left/>
      <right style="thin">
        <color rgb="FFBCBCBC"/>
      </right>
      <top style="thin">
        <color rgb="FFBCBCBC"/>
      </top>
      <bottom style="thin">
        <color rgb="FFC0C0C0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CBCBC"/>
      </top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BCBCBC"/>
      </right>
      <top style="thin">
        <color rgb="FFBCBCBC"/>
      </top>
      <bottom style="thin">
        <color theme="0" tint="-0.249977111117893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CBCBC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BCBCBC"/>
      </right>
      <top style="thin">
        <color theme="0" tint="-0.249977111117893"/>
      </top>
      <bottom/>
      <diagonal/>
    </border>
    <border>
      <left/>
      <right style="thin">
        <color rgb="FFBCBCBC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BCBCBC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BCBCBC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CBCBC"/>
      </left>
      <right/>
      <top/>
      <bottom/>
      <diagonal/>
    </border>
    <border>
      <left/>
      <right style="thin">
        <color rgb="FFBCBCBC"/>
      </right>
      <top/>
      <bottom/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rgb="FFBCBCBC"/>
      </top>
      <bottom style="thin">
        <color theme="0" tint="-0.249977111117893"/>
      </bottom>
      <diagonal/>
    </border>
    <border>
      <left style="thin">
        <color rgb="FFBCBCBC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CBCBC"/>
      </left>
      <right style="thin">
        <color rgb="FFBCBCBC"/>
      </right>
      <top style="thin">
        <color theme="0" tint="-0.249977111117893"/>
      </top>
      <bottom style="thin">
        <color rgb="FFBCBCBC"/>
      </bottom>
      <diagonal/>
    </border>
    <border>
      <left/>
      <right/>
      <top style="thin">
        <color theme="0" tint="-0.249977111117893"/>
      </top>
      <bottom style="thin">
        <color rgb="FFBCBCBC"/>
      </bottom>
      <diagonal/>
    </border>
    <border>
      <left/>
      <right style="thin">
        <color rgb="FFBCBCBC"/>
      </right>
      <top style="thin">
        <color theme="0" tint="-0.249977111117893"/>
      </top>
      <bottom style="thin">
        <color rgb="FFBCBCBC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theme="0" tint="-0.249977111117893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CBCBC"/>
      </left>
      <right style="thin">
        <color theme="0" tint="-0.249977111117893"/>
      </right>
      <top style="thin">
        <color rgb="FFBCBCBC"/>
      </top>
      <bottom/>
      <diagonal/>
    </border>
    <border>
      <left style="thin">
        <color rgb="FFBCBCBC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 style="thin">
        <color theme="0" tint="-0.249977111117893"/>
      </bottom>
      <diagonal/>
    </border>
    <border>
      <left style="thin">
        <color rgb="FFBCBCBC"/>
      </left>
      <right/>
      <top style="thin">
        <color rgb="FFBCBCBC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CBCBC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theme="0" tint="-0.249977111117893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theme="0" tint="-0.249977111117893"/>
      </top>
      <bottom style="thin">
        <color rgb="FFC0C0C0"/>
      </bottom>
      <diagonal/>
    </border>
    <border>
      <left/>
      <right/>
      <top style="thin">
        <color theme="0" tint="-0.249977111117893"/>
      </top>
      <bottom style="thin">
        <color rgb="FFC0C0C0"/>
      </bottom>
      <diagonal/>
    </border>
    <border>
      <left/>
      <right style="thin">
        <color rgb="FFC0C0C0"/>
      </right>
      <top style="thin">
        <color theme="0" tint="-0.249977111117893"/>
      </top>
      <bottom style="thin">
        <color rgb="FFC0C0C0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rgb="FFC0C0C0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BCBCBC"/>
      </bottom>
      <diagonal/>
    </border>
    <border>
      <left/>
      <right style="thin">
        <color theme="0" tint="-0.249977111117893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CBCBC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249977111117893"/>
      </left>
      <right style="thin">
        <color rgb="FFBCBCBC"/>
      </right>
      <top/>
      <bottom/>
      <diagonal/>
    </border>
    <border>
      <left style="thin">
        <color theme="0" tint="-0.249977111117893"/>
      </left>
      <right style="thin">
        <color rgb="FFBCBCBC"/>
      </right>
      <top/>
      <bottom style="thin">
        <color rgb="FFBCBCBC"/>
      </bottom>
      <diagonal/>
    </border>
    <border>
      <left style="thin">
        <color theme="0" tint="-0.249977111117893"/>
      </left>
      <right style="thin">
        <color rgb="FFBCBCBC"/>
      </right>
      <top style="thin">
        <color rgb="FFBCBCBC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rgb="FFBCBCBC"/>
      </right>
      <top/>
      <bottom style="thin">
        <color theme="0" tint="-0.34998626667073579"/>
      </bottom>
      <diagonal/>
    </border>
    <border>
      <left style="thin">
        <color rgb="FFC0C0C0"/>
      </left>
      <right style="thin">
        <color rgb="FFC0C0C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C0C0C0"/>
      </bottom>
      <diagonal/>
    </border>
    <border>
      <left/>
      <right style="thin">
        <color rgb="FFD9D9D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C0C0C0"/>
      </right>
      <top style="thin">
        <color theme="0" tint="-0.249977111117893"/>
      </top>
      <bottom style="thin">
        <color rgb="FFC0C0C0"/>
      </bottom>
      <diagonal/>
    </border>
    <border>
      <left style="thin">
        <color rgb="FFC0C0C0"/>
      </left>
      <right style="thin">
        <color theme="0" tint="-0.249977111117893"/>
      </right>
      <top style="thin">
        <color theme="0" tint="-0.249977111117893"/>
      </top>
      <bottom style="thin">
        <color rgb="FFC0C0C0"/>
      </bottom>
      <diagonal/>
    </border>
    <border>
      <left style="thin">
        <color theme="0" tint="-0.249977111117893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 style="thin">
        <color theme="0" tint="-0.249977111117893"/>
      </top>
      <bottom/>
      <diagonal/>
    </border>
    <border>
      <left style="thin">
        <color rgb="FFBCBCBC"/>
      </left>
      <right/>
      <top style="thin">
        <color theme="0" tint="-0.249977111117893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999999"/>
      </bottom>
      <diagonal/>
    </border>
    <border>
      <left style="thin">
        <color rgb="FFBCBCBC"/>
      </left>
      <right/>
      <top/>
      <bottom style="thin">
        <color rgb="FF999999"/>
      </bottom>
      <diagonal/>
    </border>
    <border>
      <left style="thin">
        <color rgb="FFBCBCBC"/>
      </left>
      <right/>
      <top style="thin">
        <color rgb="FF999999"/>
      </top>
      <bottom style="thin">
        <color rgb="FF999999"/>
      </bottom>
      <diagonal/>
    </border>
    <border>
      <left style="thin">
        <color rgb="FFBCBCBC"/>
      </left>
      <right/>
      <top style="thin">
        <color rgb="FF999999"/>
      </top>
      <bottom style="thin">
        <color rgb="FFBCBCBC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BCBCBC"/>
      </left>
      <right/>
      <top style="thin">
        <color theme="0" tint="-0.249977111117893"/>
      </top>
      <bottom/>
      <diagonal/>
    </border>
    <border>
      <left style="thin">
        <color rgb="FFBCBCBC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CBCBC"/>
      </top>
      <bottom style="thin">
        <color rgb="FF999999"/>
      </bottom>
      <diagonal/>
    </border>
    <border>
      <left style="thin">
        <color rgb="FFBCBCBC"/>
      </left>
      <right/>
      <top style="thin">
        <color theme="0" tint="-0.249977111117893"/>
      </top>
      <bottom style="thin">
        <color rgb="FF999999"/>
      </bottom>
      <diagonal/>
    </border>
    <border>
      <left/>
      <right/>
      <top style="thin">
        <color theme="0" tint="-0.249977111117893"/>
      </top>
      <bottom style="thin">
        <color rgb="FF999999"/>
      </bottom>
      <diagonal/>
    </border>
    <border>
      <left style="thin">
        <color rgb="FFBCBCBC"/>
      </left>
      <right style="thin">
        <color rgb="FF999999"/>
      </right>
      <top style="thin">
        <color theme="0" tint="-0.249977111117893"/>
      </top>
      <bottom style="thin">
        <color rgb="FF999999"/>
      </bottom>
      <diagonal/>
    </border>
    <border>
      <left style="thin">
        <color rgb="FF999999"/>
      </left>
      <right style="thin">
        <color rgb="FFBCBCBC"/>
      </right>
      <top style="thin">
        <color theme="0" tint="-0.249977111117893"/>
      </top>
      <bottom style="thin">
        <color rgb="FF999999"/>
      </bottom>
      <diagonal/>
    </border>
    <border>
      <left style="thin">
        <color rgb="FFBCBCBC"/>
      </left>
      <right style="thin">
        <color rgb="FF999999"/>
      </right>
      <top style="thin">
        <color rgb="FFBCBCBC"/>
      </top>
      <bottom style="thin">
        <color rgb="FF999999"/>
      </bottom>
      <diagonal/>
    </border>
    <border>
      <left style="thin">
        <color rgb="FF999999"/>
      </left>
      <right style="thin">
        <color rgb="FFBCBCBC"/>
      </right>
      <top style="thin">
        <color rgb="FFBCBCBC"/>
      </top>
      <bottom style="thin">
        <color rgb="FF999999"/>
      </bottom>
      <diagonal/>
    </border>
    <border>
      <left style="thin">
        <color rgb="FFBCBCBC"/>
      </left>
      <right style="thin">
        <color rgb="FF999999"/>
      </right>
      <top style="thin">
        <color rgb="FFBCBCBC"/>
      </top>
      <bottom/>
      <diagonal/>
    </border>
    <border>
      <left style="thin">
        <color rgb="FF999999"/>
      </left>
      <right style="thin">
        <color rgb="FF999999"/>
      </right>
      <top style="thin">
        <color rgb="FFBCBCBC"/>
      </top>
      <bottom/>
      <diagonal/>
    </border>
    <border>
      <left style="thin">
        <color rgb="FF999999"/>
      </left>
      <right/>
      <top style="thin">
        <color rgb="FFBCBCBC"/>
      </top>
      <bottom/>
      <diagonal/>
    </border>
    <border>
      <left style="thin">
        <color rgb="FFBCBCBC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BCBCBC"/>
      </right>
      <top style="thin">
        <color rgb="FF999999"/>
      </top>
      <bottom/>
      <diagonal/>
    </border>
    <border>
      <left style="thin">
        <color rgb="FF999999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BCBCBC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BCBCBC"/>
      </right>
      <top style="thin">
        <color rgb="FFBCBCBC"/>
      </top>
      <bottom style="thin">
        <color rgb="FF999999"/>
      </bottom>
      <diagonal/>
    </border>
    <border>
      <left style="thin">
        <color rgb="FF999999"/>
      </left>
      <right/>
      <top style="thin">
        <color rgb="FFBCBCBC"/>
      </top>
      <bottom style="thin">
        <color rgb="FF999999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999999"/>
      </bottom>
      <diagonal/>
    </border>
    <border>
      <left/>
      <right style="thin">
        <color rgb="FFBCBCBC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BCBCBC"/>
      </left>
      <right style="thin">
        <color rgb="FFBCBCBC"/>
      </right>
      <top style="thin">
        <color rgb="FF999999"/>
      </top>
      <bottom style="thin">
        <color rgb="FF999999"/>
      </bottom>
      <diagonal/>
    </border>
    <border>
      <left/>
      <right style="thin">
        <color rgb="FFBCBCBC"/>
      </right>
      <top style="thin">
        <color rgb="FF999999"/>
      </top>
      <bottom/>
      <diagonal/>
    </border>
    <border>
      <left style="thin">
        <color rgb="FFBCBCBC"/>
      </left>
      <right style="thin">
        <color rgb="FFBCBCBC"/>
      </right>
      <top style="thin">
        <color rgb="FF999999"/>
      </top>
      <bottom/>
      <diagonal/>
    </border>
    <border>
      <left style="thin">
        <color theme="0" tint="-0.249977111117893"/>
      </left>
      <right style="thin">
        <color rgb="FFBCBCBC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BCBCBC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theme="0" tint="-0.249977111117893"/>
      </right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theme="0" tint="-0.249977111117893"/>
      </right>
      <top style="thin">
        <color rgb="FFBCBCBC"/>
      </top>
      <bottom style="thin">
        <color rgb="FFBCBCBC"/>
      </bottom>
      <diagonal/>
    </border>
    <border>
      <left style="thick">
        <color rgb="FF003300"/>
      </left>
      <right style="thick">
        <color rgb="FF003300"/>
      </right>
      <top style="thick">
        <color rgb="FF003300"/>
      </top>
      <bottom style="thick">
        <color rgb="FF003300"/>
      </bottom>
      <diagonal/>
    </border>
    <border>
      <left style="thick">
        <color rgb="FF003300"/>
      </left>
      <right/>
      <top style="thick">
        <color rgb="FF003300"/>
      </top>
      <bottom style="thick">
        <color rgb="FF003300"/>
      </bottom>
      <diagonal/>
    </border>
    <border>
      <left/>
      <right style="thick">
        <color rgb="FF003300"/>
      </right>
      <top style="thick">
        <color rgb="FF003300"/>
      </top>
      <bottom style="thick">
        <color rgb="FF003300"/>
      </bottom>
      <diagonal/>
    </border>
    <border>
      <left style="thin">
        <color rgb="FFBCBCBC"/>
      </left>
      <right style="thin">
        <color rgb="FFBCBCBC"/>
      </right>
      <top style="thick">
        <color rgb="FF003300"/>
      </top>
      <bottom style="thick">
        <color rgb="FF003300"/>
      </bottom>
      <diagonal/>
    </border>
    <border>
      <left style="thin">
        <color theme="0" tint="-0.249977111117893"/>
      </left>
      <right style="thin">
        <color rgb="FFBCBCBC"/>
      </right>
      <top style="thin">
        <color rgb="FFBCBCBC"/>
      </top>
      <bottom style="thin">
        <color theme="0" tint="-0.249977111117893"/>
      </bottom>
      <diagonal/>
    </border>
    <border>
      <left style="thin">
        <color rgb="FFBCBCBC"/>
      </left>
      <right style="thin">
        <color theme="0" tint="-0.249977111117893"/>
      </right>
      <top style="thin">
        <color rgb="FFBCBCBC"/>
      </top>
      <bottom style="thin">
        <color theme="0" tint="-0.249977111117893"/>
      </bottom>
      <diagonal/>
    </border>
    <border>
      <left style="thin">
        <color rgb="FFC0C0C0"/>
      </left>
      <right/>
      <top style="thin">
        <color rgb="FFBCBCBC"/>
      </top>
      <bottom style="thin">
        <color rgb="FFBCBCBC"/>
      </bottom>
      <diagonal/>
    </border>
    <border>
      <left style="thin">
        <color rgb="FFC0C0C0"/>
      </left>
      <right/>
      <top style="thin">
        <color rgb="FFBCBCBC"/>
      </top>
      <bottom style="thin">
        <color rgb="FFC0C0C0"/>
      </bottom>
      <diagonal/>
    </border>
  </borders>
  <cellStyleXfs count="3730">
    <xf numFmtId="0" fontId="0" fillId="0" borderId="0"/>
    <xf numFmtId="0" fontId="1" fillId="0" borderId="0" applyFill="0" applyBorder="0">
      <alignment vertical="top"/>
    </xf>
    <xf numFmtId="0" fontId="2" fillId="0" borderId="0" applyFill="0" applyBorder="0">
      <alignment horizontal="left" vertical="top"/>
    </xf>
    <xf numFmtId="0" fontId="3" fillId="0" borderId="0" applyFill="0" applyBorder="0">
      <alignment horizontal="left" vertical="top"/>
    </xf>
    <xf numFmtId="0" fontId="2" fillId="10" borderId="0" applyBorder="0">
      <alignment horizontal="left" vertical="top"/>
    </xf>
    <xf numFmtId="0" fontId="2" fillId="0" borderId="0" applyFill="0" applyBorder="0">
      <alignment horizontal="right" vertical="top"/>
    </xf>
    <xf numFmtId="0" fontId="4" fillId="0" borderId="0" applyFill="0" applyBorder="0">
      <alignment horizontal="left" vertical="top"/>
    </xf>
    <xf numFmtId="0" fontId="6" fillId="0" borderId="0" applyFill="0" applyBorder="0">
      <alignment vertical="top"/>
    </xf>
    <xf numFmtId="49" fontId="2" fillId="0" borderId="0" applyFill="0" applyBorder="0">
      <alignment horizontal="left" vertical="top"/>
    </xf>
    <xf numFmtId="0" fontId="2" fillId="11" borderId="0" applyBorder="0">
      <alignment horizontal="left" vertical="top"/>
    </xf>
    <xf numFmtId="49" fontId="2" fillId="11" borderId="0" applyBorder="0">
      <alignment horizontal="left" vertical="top"/>
    </xf>
    <xf numFmtId="4" fontId="2" fillId="0" borderId="0" applyFill="0" applyBorder="0">
      <alignment horizontal="left" vertical="top"/>
    </xf>
    <xf numFmtId="0" fontId="2" fillId="0" borderId="1" applyFill="0"/>
    <xf numFmtId="0" fontId="2" fillId="0" borderId="1" applyFill="0">
      <alignment horizontal="left" vertical="center" indent="1"/>
    </xf>
    <xf numFmtId="0" fontId="2" fillId="11" borderId="0" applyBorder="0">
      <alignment horizontal="center" vertical="center"/>
    </xf>
    <xf numFmtId="49" fontId="2" fillId="11" borderId="0" applyBorder="0">
      <alignment horizontal="center" vertical="center"/>
    </xf>
    <xf numFmtId="0" fontId="2" fillId="0" borderId="0" applyFill="0" applyBorder="0">
      <alignment horizontal="right" vertical="center"/>
    </xf>
    <xf numFmtId="0" fontId="2" fillId="12" borderId="2">
      <alignment horizontal="left" vertical="center" indent="1"/>
    </xf>
    <xf numFmtId="0" fontId="2" fillId="12" borderId="1">
      <alignment horizontal="left" vertical="center" indent="1"/>
    </xf>
    <xf numFmtId="0" fontId="2" fillId="12" borderId="3">
      <alignment horizontal="left" vertical="center" indent="1"/>
    </xf>
    <xf numFmtId="0" fontId="2" fillId="13" borderId="0" applyBorder="0">
      <alignment horizontal="center" vertical="center"/>
    </xf>
    <xf numFmtId="0" fontId="2" fillId="0" borderId="4" applyFill="0">
      <alignment horizontal="center" vertical="center" wrapText="1"/>
    </xf>
    <xf numFmtId="0" fontId="2" fillId="0" borderId="5" applyFill="0">
      <alignment horizontal="center" vertical="center" wrapText="1"/>
    </xf>
    <xf numFmtId="0" fontId="2" fillId="0" borderId="6" applyFill="0">
      <alignment horizontal="center" vertical="center" wrapText="1"/>
    </xf>
    <xf numFmtId="0" fontId="2" fillId="0" borderId="7" applyFill="0">
      <alignment horizontal="center" vertical="center" wrapText="1"/>
    </xf>
    <xf numFmtId="0" fontId="2" fillId="14" borderId="6">
      <alignment horizontal="center" vertical="center" wrapText="1"/>
    </xf>
    <xf numFmtId="0" fontId="2" fillId="14" borderId="5">
      <alignment horizontal="center" vertical="center" wrapText="1"/>
    </xf>
    <xf numFmtId="0" fontId="2" fillId="14" borderId="7">
      <alignment horizontal="center" vertical="center" wrapText="1"/>
    </xf>
    <xf numFmtId="0" fontId="2" fillId="14" borderId="8">
      <alignment horizontal="center" vertical="center" wrapText="1"/>
    </xf>
    <xf numFmtId="0" fontId="2" fillId="14" borderId="4">
      <alignment horizontal="center" vertical="center" wrapText="1"/>
    </xf>
    <xf numFmtId="0" fontId="2" fillId="14" borderId="9">
      <alignment horizontal="center" vertical="center" wrapText="1"/>
    </xf>
    <xf numFmtId="0" fontId="2" fillId="0" borderId="10" applyFill="0">
      <alignment horizontal="center" vertical="center" wrapText="1"/>
    </xf>
    <xf numFmtId="0" fontId="2" fillId="0" borderId="11" applyFill="0">
      <alignment horizontal="center" vertical="center" wrapText="1"/>
    </xf>
    <xf numFmtId="0" fontId="2" fillId="0" borderId="12" applyFill="0">
      <alignment horizontal="center" vertical="center" wrapText="1"/>
    </xf>
    <xf numFmtId="0" fontId="2" fillId="14" borderId="11">
      <alignment horizontal="center" vertical="center" wrapText="1"/>
    </xf>
    <xf numFmtId="0" fontId="2" fillId="14" borderId="10">
      <alignment horizontal="center" vertical="center" wrapText="1"/>
    </xf>
    <xf numFmtId="0" fontId="2" fillId="14" borderId="12">
      <alignment horizontal="center" vertical="center" wrapText="1"/>
    </xf>
    <xf numFmtId="0" fontId="2" fillId="14" borderId="13">
      <alignment horizontal="center" vertical="center" wrapText="1"/>
    </xf>
    <xf numFmtId="0" fontId="2" fillId="0" borderId="14" applyFill="0">
      <alignment horizontal="center" vertical="center" wrapText="1"/>
    </xf>
    <xf numFmtId="49" fontId="2" fillId="0" borderId="4" applyFill="0">
      <alignment horizontal="center" vertical="center" wrapText="1"/>
    </xf>
    <xf numFmtId="0" fontId="2" fillId="0" borderId="15" applyFill="0">
      <alignment horizontal="center" vertical="center" wrapText="1"/>
    </xf>
    <xf numFmtId="49" fontId="2" fillId="0" borderId="16" applyFill="0">
      <alignment horizontal="center" vertical="center" wrapText="1"/>
    </xf>
    <xf numFmtId="0" fontId="2" fillId="12" borderId="15">
      <alignment horizontal="right" vertical="center" wrapText="1"/>
    </xf>
    <xf numFmtId="4" fontId="2" fillId="13" borderId="17">
      <alignment horizontal="center" vertical="center"/>
      <protection locked="0"/>
    </xf>
    <xf numFmtId="0" fontId="2" fillId="13" borderId="18">
      <alignment horizontal="right" vertical="center" wrapText="1"/>
      <protection locked="0"/>
    </xf>
    <xf numFmtId="0" fontId="2" fillId="0" borderId="9" applyFill="0">
      <alignment horizontal="center" vertical="center" wrapText="1"/>
    </xf>
    <xf numFmtId="49" fontId="2" fillId="0" borderId="6" applyFill="0">
      <alignment horizontal="center" vertical="center" wrapText="1"/>
    </xf>
    <xf numFmtId="0" fontId="2" fillId="12" borderId="9">
      <alignment horizontal="right" vertical="center" wrapText="1"/>
    </xf>
    <xf numFmtId="4" fontId="2" fillId="13" borderId="3">
      <alignment horizontal="center" vertical="center"/>
      <protection locked="0"/>
    </xf>
    <xf numFmtId="0" fontId="2" fillId="13" borderId="19">
      <alignment horizontal="right" vertical="center" wrapText="1"/>
      <protection locked="0"/>
    </xf>
    <xf numFmtId="0" fontId="2" fillId="0" borderId="20" applyFill="0">
      <alignment horizontal="center" vertical="center"/>
    </xf>
    <xf numFmtId="164" fontId="2" fillId="12" borderId="9">
      <alignment horizontal="right" vertical="center"/>
    </xf>
    <xf numFmtId="4" fontId="2" fillId="13" borderId="19">
      <alignment horizontal="center" vertical="center"/>
      <protection locked="0"/>
    </xf>
    <xf numFmtId="164" fontId="2" fillId="13" borderId="19">
      <alignment horizontal="right" vertical="center" wrapText="1"/>
      <protection locked="0"/>
    </xf>
    <xf numFmtId="0" fontId="2" fillId="0" borderId="4" applyFill="0">
      <alignment horizontal="center" vertical="center"/>
    </xf>
    <xf numFmtId="165" fontId="2" fillId="12" borderId="9">
      <alignment horizontal="right" vertical="center"/>
    </xf>
    <xf numFmtId="166" fontId="2" fillId="13" borderId="9">
      <alignment horizontal="right" vertical="center" wrapText="1"/>
      <protection locked="0"/>
    </xf>
    <xf numFmtId="0" fontId="6" fillId="0" borderId="4" applyFill="0">
      <alignment horizontal="center" vertical="center"/>
    </xf>
    <xf numFmtId="0" fontId="2" fillId="0" borderId="9" applyFill="0">
      <alignment horizontal="right" vertical="center" wrapText="1"/>
    </xf>
    <xf numFmtId="49" fontId="2" fillId="13" borderId="19">
      <alignment horizontal="center" vertical="center"/>
      <protection locked="0"/>
    </xf>
    <xf numFmtId="0" fontId="7" fillId="15" borderId="21">
      <alignment horizontal="left" vertical="center" wrapText="1"/>
    </xf>
    <xf numFmtId="0" fontId="7" fillId="15" borderId="22">
      <alignment horizontal="left" vertical="center" wrapText="1"/>
    </xf>
    <xf numFmtId="49" fontId="2" fillId="13" borderId="19">
      <alignment horizontal="left" vertical="center" wrapText="1"/>
      <protection locked="0"/>
    </xf>
    <xf numFmtId="0" fontId="2" fillId="16" borderId="19">
      <alignment horizontal="center" vertical="center"/>
    </xf>
    <xf numFmtId="0" fontId="2" fillId="16" borderId="1">
      <alignment horizontal="left" vertical="center" wrapText="1"/>
    </xf>
    <xf numFmtId="0" fontId="2" fillId="16" borderId="19">
      <alignment horizontal="center" vertical="center" wrapText="1"/>
    </xf>
    <xf numFmtId="167" fontId="2" fillId="12" borderId="9">
      <alignment horizontal="right" vertical="center"/>
    </xf>
    <xf numFmtId="49" fontId="2" fillId="13" borderId="23">
      <alignment horizontal="left" vertical="center" wrapText="1"/>
      <protection locked="0"/>
    </xf>
    <xf numFmtId="0" fontId="2" fillId="13" borderId="19">
      <alignment horizontal="left" vertical="center" wrapText="1"/>
      <protection locked="0"/>
    </xf>
    <xf numFmtId="0" fontId="3" fillId="17" borderId="0" applyBorder="0">
      <alignment horizontal="left" vertical="center"/>
    </xf>
    <xf numFmtId="0" fontId="3" fillId="17" borderId="0" applyBorder="0">
      <alignment horizontal="center" vertical="center"/>
    </xf>
    <xf numFmtId="0" fontId="3" fillId="18" borderId="2">
      <alignment horizontal="center" vertical="center" wrapText="1"/>
    </xf>
    <xf numFmtId="0" fontId="2" fillId="18" borderId="19">
      <alignment horizontal="left" vertical="center" wrapText="1" indent="1"/>
    </xf>
    <xf numFmtId="0" fontId="2" fillId="18" borderId="19">
      <alignment horizontal="center" vertical="center"/>
    </xf>
    <xf numFmtId="0" fontId="2" fillId="16" borderId="19">
      <alignment horizontal="left" vertical="center" wrapText="1"/>
    </xf>
    <xf numFmtId="0" fontId="2" fillId="16" borderId="2">
      <alignment horizontal="center" vertical="center"/>
    </xf>
    <xf numFmtId="4" fontId="2" fillId="12" borderId="9">
      <alignment horizontal="right" vertical="center"/>
    </xf>
    <xf numFmtId="0" fontId="6" fillId="0" borderId="0" applyFill="0" applyBorder="0"/>
    <xf numFmtId="0" fontId="2" fillId="18" borderId="2">
      <alignment horizontal="center" vertical="center"/>
    </xf>
    <xf numFmtId="4" fontId="2" fillId="13" borderId="9">
      <alignment horizontal="right" vertical="center" wrapText="1"/>
      <protection locked="0"/>
    </xf>
    <xf numFmtId="4" fontId="2" fillId="12" borderId="9">
      <alignment horizontal="right" vertical="center" wrapText="1"/>
    </xf>
    <xf numFmtId="2" fontId="2" fillId="0" borderId="0" applyFill="0" applyBorder="0">
      <alignment horizontal="left" vertical="top"/>
    </xf>
    <xf numFmtId="0" fontId="7" fillId="15" borderId="21">
      <alignment horizontal="left" vertical="center"/>
    </xf>
    <xf numFmtId="0" fontId="2" fillId="16" borderId="24">
      <alignment horizontal="center" vertical="center" wrapText="1"/>
    </xf>
    <xf numFmtId="0" fontId="2" fillId="16" borderId="21">
      <alignment horizontal="left" vertical="center" wrapText="1"/>
    </xf>
    <xf numFmtId="0" fontId="2" fillId="16" borderId="24">
      <alignment horizontal="left" vertical="center" wrapText="1"/>
    </xf>
    <xf numFmtId="0" fontId="2" fillId="13" borderId="19">
      <alignment horizontal="center" vertical="center" wrapText="1"/>
      <protection locked="0"/>
    </xf>
    <xf numFmtId="0" fontId="2" fillId="2" borderId="0" applyBorder="0">
      <alignment horizontal="left" vertical="top"/>
    </xf>
    <xf numFmtId="0" fontId="2" fillId="0" borderId="8" applyFill="0">
      <alignment horizontal="center" vertical="center" wrapText="1"/>
    </xf>
    <xf numFmtId="0" fontId="2" fillId="0" borderId="0" applyFill="0" applyBorder="0">
      <alignment horizontal="left" vertical="center" wrapText="1" indent="1"/>
    </xf>
    <xf numFmtId="0" fontId="2" fillId="17" borderId="25">
      <alignment horizontal="center" vertical="center"/>
    </xf>
    <xf numFmtId="4" fontId="2" fillId="12" borderId="4">
      <alignment horizontal="right" vertical="center" wrapText="1"/>
    </xf>
    <xf numFmtId="4" fontId="2" fillId="13" borderId="19">
      <alignment horizontal="right" vertical="center" wrapText="1"/>
      <protection locked="0"/>
    </xf>
    <xf numFmtId="4" fontId="8" fillId="13" borderId="19">
      <alignment horizontal="right" vertical="center" wrapText="1"/>
      <protection locked="0"/>
    </xf>
    <xf numFmtId="0" fontId="2" fillId="16" borderId="1">
      <alignment horizontal="center" vertical="center" wrapText="1"/>
    </xf>
    <xf numFmtId="0" fontId="2" fillId="16" borderId="0" applyBorder="0">
      <alignment horizontal="left" vertical="center" wrapText="1"/>
    </xf>
    <xf numFmtId="0" fontId="2" fillId="16" borderId="22">
      <alignment horizontal="left" vertical="center" wrapText="1"/>
    </xf>
    <xf numFmtId="0" fontId="2" fillId="0" borderId="2" applyFill="0">
      <alignment horizontal="center" vertical="center" wrapText="1"/>
    </xf>
    <xf numFmtId="0" fontId="2" fillId="0" borderId="2" applyFill="0">
      <alignment horizontal="left" vertical="center" wrapText="1" indent="1"/>
    </xf>
    <xf numFmtId="168" fontId="2" fillId="12" borderId="4">
      <alignment horizontal="right" vertical="center"/>
    </xf>
    <xf numFmtId="168" fontId="2" fillId="12" borderId="19">
      <alignment horizontal="right" vertical="center"/>
    </xf>
    <xf numFmtId="0" fontId="2" fillId="19" borderId="0" applyBorder="0">
      <alignment horizontal="left" vertical="top"/>
    </xf>
    <xf numFmtId="0" fontId="6" fillId="19" borderId="0" applyBorder="0">
      <alignment vertical="top"/>
    </xf>
    <xf numFmtId="0" fontId="2" fillId="19" borderId="0" applyBorder="0">
      <alignment horizontal="right" vertical="top"/>
    </xf>
    <xf numFmtId="168" fontId="2" fillId="12" borderId="26">
      <alignment horizontal="right" vertical="center"/>
    </xf>
    <xf numFmtId="0" fontId="2" fillId="0" borderId="2" applyFill="0">
      <alignment horizontal="left" vertical="center" wrapText="1" indent="2"/>
    </xf>
    <xf numFmtId="0" fontId="2" fillId="0" borderId="27" applyFill="0">
      <alignment horizontal="right" vertical="center"/>
    </xf>
    <xf numFmtId="10" fontId="2" fillId="13" borderId="4">
      <alignment horizontal="right" vertical="center"/>
      <protection locked="0"/>
    </xf>
    <xf numFmtId="10" fontId="2" fillId="12" borderId="19">
      <alignment horizontal="right" vertical="center"/>
    </xf>
    <xf numFmtId="10" fontId="2" fillId="13" borderId="19">
      <alignment horizontal="right" vertical="center"/>
      <protection locked="0"/>
    </xf>
    <xf numFmtId="164" fontId="2" fillId="12" borderId="4">
      <alignment horizontal="right" vertical="center"/>
    </xf>
    <xf numFmtId="164" fontId="2" fillId="12" borderId="19">
      <alignment horizontal="right" vertical="center"/>
    </xf>
    <xf numFmtId="167" fontId="2" fillId="13" borderId="19">
      <alignment horizontal="right" vertical="center"/>
      <protection locked="0"/>
    </xf>
    <xf numFmtId="167" fontId="2" fillId="13" borderId="4">
      <alignment horizontal="right" vertical="center"/>
      <protection locked="0"/>
    </xf>
    <xf numFmtId="167" fontId="2" fillId="12" borderId="23">
      <alignment horizontal="right" vertical="center"/>
    </xf>
    <xf numFmtId="167" fontId="2" fillId="12" borderId="19">
      <alignment horizontal="right" vertical="center"/>
    </xf>
    <xf numFmtId="0" fontId="2" fillId="0" borderId="2" applyFill="0">
      <alignment horizontal="left" vertical="center" wrapText="1" indent="3"/>
    </xf>
    <xf numFmtId="10" fontId="2" fillId="12" borderId="4">
      <alignment horizontal="right" vertical="center"/>
    </xf>
    <xf numFmtId="49" fontId="2" fillId="13" borderId="3">
      <alignment horizontal="left" vertical="center" wrapText="1"/>
      <protection locked="0"/>
    </xf>
    <xf numFmtId="4" fontId="2" fillId="13" borderId="4">
      <alignment horizontal="right" vertical="center"/>
      <protection locked="0"/>
    </xf>
    <xf numFmtId="4" fontId="2" fillId="13" borderId="19">
      <alignment horizontal="right" vertical="center"/>
      <protection locked="0"/>
    </xf>
    <xf numFmtId="10" fontId="2" fillId="20" borderId="4">
      <alignment horizontal="right" vertical="center"/>
      <protection locked="0"/>
    </xf>
    <xf numFmtId="167" fontId="2" fillId="12" borderId="4">
      <alignment horizontal="right" vertical="center"/>
    </xf>
    <xf numFmtId="167" fontId="2" fillId="12" borderId="28">
      <alignment horizontal="right" vertical="center"/>
    </xf>
    <xf numFmtId="167" fontId="2" fillId="12" borderId="3">
      <alignment horizontal="right" vertical="center"/>
    </xf>
    <xf numFmtId="0" fontId="2" fillId="0" borderId="29" applyFill="0">
      <alignment horizontal="right" vertical="center"/>
    </xf>
    <xf numFmtId="164" fontId="2" fillId="12" borderId="30">
      <alignment horizontal="right" vertical="center"/>
    </xf>
    <xf numFmtId="164" fontId="2" fillId="12" borderId="28">
      <alignment horizontal="right" vertical="center"/>
    </xf>
    <xf numFmtId="164" fontId="2" fillId="12" borderId="3">
      <alignment horizontal="right" vertical="center"/>
    </xf>
    <xf numFmtId="0" fontId="2" fillId="16" borderId="31">
      <alignment horizontal="center" vertical="center" wrapText="1"/>
    </xf>
    <xf numFmtId="167" fontId="8" fillId="12" borderId="4">
      <alignment horizontal="right" vertical="center"/>
    </xf>
    <xf numFmtId="167" fontId="8" fillId="12" borderId="17">
      <alignment horizontal="right" vertical="center"/>
    </xf>
    <xf numFmtId="167" fontId="8" fillId="12" borderId="18">
      <alignment horizontal="right" vertical="center"/>
    </xf>
    <xf numFmtId="167" fontId="8" fillId="12" borderId="19">
      <alignment horizontal="right" vertical="center"/>
    </xf>
    <xf numFmtId="167" fontId="8" fillId="12" borderId="2">
      <alignment horizontal="right" vertical="center"/>
    </xf>
    <xf numFmtId="0" fontId="2" fillId="17" borderId="0" applyBorder="0">
      <alignment horizontal="left" vertical="top"/>
    </xf>
    <xf numFmtId="0" fontId="9" fillId="0" borderId="19" applyFill="0">
      <alignment horizontal="left" vertical="center" wrapText="1" indent="2"/>
    </xf>
    <xf numFmtId="0" fontId="2" fillId="0" borderId="19" applyFill="0">
      <alignment horizontal="center" vertical="center" wrapText="1"/>
    </xf>
    <xf numFmtId="167" fontId="10" fillId="12" borderId="18">
      <alignment horizontal="right" vertical="center"/>
    </xf>
    <xf numFmtId="167" fontId="10" fillId="12" borderId="19">
      <alignment horizontal="right" vertical="center"/>
    </xf>
    <xf numFmtId="167" fontId="10" fillId="12" borderId="2">
      <alignment horizontal="right" vertical="center"/>
    </xf>
    <xf numFmtId="49" fontId="2" fillId="17" borderId="0" applyBorder="0">
      <alignment horizontal="left" vertical="top"/>
    </xf>
    <xf numFmtId="0" fontId="2" fillId="0" borderId="19" applyFill="0">
      <alignment horizontal="left" vertical="center" wrapText="1" indent="1"/>
    </xf>
    <xf numFmtId="167" fontId="2" fillId="12" borderId="2">
      <alignment horizontal="right" vertical="center"/>
    </xf>
    <xf numFmtId="0" fontId="2" fillId="0" borderId="19" applyFill="0">
      <alignment horizontal="left" vertical="center" wrapText="1" indent="2"/>
    </xf>
    <xf numFmtId="0" fontId="9" fillId="0" borderId="19" applyFill="0">
      <alignment horizontal="left" vertical="center" wrapText="1" indent="3"/>
    </xf>
    <xf numFmtId="4" fontId="2" fillId="12" borderId="19">
      <alignment horizontal="right" vertical="center"/>
    </xf>
    <xf numFmtId="0" fontId="2" fillId="0" borderId="19" applyFill="0">
      <alignment horizontal="left" vertical="center" wrapText="1" indent="3"/>
    </xf>
    <xf numFmtId="0" fontId="4" fillId="17" borderId="0" applyBorder="0">
      <alignment horizontal="left" vertical="top"/>
    </xf>
    <xf numFmtId="0" fontId="4" fillId="17" borderId="0" applyBorder="0">
      <alignment horizontal="center" vertical="center"/>
    </xf>
    <xf numFmtId="0" fontId="4" fillId="17" borderId="0" applyBorder="0">
      <alignment vertical="top"/>
    </xf>
    <xf numFmtId="0" fontId="2" fillId="0" borderId="19" applyFill="0">
      <alignment horizontal="left" vertical="center" wrapText="1" indent="4"/>
    </xf>
    <xf numFmtId="0" fontId="2" fillId="17" borderId="32">
      <alignment horizontal="left" vertical="top"/>
    </xf>
    <xf numFmtId="4" fontId="8" fillId="12" borderId="19">
      <alignment horizontal="right" vertical="center"/>
    </xf>
    <xf numFmtId="0" fontId="2" fillId="21" borderId="2">
      <alignment horizontal="center" vertical="center" wrapText="1"/>
    </xf>
    <xf numFmtId="0" fontId="2" fillId="21" borderId="19">
      <alignment horizontal="left" vertical="center" wrapText="1" indent="1"/>
    </xf>
    <xf numFmtId="0" fontId="2" fillId="21" borderId="19">
      <alignment horizontal="center" vertical="center"/>
    </xf>
    <xf numFmtId="0" fontId="2" fillId="18" borderId="2">
      <alignment horizontal="center" vertical="center" wrapText="1"/>
    </xf>
    <xf numFmtId="0" fontId="2" fillId="18" borderId="19">
      <alignment horizontal="left" vertical="center" wrapText="1" indent="2"/>
    </xf>
    <xf numFmtId="0" fontId="2" fillId="17" borderId="19">
      <alignment horizontal="left" vertical="center" wrapText="1" indent="3"/>
    </xf>
    <xf numFmtId="0" fontId="2" fillId="17" borderId="19">
      <alignment horizontal="center" vertical="center"/>
    </xf>
    <xf numFmtId="0" fontId="2" fillId="17" borderId="19">
      <alignment horizontal="left" vertical="center" wrapText="1" indent="4" shrinkToFit="1"/>
    </xf>
    <xf numFmtId="0" fontId="2" fillId="17" borderId="19">
      <alignment horizontal="left" vertical="center" wrapText="1" indent="5" shrinkToFit="1"/>
    </xf>
    <xf numFmtId="4" fontId="10" fillId="12" borderId="19">
      <alignment horizontal="right" vertical="center"/>
    </xf>
    <xf numFmtId="0" fontId="9" fillId="17" borderId="19">
      <alignment horizontal="right" vertical="center" wrapText="1" indent="4" shrinkToFit="1"/>
    </xf>
    <xf numFmtId="0" fontId="2" fillId="0" borderId="19" applyFill="0">
      <alignment horizontal="center" vertical="center"/>
    </xf>
    <xf numFmtId="0" fontId="2" fillId="17" borderId="19">
      <alignment horizontal="left" vertical="center" wrapText="1" indent="6" shrinkToFit="1"/>
    </xf>
    <xf numFmtId="0" fontId="2" fillId="2" borderId="0" applyBorder="0">
      <alignment horizontal="right" vertical="top"/>
    </xf>
    <xf numFmtId="0" fontId="2" fillId="0" borderId="19" applyFill="0">
      <alignment horizontal="left" vertical="center" wrapText="1" indent="5"/>
    </xf>
    <xf numFmtId="0" fontId="2" fillId="17" borderId="19">
      <alignment horizontal="left" vertical="center" wrapText="1" indent="3" shrinkToFit="1"/>
    </xf>
    <xf numFmtId="4" fontId="10" fillId="13" borderId="19">
      <alignment horizontal="right" vertical="center"/>
      <protection locked="0"/>
    </xf>
    <xf numFmtId="0" fontId="9" fillId="17" borderId="19">
      <alignment horizontal="left" vertical="center" wrapText="1" indent="3"/>
    </xf>
    <xf numFmtId="166" fontId="2" fillId="12" borderId="19">
      <alignment horizontal="right" vertical="center"/>
    </xf>
    <xf numFmtId="0" fontId="9" fillId="17" borderId="19">
      <alignment horizontal="left" vertical="center" wrapText="1" indent="4"/>
    </xf>
    <xf numFmtId="0" fontId="9" fillId="17" borderId="19">
      <alignment horizontal="right" vertical="center" wrapText="1" indent="1"/>
    </xf>
    <xf numFmtId="169" fontId="2" fillId="13" borderId="19">
      <alignment horizontal="right" vertical="center"/>
      <protection locked="0"/>
    </xf>
    <xf numFmtId="169" fontId="2" fillId="12" borderId="19">
      <alignment horizontal="right" vertical="center"/>
    </xf>
    <xf numFmtId="0" fontId="9" fillId="17" borderId="19">
      <alignment horizontal="left" vertical="center" wrapText="1" indent="5"/>
    </xf>
    <xf numFmtId="0" fontId="2" fillId="0" borderId="2" applyFill="0">
      <alignment horizontal="center" vertical="center"/>
    </xf>
    <xf numFmtId="0" fontId="9" fillId="17" borderId="19">
      <alignment horizontal="right" vertical="center" wrapText="1"/>
    </xf>
    <xf numFmtId="169" fontId="10" fillId="12" borderId="19">
      <alignment horizontal="right" vertical="center"/>
    </xf>
    <xf numFmtId="0" fontId="9" fillId="17" borderId="19">
      <alignment horizontal="left" vertical="center" indent="4"/>
    </xf>
    <xf numFmtId="0" fontId="2" fillId="17" borderId="19">
      <alignment horizontal="left" vertical="center" wrapText="1" indent="4"/>
    </xf>
    <xf numFmtId="0" fontId="2" fillId="12" borderId="0" applyBorder="0">
      <alignment horizontal="left" vertical="top"/>
    </xf>
    <xf numFmtId="0" fontId="2" fillId="12" borderId="0" applyBorder="0">
      <alignment horizontal="right" vertical="top"/>
    </xf>
    <xf numFmtId="0" fontId="2" fillId="17" borderId="19">
      <alignment horizontal="left" vertical="center" wrapText="1" indent="5"/>
    </xf>
    <xf numFmtId="0" fontId="2" fillId="21" borderId="19">
      <alignment horizontal="left" vertical="center" indent="1"/>
    </xf>
    <xf numFmtId="49" fontId="2" fillId="11" borderId="19">
      <alignment horizontal="left" vertical="center" wrapText="1" indent="2" shrinkToFit="1"/>
    </xf>
    <xf numFmtId="0" fontId="3" fillId="0" borderId="0" applyFill="0" applyBorder="0">
      <alignment horizontal="right" vertical="top"/>
    </xf>
    <xf numFmtId="49" fontId="2" fillId="11" borderId="19">
      <alignment horizontal="left" vertical="center" wrapText="1" indent="3" shrinkToFit="1"/>
    </xf>
    <xf numFmtId="0" fontId="2" fillId="11" borderId="19">
      <alignment horizontal="left" vertical="center" wrapText="1" indent="3"/>
    </xf>
    <xf numFmtId="0" fontId="2" fillId="17" borderId="19">
      <alignment horizontal="left" vertical="center" wrapText="1" indent="2"/>
    </xf>
    <xf numFmtId="0" fontId="2" fillId="14" borderId="0" applyBorder="0">
      <alignment horizontal="left" vertical="top"/>
    </xf>
    <xf numFmtId="0" fontId="2" fillId="14" borderId="0" applyBorder="0">
      <alignment horizontal="right" vertical="top"/>
    </xf>
    <xf numFmtId="0" fontId="2" fillId="11" borderId="19">
      <alignment horizontal="center" vertical="center"/>
    </xf>
    <xf numFmtId="0" fontId="2" fillId="11" borderId="19">
      <alignment horizontal="left" vertical="center" wrapText="1" indent="1"/>
    </xf>
    <xf numFmtId="4" fontId="2" fillId="12" borderId="19">
      <alignment vertical="center"/>
    </xf>
    <xf numFmtId="4" fontId="2" fillId="13" borderId="19">
      <alignment vertical="top"/>
    </xf>
    <xf numFmtId="49" fontId="2" fillId="13" borderId="19">
      <alignment vertical="top"/>
    </xf>
    <xf numFmtId="0" fontId="2" fillId="13" borderId="19">
      <alignment vertical="top"/>
    </xf>
    <xf numFmtId="0" fontId="6" fillId="17" borderId="9">
      <alignment horizontal="left" vertical="center" wrapText="1" indent="1"/>
    </xf>
    <xf numFmtId="0" fontId="4" fillId="17" borderId="9">
      <alignment horizontal="left" vertical="center" wrapText="1" indent="1"/>
    </xf>
    <xf numFmtId="49" fontId="2" fillId="13" borderId="9">
      <alignment horizontal="left" vertical="center" wrapText="1"/>
      <protection locked="0"/>
    </xf>
    <xf numFmtId="0" fontId="4" fillId="22" borderId="0" applyBorder="0">
      <alignment vertical="top"/>
    </xf>
    <xf numFmtId="0" fontId="2" fillId="18" borderId="19">
      <alignment horizontal="center" vertical="center" wrapText="1"/>
    </xf>
    <xf numFmtId="167" fontId="10" fillId="13" borderId="19">
      <alignment horizontal="right" vertical="center"/>
      <protection locked="0"/>
    </xf>
    <xf numFmtId="4" fontId="2" fillId="13" borderId="19">
      <alignment horizontal="right" vertical="center"/>
    </xf>
    <xf numFmtId="4" fontId="2" fillId="12" borderId="19">
      <alignment horizontal="right" vertical="center" wrapText="1"/>
    </xf>
    <xf numFmtId="4" fontId="2" fillId="12" borderId="23">
      <alignment horizontal="right" vertical="center" wrapText="1"/>
    </xf>
    <xf numFmtId="4" fontId="2" fillId="12" borderId="8">
      <alignment horizontal="right" vertical="center"/>
    </xf>
    <xf numFmtId="4" fontId="2" fillId="12" borderId="4">
      <alignment horizontal="right" vertical="center"/>
    </xf>
    <xf numFmtId="4" fontId="2" fillId="12" borderId="0" applyBorder="0">
      <alignment horizontal="right" vertical="center" wrapText="1"/>
    </xf>
    <xf numFmtId="49" fontId="2" fillId="20" borderId="19">
      <alignment horizontal="left" vertical="center" wrapText="1" indent="1"/>
      <protection locked="0"/>
    </xf>
    <xf numFmtId="0" fontId="3" fillId="18" borderId="19">
      <alignment horizontal="left" vertical="center" wrapText="1" indent="2"/>
    </xf>
    <xf numFmtId="0" fontId="3" fillId="18" borderId="2">
      <alignment horizontal="center" vertical="center"/>
    </xf>
    <xf numFmtId="49" fontId="11" fillId="23" borderId="2">
      <alignment horizontal="center" vertical="center"/>
    </xf>
    <xf numFmtId="0" fontId="11" fillId="23" borderId="33">
      <alignment horizontal="left" vertical="center" indent="1"/>
    </xf>
    <xf numFmtId="49" fontId="11" fillId="23" borderId="1">
      <alignment horizontal="left" vertical="center" indent="1"/>
    </xf>
    <xf numFmtId="4" fontId="6" fillId="0" borderId="0" applyFill="0" applyBorder="0">
      <alignment vertical="top"/>
    </xf>
    <xf numFmtId="0" fontId="12" fillId="19" borderId="34">
      <alignment horizontal="center" vertical="center" wrapText="1"/>
    </xf>
    <xf numFmtId="0" fontId="12" fillId="19" borderId="35">
      <alignment horizontal="center" vertical="center" wrapText="1"/>
    </xf>
    <xf numFmtId="0" fontId="2" fillId="19" borderId="35">
      <alignment horizontal="center" vertical="center"/>
    </xf>
    <xf numFmtId="0" fontId="2" fillId="19" borderId="34">
      <alignment horizontal="center" vertical="center"/>
    </xf>
    <xf numFmtId="0" fontId="2" fillId="19" borderId="34">
      <alignment horizontal="center" vertical="center" wrapText="1"/>
    </xf>
    <xf numFmtId="0" fontId="12" fillId="0" borderId="0" applyFill="0" applyBorder="0"/>
    <xf numFmtId="0" fontId="12" fillId="19" borderId="0" applyBorder="0">
      <protection locked="0"/>
    </xf>
    <xf numFmtId="0" fontId="13" fillId="0" borderId="0" applyFill="0" applyBorder="0"/>
    <xf numFmtId="0" fontId="2" fillId="24" borderId="0" applyBorder="0">
      <alignment horizontal="center"/>
    </xf>
    <xf numFmtId="0" fontId="12" fillId="25" borderId="0" applyBorder="0">
      <alignment horizontal="center" vertical="center" wrapText="1"/>
      <protection locked="0"/>
    </xf>
    <xf numFmtId="0" fontId="7" fillId="26" borderId="0" applyBorder="0">
      <alignment horizontal="center" vertical="center" wrapText="1"/>
    </xf>
    <xf numFmtId="0" fontId="14" fillId="11" borderId="27">
      <alignment horizontal="center" vertical="center"/>
    </xf>
    <xf numFmtId="0" fontId="14" fillId="11" borderId="0" applyBorder="0">
      <alignment vertical="center"/>
    </xf>
    <xf numFmtId="0" fontId="12" fillId="27" borderId="36">
      <alignment horizontal="center" vertical="center"/>
    </xf>
    <xf numFmtId="0" fontId="12" fillId="27" borderId="37">
      <alignment horizontal="center" vertical="center"/>
    </xf>
    <xf numFmtId="0" fontId="12" fillId="0" borderId="38" applyFill="0">
      <alignment horizontal="center"/>
    </xf>
    <xf numFmtId="0" fontId="7" fillId="0" borderId="39" applyFill="0">
      <alignment horizontal="center" vertical="center" wrapText="1"/>
    </xf>
    <xf numFmtId="0" fontId="7" fillId="26" borderId="40">
      <alignment horizontal="center" vertical="center" wrapText="1"/>
    </xf>
    <xf numFmtId="0" fontId="14" fillId="11" borderId="29">
      <alignment horizontal="center" vertical="center"/>
    </xf>
    <xf numFmtId="0" fontId="12" fillId="27" borderId="41">
      <alignment horizontal="center" vertical="center"/>
    </xf>
    <xf numFmtId="0" fontId="12" fillId="27" borderId="42">
      <alignment horizontal="center" vertical="center"/>
    </xf>
    <xf numFmtId="0" fontId="12" fillId="0" borderId="0" applyFill="0" applyBorder="0">
      <alignment horizontal="center"/>
    </xf>
    <xf numFmtId="0" fontId="12" fillId="0" borderId="38" applyFill="0">
      <alignment horizontal="center" vertical="center"/>
    </xf>
    <xf numFmtId="0" fontId="12" fillId="0" borderId="43" applyFill="0">
      <alignment horizontal="center" vertical="center"/>
    </xf>
    <xf numFmtId="0" fontId="12" fillId="0" borderId="41" applyFill="0">
      <alignment horizontal="center" vertical="center"/>
    </xf>
    <xf numFmtId="0" fontId="12" fillId="0" borderId="42" applyFill="0">
      <alignment horizontal="center" vertical="center"/>
    </xf>
    <xf numFmtId="49" fontId="2" fillId="0" borderId="19" applyFill="0">
      <alignment horizontal="center" vertical="center" wrapText="1"/>
    </xf>
    <xf numFmtId="49" fontId="2" fillId="0" borderId="2" applyFill="0">
      <alignment horizontal="center" vertical="center" wrapText="1"/>
    </xf>
    <xf numFmtId="0" fontId="12" fillId="0" borderId="4" applyFill="0">
      <alignment horizontal="center" vertical="center"/>
    </xf>
    <xf numFmtId="0" fontId="12" fillId="28" borderId="4">
      <alignment vertical="center"/>
    </xf>
    <xf numFmtId="0" fontId="12" fillId="28" borderId="4">
      <alignment horizontal="center" vertical="center" wrapText="1"/>
    </xf>
    <xf numFmtId="0" fontId="7" fillId="26" borderId="44">
      <alignment horizontal="center" vertical="center"/>
    </xf>
    <xf numFmtId="0" fontId="12" fillId="0" borderId="45" applyFill="0"/>
    <xf numFmtId="0" fontId="12" fillId="29" borderId="27"/>
    <xf numFmtId="0" fontId="2" fillId="30" borderId="19">
      <alignment horizontal="center" vertical="center" wrapText="1"/>
    </xf>
    <xf numFmtId="49" fontId="2" fillId="0" borderId="19" applyFill="0">
      <alignment horizontal="center" vertical="center"/>
    </xf>
    <xf numFmtId="49" fontId="15" fillId="0" borderId="0" applyFill="0" applyBorder="0">
      <alignment horizontal="center" vertical="center"/>
    </xf>
    <xf numFmtId="49" fontId="2" fillId="0" borderId="23" applyFill="0">
      <alignment horizontal="center" vertical="center"/>
    </xf>
    <xf numFmtId="0" fontId="2" fillId="20" borderId="23">
      <alignment horizontal="left" vertical="center" indent="1"/>
      <protection locked="0"/>
    </xf>
    <xf numFmtId="0" fontId="2" fillId="20" borderId="7">
      <alignment horizontal="left" vertical="center" wrapText="1" indent="1"/>
      <protection locked="0"/>
    </xf>
    <xf numFmtId="0" fontId="2" fillId="0" borderId="0" applyFill="0" applyBorder="0"/>
    <xf numFmtId="0" fontId="16" fillId="23" borderId="46">
      <alignment horizontal="left" vertical="center" indent="1"/>
    </xf>
    <xf numFmtId="0" fontId="2" fillId="0" borderId="3" applyFill="0">
      <alignment horizontal="center" vertical="center"/>
    </xf>
    <xf numFmtId="49" fontId="2" fillId="20" borderId="7">
      <alignment horizontal="left" vertical="center" wrapText="1" indent="2"/>
      <protection locked="0"/>
    </xf>
    <xf numFmtId="49" fontId="2" fillId="20" borderId="7">
      <alignment horizontal="left" vertical="center" wrapText="1" indent="3"/>
      <protection locked="0"/>
    </xf>
    <xf numFmtId="49" fontId="2" fillId="20" borderId="47">
      <alignment horizontal="left" vertical="center" wrapText="1" indent="3"/>
      <protection locked="0"/>
    </xf>
    <xf numFmtId="49" fontId="2" fillId="20" borderId="48">
      <alignment horizontal="left" vertical="center" wrapText="1" indent="2"/>
      <protection locked="0"/>
    </xf>
    <xf numFmtId="49" fontId="2" fillId="20" borderId="47">
      <alignment horizontal="left" vertical="center" wrapText="1" indent="2"/>
      <protection locked="0"/>
    </xf>
    <xf numFmtId="0" fontId="16" fillId="23" borderId="3">
      <alignment horizontal="left" vertical="center" indent="1"/>
    </xf>
    <xf numFmtId="0" fontId="2" fillId="30" borderId="49">
      <alignment horizontal="center" vertical="center"/>
    </xf>
    <xf numFmtId="0" fontId="2" fillId="2" borderId="0" applyBorder="0">
      <alignment horizontal="center" vertical="center"/>
    </xf>
    <xf numFmtId="0" fontId="6" fillId="0" borderId="0" applyFill="0" applyBorder="0">
      <alignment horizontal="center" vertical="center" wrapText="1"/>
    </xf>
    <xf numFmtId="0" fontId="2" fillId="0" borderId="18" applyFill="0">
      <alignment horizontal="center" vertical="center"/>
    </xf>
    <xf numFmtId="0" fontId="2" fillId="13" borderId="0" applyBorder="0">
      <alignment horizontal="center" vertical="center"/>
      <protection locked="0"/>
    </xf>
    <xf numFmtId="0" fontId="2" fillId="11" borderId="3">
      <alignment horizontal="center" vertical="center" wrapText="1"/>
    </xf>
    <xf numFmtId="49" fontId="6" fillId="14" borderId="25">
      <alignment horizontal="center" vertical="center" wrapText="1"/>
    </xf>
    <xf numFmtId="0" fontId="6" fillId="14" borderId="1">
      <alignment horizontal="left" vertical="center" wrapText="1"/>
    </xf>
    <xf numFmtId="0" fontId="6" fillId="14" borderId="3">
      <alignment horizontal="left" vertical="center" wrapText="1"/>
    </xf>
    <xf numFmtId="0" fontId="2" fillId="11" borderId="19">
      <alignment horizontal="center" vertical="center"/>
    </xf>
    <xf numFmtId="0" fontId="2" fillId="0" borderId="0" applyFill="0" applyBorder="0">
      <alignment horizontal="center" vertical="center"/>
    </xf>
    <xf numFmtId="0" fontId="6" fillId="14" borderId="50">
      <alignment horizontal="left" vertical="center" wrapText="1"/>
    </xf>
    <xf numFmtId="0" fontId="6" fillId="11" borderId="9" quotePrefix="1">
      <alignment horizontal="left" vertical="center"/>
    </xf>
    <xf numFmtId="0" fontId="2" fillId="11" borderId="3">
      <alignment horizontal="center" vertical="center" wrapText="1"/>
    </xf>
    <xf numFmtId="0" fontId="4" fillId="0" borderId="19" applyFill="0">
      <alignment vertical="center"/>
      <protection locked="0"/>
    </xf>
    <xf numFmtId="0" fontId="2" fillId="0" borderId="50" applyFill="0">
      <alignment horizontal="left" vertical="center" wrapText="1" indent="1"/>
    </xf>
    <xf numFmtId="49" fontId="2" fillId="12" borderId="9">
      <alignment horizontal="center" vertical="center" wrapText="1"/>
      <protection locked="0"/>
    </xf>
    <xf numFmtId="0" fontId="6" fillId="0" borderId="26" applyFill="0">
      <alignment horizontal="center" vertical="center"/>
    </xf>
    <xf numFmtId="0" fontId="6" fillId="0" borderId="26" applyFill="0">
      <alignment horizontal="center" vertical="center" wrapText="1"/>
    </xf>
    <xf numFmtId="0" fontId="2" fillId="11" borderId="19">
      <alignment horizontal="center" vertical="center" wrapText="1"/>
    </xf>
    <xf numFmtId="0" fontId="2" fillId="11" borderId="19">
      <alignment horizontal="center" vertical="center" wrapText="1"/>
    </xf>
    <xf numFmtId="0" fontId="2" fillId="0" borderId="19" applyFill="0">
      <alignment horizontal="center" vertical="center" wrapText="1"/>
      <protection locked="0"/>
    </xf>
    <xf numFmtId="0" fontId="2" fillId="11" borderId="0" applyBorder="0">
      <alignment horizontal="left" vertical="center"/>
    </xf>
    <xf numFmtId="0" fontId="2" fillId="0" borderId="3" applyFill="0">
      <alignment horizontal="left" vertical="center" wrapText="1" indent="1"/>
    </xf>
    <xf numFmtId="0" fontId="2" fillId="0" borderId="19" applyFill="0">
      <alignment horizontal="left" vertical="center"/>
    </xf>
    <xf numFmtId="0" fontId="6" fillId="0" borderId="19" applyFill="0">
      <alignment horizontal="center" vertical="center"/>
      <protection locked="0"/>
    </xf>
    <xf numFmtId="0" fontId="3" fillId="0" borderId="0" applyFill="0" applyBorder="0">
      <alignment horizontal="left" vertical="center"/>
    </xf>
    <xf numFmtId="0" fontId="17" fillId="0" borderId="0" applyFill="0" applyBorder="0">
      <alignment horizontal="left" vertical="center"/>
    </xf>
    <xf numFmtId="0" fontId="2" fillId="19" borderId="2">
      <alignment horizontal="left" vertical="center" wrapText="1" indent="1"/>
    </xf>
    <xf numFmtId="0" fontId="2" fillId="19" borderId="50">
      <alignment horizontal="left" vertical="center" wrapText="1" indent="1"/>
    </xf>
    <xf numFmtId="0" fontId="2" fillId="0" borderId="2" applyFill="0">
      <alignment horizontal="left" vertical="center" indent="1"/>
    </xf>
    <xf numFmtId="0" fontId="2" fillId="0" borderId="50" applyFill="0">
      <alignment horizontal="left" vertical="center" indent="1"/>
    </xf>
    <xf numFmtId="0" fontId="2" fillId="0" borderId="19" applyFill="0">
      <alignment horizontal="center" vertical="center"/>
      <protection locked="0"/>
    </xf>
    <xf numFmtId="49" fontId="2" fillId="12" borderId="7">
      <alignment horizontal="center" vertical="center" wrapText="1"/>
      <protection locked="0"/>
    </xf>
    <xf numFmtId="49" fontId="2" fillId="12" borderId="8">
      <alignment horizontal="center" vertical="center" wrapText="1"/>
      <protection locked="0"/>
    </xf>
    <xf numFmtId="0" fontId="2" fillId="0" borderId="1" applyFill="0">
      <alignment horizontal="left" vertical="center" wrapText="1" indent="1"/>
    </xf>
    <xf numFmtId="0" fontId="3" fillId="0" borderId="0" applyFill="0" applyBorder="0">
      <alignment horizontal="center" vertical="center"/>
    </xf>
    <xf numFmtId="0" fontId="2" fillId="0" borderId="25" applyFill="0">
      <alignment horizontal="left" vertical="center" wrapText="1" indent="1"/>
    </xf>
    <xf numFmtId="0" fontId="2" fillId="0" borderId="51" applyFill="0">
      <alignment horizontal="left" vertical="center" wrapText="1" indent="1"/>
    </xf>
    <xf numFmtId="49" fontId="2" fillId="0" borderId="2" applyFill="0">
      <alignment horizontal="center" vertical="center"/>
    </xf>
    <xf numFmtId="0" fontId="2" fillId="10" borderId="9">
      <alignment horizontal="left" vertical="center" wrapText="1" indent="1"/>
    </xf>
    <xf numFmtId="0" fontId="2" fillId="0" borderId="31" applyFill="0">
      <alignment horizontal="left" vertical="center" wrapText="1" indent="1"/>
    </xf>
    <xf numFmtId="0" fontId="2" fillId="0" borderId="52" applyFill="0">
      <alignment horizontal="left" vertical="center" wrapText="1" indent="1"/>
    </xf>
    <xf numFmtId="49" fontId="2" fillId="22" borderId="2">
      <alignment horizontal="center" vertical="center"/>
    </xf>
    <xf numFmtId="0" fontId="2" fillId="22" borderId="9">
      <alignment horizontal="left" vertical="center" wrapText="1" indent="1"/>
    </xf>
    <xf numFmtId="49" fontId="3" fillId="12" borderId="9">
      <alignment horizontal="center" vertical="center" wrapText="1"/>
      <protection locked="0"/>
    </xf>
    <xf numFmtId="0" fontId="18" fillId="0" borderId="0" applyFill="0" applyBorder="0">
      <alignment vertical="top"/>
    </xf>
    <xf numFmtId="49" fontId="2" fillId="13" borderId="9">
      <alignment horizontal="center" vertical="center" wrapText="1"/>
      <protection locked="0"/>
    </xf>
    <xf numFmtId="49" fontId="2" fillId="10" borderId="19">
      <alignment horizontal="center" vertical="center"/>
    </xf>
    <xf numFmtId="0" fontId="2" fillId="10" borderId="2">
      <alignment horizontal="left" vertical="center" wrapText="1" indent="1"/>
    </xf>
    <xf numFmtId="0" fontId="2" fillId="10" borderId="50">
      <alignment horizontal="left" vertical="center" wrapText="1" indent="1"/>
    </xf>
    <xf numFmtId="0" fontId="2" fillId="0" borderId="0" applyFill="0" applyBorder="0">
      <alignment horizontal="left" vertical="center"/>
    </xf>
    <xf numFmtId="4" fontId="2" fillId="12" borderId="9">
      <alignment horizontal="center" vertical="center" wrapText="1"/>
      <protection locked="0"/>
    </xf>
    <xf numFmtId="49" fontId="2" fillId="0" borderId="25" applyFill="0">
      <alignment horizontal="center" vertical="center"/>
    </xf>
    <xf numFmtId="0" fontId="2" fillId="0" borderId="53" applyFill="0">
      <alignment horizontal="left" vertical="center" wrapText="1" indent="1"/>
    </xf>
    <xf numFmtId="0" fontId="2" fillId="0" borderId="54" applyFill="0">
      <alignment horizontal="left" vertical="center" wrapText="1" indent="1"/>
    </xf>
    <xf numFmtId="49" fontId="2" fillId="0" borderId="9" applyFill="0">
      <alignment horizontal="center" vertical="center"/>
    </xf>
    <xf numFmtId="0" fontId="2" fillId="0" borderId="6" applyFill="0">
      <alignment horizontal="left" vertical="center" wrapText="1" indent="1"/>
    </xf>
    <xf numFmtId="0" fontId="2" fillId="0" borderId="7" applyFill="0">
      <alignment horizontal="left" vertical="center" wrapText="1" indent="1"/>
    </xf>
    <xf numFmtId="49" fontId="2" fillId="12" borderId="47">
      <alignment horizontal="center" vertical="center" wrapText="1"/>
      <protection locked="0"/>
    </xf>
    <xf numFmtId="49" fontId="2" fillId="0" borderId="8" applyFill="0">
      <alignment horizontal="center" vertical="center"/>
    </xf>
    <xf numFmtId="0" fontId="2" fillId="0" borderId="20" applyFill="0">
      <alignment horizontal="left" vertical="center" wrapText="1" indent="1"/>
    </xf>
    <xf numFmtId="0" fontId="2" fillId="0" borderId="47" applyFill="0">
      <alignment horizontal="left" vertical="center" wrapText="1" indent="1"/>
    </xf>
    <xf numFmtId="49" fontId="2" fillId="0" borderId="1" applyFill="0">
      <alignment horizontal="center" vertical="center"/>
    </xf>
    <xf numFmtId="0" fontId="2" fillId="0" borderId="1" applyFill="0">
      <alignment horizontal="left" vertical="center" indent="1"/>
      <protection locked="0"/>
    </xf>
    <xf numFmtId="0" fontId="2" fillId="22" borderId="2">
      <alignment horizontal="left" vertical="center" wrapText="1" indent="1"/>
    </xf>
    <xf numFmtId="0" fontId="2" fillId="22" borderId="50">
      <alignment horizontal="left" vertical="center" wrapText="1" indent="1"/>
    </xf>
    <xf numFmtId="0" fontId="2" fillId="0" borderId="1" applyFill="0">
      <protection locked="0"/>
    </xf>
    <xf numFmtId="0" fontId="2" fillId="0" borderId="19" applyFill="0"/>
    <xf numFmtId="0" fontId="2" fillId="0" borderId="18" applyFill="0">
      <protection locked="0"/>
    </xf>
    <xf numFmtId="49" fontId="6" fillId="14" borderId="25">
      <alignment horizontal="center" vertical="center"/>
    </xf>
    <xf numFmtId="0" fontId="6" fillId="14" borderId="55">
      <alignment horizontal="left" vertical="center" wrapText="1"/>
    </xf>
    <xf numFmtId="0" fontId="6" fillId="14" borderId="56">
      <alignment horizontal="left" vertical="center" wrapText="1"/>
    </xf>
    <xf numFmtId="0" fontId="2" fillId="0" borderId="8" applyFill="0">
      <alignment horizontal="left" vertical="center" wrapText="1" indent="1"/>
    </xf>
    <xf numFmtId="49" fontId="6" fillId="14" borderId="9">
      <alignment horizontal="center" vertical="center"/>
    </xf>
    <xf numFmtId="0" fontId="6" fillId="14" borderId="9">
      <alignment horizontal="left" vertical="center" wrapText="1"/>
    </xf>
    <xf numFmtId="0" fontId="4" fillId="0" borderId="3" applyFill="0">
      <alignment vertical="center"/>
      <protection locked="0"/>
    </xf>
    <xf numFmtId="49" fontId="6" fillId="14" borderId="15">
      <alignment horizontal="center" vertical="center" wrapText="1"/>
    </xf>
    <xf numFmtId="0" fontId="6" fillId="14" borderId="15">
      <alignment horizontal="left" vertical="center" wrapText="1"/>
    </xf>
    <xf numFmtId="49" fontId="11" fillId="23" borderId="31">
      <alignment horizontal="center" vertical="center"/>
    </xf>
    <xf numFmtId="0" fontId="16" fillId="23" borderId="22">
      <alignment horizontal="left" vertical="center" indent="1"/>
    </xf>
    <xf numFmtId="49" fontId="11" fillId="23" borderId="22">
      <alignment horizontal="center" vertical="center"/>
    </xf>
    <xf numFmtId="49" fontId="11" fillId="23" borderId="3">
      <alignment horizontal="center" vertical="center"/>
      <protection locked="0"/>
    </xf>
    <xf numFmtId="0" fontId="2" fillId="0" borderId="57" applyFill="0">
      <alignment horizontal="center" vertical="center"/>
    </xf>
    <xf numFmtId="49" fontId="6" fillId="14" borderId="49">
      <alignment horizontal="center" vertical="center" wrapText="1"/>
    </xf>
    <xf numFmtId="0" fontId="6" fillId="14" borderId="49">
      <alignment horizontal="left" vertical="center" wrapText="1"/>
    </xf>
    <xf numFmtId="0" fontId="4" fillId="0" borderId="49" applyFill="0">
      <alignment vertical="center"/>
      <protection locked="0"/>
    </xf>
    <xf numFmtId="0" fontId="2" fillId="0" borderId="49" applyFill="0">
      <alignment horizontal="left" vertical="center" indent="1"/>
    </xf>
    <xf numFmtId="49" fontId="2" fillId="12" borderId="49">
      <alignment horizontal="center" vertical="center" wrapText="1"/>
      <protection locked="0"/>
    </xf>
    <xf numFmtId="0" fontId="2" fillId="31" borderId="49">
      <protection locked="0"/>
    </xf>
    <xf numFmtId="0" fontId="2" fillId="19" borderId="49">
      <protection locked="0"/>
    </xf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19" fillId="0" borderId="0" applyFill="0" applyBorder="0">
      <alignment vertical="center"/>
    </xf>
    <xf numFmtId="0" fontId="21" fillId="0" borderId="0" applyFill="0" applyBorder="0">
      <alignment vertical="center"/>
    </xf>
    <xf numFmtId="0" fontId="22" fillId="32" borderId="8">
      <alignment horizontal="center" vertical="center" wrapText="1"/>
    </xf>
    <xf numFmtId="0" fontId="23" fillId="32" borderId="9">
      <alignment horizontal="left" vertical="center" wrapText="1" indent="2"/>
    </xf>
    <xf numFmtId="0" fontId="23" fillId="32" borderId="9">
      <alignment vertical="center" wrapText="1"/>
    </xf>
    <xf numFmtId="0" fontId="24" fillId="33" borderId="8">
      <alignment horizontal="center" vertical="center" wrapText="1"/>
    </xf>
    <xf numFmtId="0" fontId="2" fillId="33" borderId="9">
      <alignment horizontal="left" vertical="center" wrapText="1" indent="2"/>
    </xf>
    <xf numFmtId="0" fontId="2" fillId="33" borderId="9">
      <alignment vertical="center" wrapText="1"/>
    </xf>
    <xf numFmtId="49" fontId="2" fillId="33" borderId="9">
      <alignment vertical="center" wrapText="1"/>
    </xf>
    <xf numFmtId="0" fontId="24" fillId="8" borderId="9">
      <alignment horizontal="center" vertical="center" wrapText="1"/>
    </xf>
    <xf numFmtId="0" fontId="4" fillId="8" borderId="9">
      <alignment horizontal="left" vertical="center" wrapText="1" indent="2"/>
    </xf>
    <xf numFmtId="0" fontId="4" fillId="8" borderId="9">
      <alignment vertical="center" wrapText="1"/>
    </xf>
    <xf numFmtId="0" fontId="24" fillId="9" borderId="8">
      <alignment horizontal="center" vertical="center" wrapText="1"/>
    </xf>
    <xf numFmtId="0" fontId="4" fillId="9" borderId="8">
      <alignment horizontal="left" vertical="center" wrapText="1" indent="2"/>
    </xf>
    <xf numFmtId="0" fontId="4" fillId="9" borderId="8">
      <alignment vertical="center" wrapText="1"/>
    </xf>
    <xf numFmtId="0" fontId="24" fillId="5" borderId="19">
      <alignment horizontal="center" vertical="center" wrapText="1"/>
    </xf>
    <xf numFmtId="0" fontId="4" fillId="5" borderId="9">
      <alignment horizontal="left" vertical="center" wrapText="1" indent="2"/>
    </xf>
    <xf numFmtId="0" fontId="4" fillId="5" borderId="9">
      <alignment vertical="center" wrapText="1"/>
    </xf>
    <xf numFmtId="0" fontId="25" fillId="5" borderId="23">
      <alignment horizontal="center" vertical="center" wrapText="1"/>
    </xf>
    <xf numFmtId="0" fontId="4" fillId="5" borderId="8">
      <alignment horizontal="left" vertical="center" wrapText="1" indent="2"/>
    </xf>
    <xf numFmtId="0" fontId="4" fillId="5" borderId="8">
      <alignment vertical="center" wrapText="1"/>
    </xf>
    <xf numFmtId="0" fontId="24" fillId="5" borderId="23">
      <alignment horizontal="center" vertical="center" wrapText="1"/>
    </xf>
    <xf numFmtId="0" fontId="25" fillId="5" borderId="9">
      <alignment horizontal="center" vertical="center" wrapText="1"/>
    </xf>
    <xf numFmtId="0" fontId="24" fillId="27" borderId="18">
      <alignment horizontal="center" vertical="center" wrapText="1"/>
    </xf>
    <xf numFmtId="0" fontId="4" fillId="27" borderId="18">
      <alignment horizontal="left" vertical="center" wrapText="1" indent="2"/>
    </xf>
    <xf numFmtId="0" fontId="4" fillId="27" borderId="18">
      <alignment vertical="center" wrapText="1"/>
    </xf>
    <xf numFmtId="0" fontId="24" fillId="27" borderId="19">
      <alignment horizontal="center" vertical="center" wrapText="1"/>
    </xf>
    <xf numFmtId="0" fontId="4" fillId="27" borderId="19">
      <alignment horizontal="left" vertical="center" wrapText="1" indent="2"/>
    </xf>
    <xf numFmtId="0" fontId="4" fillId="27" borderId="19">
      <alignment vertical="center" wrapText="1"/>
    </xf>
    <xf numFmtId="0" fontId="24" fillId="34" borderId="19">
      <alignment horizontal="center" vertical="center" wrapText="1"/>
    </xf>
    <xf numFmtId="0" fontId="4" fillId="34" borderId="19">
      <alignment horizontal="left" vertical="center" wrapText="1" indent="2"/>
    </xf>
    <xf numFmtId="0" fontId="4" fillId="34" borderId="19">
      <alignment vertical="center" wrapText="1"/>
    </xf>
    <xf numFmtId="49" fontId="26" fillId="0" borderId="0" applyFill="0" applyBorder="0">
      <alignment wrapText="1"/>
    </xf>
    <xf numFmtId="0" fontId="8" fillId="0" borderId="0" applyFill="0" applyBorder="0">
      <alignment vertical="center" wrapText="1"/>
    </xf>
    <xf numFmtId="0" fontId="8" fillId="0" borderId="0" applyFill="0" applyBorder="0">
      <alignment vertical="center"/>
    </xf>
    <xf numFmtId="0" fontId="2" fillId="30" borderId="58">
      <alignment horizontal="center" vertical="center" wrapText="1"/>
    </xf>
    <xf numFmtId="0" fontId="2" fillId="30" borderId="59">
      <alignment horizontal="center" vertical="center" wrapText="1"/>
    </xf>
    <xf numFmtId="0" fontId="2" fillId="30" borderId="60">
      <alignment horizontal="center" vertical="center" wrapText="1"/>
    </xf>
    <xf numFmtId="0" fontId="2" fillId="27" borderId="61">
      <alignment horizontal="right" vertical="center" wrapText="1" indent="1"/>
    </xf>
    <xf numFmtId="0" fontId="2" fillId="27" borderId="62">
      <alignment horizontal="right" vertical="center" wrapText="1" indent="1"/>
    </xf>
    <xf numFmtId="0" fontId="6" fillId="0" borderId="61" applyFill="0">
      <alignment wrapText="1"/>
    </xf>
    <xf numFmtId="0" fontId="6" fillId="13" borderId="20">
      <alignment horizontal="center" vertical="center" wrapText="1"/>
    </xf>
    <xf numFmtId="0" fontId="6" fillId="0" borderId="61" applyFill="0">
      <alignment vertical="center" wrapText="1"/>
    </xf>
    <xf numFmtId="0" fontId="6" fillId="14" borderId="20">
      <alignment horizontal="center" vertical="center" wrapText="1"/>
    </xf>
    <xf numFmtId="0" fontId="6" fillId="0" borderId="61" applyFill="0">
      <alignment horizontal="left" vertical="center" wrapText="1"/>
    </xf>
    <xf numFmtId="0" fontId="6" fillId="12" borderId="20">
      <alignment horizontal="center" vertical="center" wrapText="1"/>
    </xf>
    <xf numFmtId="0" fontId="6" fillId="20" borderId="20">
      <alignment horizontal="center" vertical="center" wrapText="1"/>
    </xf>
    <xf numFmtId="0" fontId="2" fillId="27" borderId="0" applyBorder="0">
      <alignment horizontal="right" vertical="center" wrapText="1" indent="1"/>
    </xf>
    <xf numFmtId="0" fontId="27" fillId="0" borderId="61" applyFill="0">
      <alignment horizontal="left" vertical="center" wrapText="1"/>
    </xf>
    <xf numFmtId="0" fontId="27" fillId="0" borderId="63" applyFill="0">
      <alignment horizontal="left" vertical="center" wrapText="1"/>
    </xf>
    <xf numFmtId="0" fontId="2" fillId="27" borderId="20">
      <alignment horizontal="right" vertical="center" wrapText="1" indent="1"/>
    </xf>
    <xf numFmtId="0" fontId="2" fillId="27" borderId="47">
      <alignment horizontal="right" vertical="center" wrapText="1" indent="1"/>
    </xf>
    <xf numFmtId="0" fontId="6" fillId="0" borderId="0" applyFill="0" applyBorder="0">
      <alignment vertical="center" wrapText="1"/>
    </xf>
    <xf numFmtId="0" fontId="6" fillId="0" borderId="0" applyFill="0" applyBorder="0">
      <alignment vertical="top" wrapText="1"/>
    </xf>
    <xf numFmtId="0" fontId="2" fillId="27" borderId="16">
      <alignment horizontal="right" vertical="center" wrapText="1" indent="1"/>
    </xf>
    <xf numFmtId="0" fontId="2" fillId="27" borderId="64">
      <alignment horizontal="right" vertical="center" wrapText="1" indent="1"/>
    </xf>
    <xf numFmtId="0" fontId="6" fillId="0" borderId="16" applyFill="0">
      <alignment wrapText="1"/>
    </xf>
    <xf numFmtId="0" fontId="6" fillId="0" borderId="64" applyFill="0">
      <alignment wrapText="1"/>
    </xf>
    <xf numFmtId="0" fontId="6" fillId="0" borderId="64" applyFill="0">
      <alignment vertical="center" wrapText="1"/>
    </xf>
    <xf numFmtId="0" fontId="2" fillId="0" borderId="0" applyFill="0" applyBorder="0">
      <alignment horizontal="center" vertical="center" wrapText="1"/>
    </xf>
    <xf numFmtId="0" fontId="2" fillId="14" borderId="0" applyBorder="0">
      <alignment horizontal="left" vertical="center"/>
    </xf>
    <xf numFmtId="0" fontId="2" fillId="0" borderId="0" applyFill="0" applyBorder="0">
      <alignment vertical="center"/>
    </xf>
    <xf numFmtId="0" fontId="2" fillId="11" borderId="0" applyBorder="0">
      <alignment vertical="center" wrapText="1"/>
    </xf>
    <xf numFmtId="0" fontId="2" fillId="11" borderId="0" applyBorder="0">
      <alignment horizontal="right" vertical="center" wrapText="1"/>
    </xf>
    <xf numFmtId="0" fontId="18" fillId="0" borderId="0" applyFill="0" applyBorder="0"/>
    <xf numFmtId="0" fontId="2" fillId="17" borderId="0" applyBorder="0">
      <alignment horizontal="left" vertical="center"/>
    </xf>
    <xf numFmtId="0" fontId="28" fillId="11" borderId="0" applyBorder="0">
      <alignment vertical="center" wrapText="1"/>
    </xf>
    <xf numFmtId="0" fontId="2" fillId="34" borderId="6">
      <alignment horizontal="right" vertical="center" wrapText="1" indent="1"/>
    </xf>
    <xf numFmtId="0" fontId="2" fillId="34" borderId="5">
      <alignment horizontal="right" vertical="center" wrapText="1" indent="1"/>
    </xf>
    <xf numFmtId="0" fontId="2" fillId="34" borderId="7">
      <alignment horizontal="right" vertical="center" wrapText="1" indent="1"/>
    </xf>
    <xf numFmtId="0" fontId="2" fillId="12" borderId="7">
      <alignment horizontal="center" vertical="center" wrapText="1"/>
    </xf>
    <xf numFmtId="0" fontId="2" fillId="2" borderId="0" applyBorder="0">
      <alignment horizontal="left" vertical="center"/>
    </xf>
    <xf numFmtId="0" fontId="3" fillId="11" borderId="0" applyBorder="0">
      <alignment horizontal="left" vertical="top"/>
    </xf>
    <xf numFmtId="0" fontId="29" fillId="11" borderId="0" applyBorder="0">
      <alignment horizontal="center" vertical="center" wrapText="1"/>
    </xf>
    <xf numFmtId="0" fontId="2" fillId="20" borderId="7">
      <alignment horizontal="center" vertical="center" wrapText="1"/>
      <protection locked="0"/>
    </xf>
    <xf numFmtId="0" fontId="30" fillId="11" borderId="0" applyBorder="0">
      <alignment horizontal="left" vertical="top" textRotation="180"/>
    </xf>
    <xf numFmtId="0" fontId="2" fillId="11" borderId="0" applyBorder="0">
      <alignment horizontal="right" vertical="center" wrapText="1" indent="1"/>
    </xf>
    <xf numFmtId="49" fontId="31" fillId="35" borderId="2">
      <alignment horizontal="center" vertical="center" wrapText="1"/>
    </xf>
    <xf numFmtId="49" fontId="31" fillId="35" borderId="1">
      <alignment horizontal="center" vertical="center" wrapText="1"/>
    </xf>
    <xf numFmtId="49" fontId="31" fillId="35" borderId="3">
      <alignment horizontal="center" vertical="center" wrapText="1"/>
    </xf>
    <xf numFmtId="0" fontId="4" fillId="0" borderId="31" applyFill="0">
      <alignment horizontal="right" vertical="center" wrapText="1" indent="1"/>
    </xf>
    <xf numFmtId="0" fontId="4" fillId="0" borderId="22" applyFill="0">
      <alignment horizontal="right" vertical="center" wrapText="1" indent="1"/>
    </xf>
    <xf numFmtId="0" fontId="4" fillId="0" borderId="17" applyFill="0">
      <alignment horizontal="right" vertical="center" wrapText="1" indent="1"/>
    </xf>
    <xf numFmtId="49" fontId="2" fillId="13" borderId="13">
      <alignment horizontal="center" vertical="center" wrapText="1"/>
      <protection locked="0"/>
    </xf>
    <xf numFmtId="0" fontId="4" fillId="0" borderId="2" applyFill="0">
      <alignment horizontal="right" vertical="center" wrapText="1" indent="1"/>
    </xf>
    <xf numFmtId="0" fontId="4" fillId="0" borderId="1" applyFill="0">
      <alignment horizontal="right" vertical="center" wrapText="1" indent="1"/>
    </xf>
    <xf numFmtId="0" fontId="4" fillId="0" borderId="50" applyFill="0">
      <alignment horizontal="right" vertical="center" wrapText="1" indent="1"/>
    </xf>
    <xf numFmtId="49" fontId="2" fillId="12" borderId="8">
      <alignment horizontal="center" vertical="center" wrapText="1"/>
    </xf>
    <xf numFmtId="49" fontId="2" fillId="13" borderId="65">
      <alignment horizontal="center" vertical="center" wrapText="1"/>
      <protection locked="0"/>
    </xf>
    <xf numFmtId="49" fontId="2" fillId="20" borderId="8">
      <alignment horizontal="center" vertical="center" wrapText="1"/>
      <protection locked="0"/>
    </xf>
    <xf numFmtId="0" fontId="4" fillId="0" borderId="2" applyFill="0">
      <alignment vertical="center" wrapText="1"/>
    </xf>
    <xf numFmtId="0" fontId="4" fillId="0" borderId="1" applyFill="0">
      <alignment vertical="center" wrapText="1"/>
    </xf>
    <xf numFmtId="170" fontId="2" fillId="20" borderId="19">
      <alignment horizontal="center" vertical="center" wrapText="1"/>
      <protection locked="0"/>
    </xf>
    <xf numFmtId="49" fontId="2" fillId="20" borderId="9">
      <alignment horizontal="center" vertical="center" wrapText="1"/>
      <protection locked="0"/>
    </xf>
    <xf numFmtId="49" fontId="2" fillId="12" borderId="9">
      <alignment horizontal="center" vertical="center" wrapText="1"/>
    </xf>
    <xf numFmtId="0" fontId="4" fillId="0" borderId="3" applyFill="0">
      <alignment horizontal="right" vertical="center" wrapText="1" indent="1"/>
    </xf>
    <xf numFmtId="49" fontId="2" fillId="13" borderId="19">
      <alignment horizontal="center" vertical="center" wrapText="1"/>
      <protection locked="0"/>
    </xf>
    <xf numFmtId="49" fontId="2" fillId="13" borderId="23">
      <alignment horizontal="center" vertical="center" wrapText="1"/>
      <protection locked="0"/>
    </xf>
    <xf numFmtId="0" fontId="2" fillId="20" borderId="9">
      <alignment horizontal="center" vertical="center" wrapText="1"/>
      <protection locked="0"/>
    </xf>
    <xf numFmtId="0" fontId="2" fillId="0" borderId="19" applyFill="0">
      <alignment horizontal="right" vertical="center" wrapText="1" indent="1"/>
    </xf>
    <xf numFmtId="0" fontId="2" fillId="0" borderId="2" applyFill="0">
      <alignment horizontal="right" vertical="center" wrapText="1" indent="1"/>
    </xf>
    <xf numFmtId="0" fontId="2" fillId="13" borderId="9">
      <alignment horizontal="center" vertical="center" wrapText="1"/>
      <protection locked="0"/>
    </xf>
    <xf numFmtId="0" fontId="2" fillId="0" borderId="1" applyFill="0">
      <alignment horizontal="right" vertical="center" wrapText="1" indent="1"/>
    </xf>
    <xf numFmtId="0" fontId="2" fillId="0" borderId="50" applyFill="0">
      <alignment horizontal="right" vertical="center" wrapText="1" indent="1"/>
    </xf>
    <xf numFmtId="49" fontId="2" fillId="20" borderId="18">
      <alignment horizontal="center" vertical="center" wrapText="1"/>
      <protection locked="0"/>
    </xf>
    <xf numFmtId="0" fontId="2" fillId="0" borderId="19" applyFill="0">
      <alignment horizontal="right" vertical="center" wrapText="1"/>
    </xf>
    <xf numFmtId="0" fontId="6" fillId="17" borderId="0" applyBorder="0"/>
    <xf numFmtId="49" fontId="4" fillId="20" borderId="9">
      <alignment horizontal="center" vertical="center" wrapText="1"/>
      <protection locked="0"/>
    </xf>
    <xf numFmtId="0" fontId="32" fillId="0" borderId="19" applyFill="0">
      <alignment horizontal="right" vertical="center" wrapText="1" indent="1"/>
    </xf>
    <xf numFmtId="0" fontId="32" fillId="30" borderId="23">
      <alignment horizontal="right" vertical="center" wrapText="1" indent="1"/>
    </xf>
    <xf numFmtId="49" fontId="2" fillId="30" borderId="8">
      <alignment horizontal="left" vertical="center" wrapText="1" indent="1"/>
    </xf>
    <xf numFmtId="0" fontId="32" fillId="0" borderId="23" applyFill="0">
      <alignment horizontal="right" vertical="center" wrapText="1" indent="1"/>
    </xf>
    <xf numFmtId="49" fontId="2" fillId="20" borderId="19">
      <alignment horizontal="center" vertical="center" wrapText="1"/>
      <protection locked="0"/>
    </xf>
    <xf numFmtId="0" fontId="33" fillId="0" borderId="4" applyFill="0">
      <alignment horizontal="center" vertical="center" wrapText="1"/>
    </xf>
    <xf numFmtId="0" fontId="2" fillId="0" borderId="3" applyFill="0">
      <alignment horizontal="right" vertical="center" wrapText="1" indent="1"/>
    </xf>
    <xf numFmtId="49" fontId="4" fillId="13" borderId="3">
      <alignment horizontal="center" vertical="center" wrapText="1"/>
      <protection locked="0"/>
    </xf>
    <xf numFmtId="0" fontId="2" fillId="0" borderId="17" applyFill="0">
      <alignment horizontal="right" vertical="center" wrapText="1" indent="1"/>
    </xf>
    <xf numFmtId="49" fontId="4" fillId="20" borderId="48">
      <alignment horizontal="center" vertical="center" wrapText="1"/>
      <protection locked="0"/>
    </xf>
    <xf numFmtId="49" fontId="4" fillId="13" borderId="7">
      <alignment horizontal="center" vertical="center" wrapText="1"/>
      <protection locked="0"/>
    </xf>
    <xf numFmtId="170" fontId="2" fillId="20" borderId="7">
      <alignment horizontal="center" vertical="center" wrapText="1"/>
      <protection locked="0"/>
    </xf>
    <xf numFmtId="0" fontId="2" fillId="36" borderId="50">
      <alignment horizontal="right" vertical="center" wrapText="1" indent="1"/>
    </xf>
    <xf numFmtId="0" fontId="18" fillId="17" borderId="0" applyBorder="0">
      <alignment vertical="top"/>
    </xf>
    <xf numFmtId="49" fontId="32" fillId="0" borderId="2" applyFill="0">
      <alignment horizontal="right" vertical="center" wrapText="1" indent="1"/>
    </xf>
    <xf numFmtId="49" fontId="32" fillId="0" borderId="1" applyFill="0">
      <alignment horizontal="right" vertical="center" wrapText="1" indent="1"/>
    </xf>
    <xf numFmtId="49" fontId="32" fillId="0" borderId="3" applyFill="0">
      <alignment horizontal="right" vertical="center" wrapText="1" indent="1"/>
    </xf>
    <xf numFmtId="0" fontId="2" fillId="11" borderId="9">
      <alignment horizontal="right" vertical="center" wrapText="1" indent="1"/>
    </xf>
    <xf numFmtId="49" fontId="2" fillId="11" borderId="9">
      <alignment horizontal="right" vertical="center" wrapText="1" indent="1"/>
    </xf>
    <xf numFmtId="0" fontId="2" fillId="11" borderId="0" applyBorder="0">
      <alignment horizontal="center" vertical="center" wrapText="1"/>
    </xf>
    <xf numFmtId="0" fontId="31" fillId="35" borderId="2">
      <alignment horizontal="center" vertical="center" wrapText="1"/>
    </xf>
    <xf numFmtId="0" fontId="31" fillId="35" borderId="1">
      <alignment horizontal="center" vertical="center" wrapText="1"/>
    </xf>
    <xf numFmtId="0" fontId="31" fillId="35" borderId="56">
      <alignment horizontal="center" vertical="center" wrapText="1"/>
    </xf>
    <xf numFmtId="0" fontId="4" fillId="0" borderId="25" applyFill="0">
      <alignment horizontal="right" vertical="center" wrapText="1" indent="1"/>
    </xf>
    <xf numFmtId="0" fontId="4" fillId="0" borderId="55" applyFill="0">
      <alignment horizontal="right" vertical="center" wrapText="1" indent="1"/>
    </xf>
    <xf numFmtId="0" fontId="18" fillId="17" borderId="0" applyBorder="0"/>
    <xf numFmtId="49" fontId="2" fillId="20" borderId="15">
      <alignment horizontal="center" vertical="center" wrapText="1"/>
      <protection locked="0"/>
    </xf>
    <xf numFmtId="0" fontId="33" fillId="0" borderId="19" applyFill="0">
      <alignment horizontal="center" vertical="center" textRotation="90" wrapText="1"/>
    </xf>
    <xf numFmtId="0" fontId="4" fillId="0" borderId="9" applyFill="0">
      <alignment horizontal="right" vertical="center" wrapText="1" indent="1"/>
    </xf>
    <xf numFmtId="0" fontId="2" fillId="0" borderId="6" applyFill="0">
      <alignment horizontal="right" vertical="center" wrapText="1" indent="1"/>
    </xf>
    <xf numFmtId="0" fontId="2" fillId="11" borderId="6">
      <alignment horizontal="right" vertical="center" wrapText="1" indent="1"/>
    </xf>
    <xf numFmtId="1" fontId="2" fillId="20" borderId="9">
      <alignment horizontal="center" vertical="center" wrapText="1"/>
      <protection locked="0"/>
    </xf>
    <xf numFmtId="0" fontId="4" fillId="0" borderId="6" applyFill="0">
      <alignment horizontal="right" vertical="center" wrapText="1" indent="1"/>
    </xf>
    <xf numFmtId="0" fontId="4" fillId="0" borderId="7" applyFill="0">
      <alignment horizontal="right" vertical="center" wrapText="1" indent="1"/>
    </xf>
    <xf numFmtId="1" fontId="4" fillId="12" borderId="9">
      <alignment horizontal="center" vertical="center" wrapText="1"/>
    </xf>
    <xf numFmtId="0" fontId="4" fillId="12" borderId="9">
      <alignment horizontal="center" vertical="center" wrapText="1"/>
    </xf>
    <xf numFmtId="0" fontId="4" fillId="0" borderId="66" applyFill="0">
      <alignment horizontal="right" vertical="center" wrapText="1" indent="1"/>
    </xf>
    <xf numFmtId="0" fontId="4" fillId="0" borderId="33" applyFill="0">
      <alignment horizontal="right" vertical="center" wrapText="1" indent="1"/>
    </xf>
    <xf numFmtId="0" fontId="4" fillId="0" borderId="46" applyFill="0">
      <alignment horizontal="right" vertical="center" wrapText="1" indent="1"/>
    </xf>
    <xf numFmtId="14" fontId="7" fillId="11" borderId="0" applyBorder="0">
      <alignment horizontal="center" vertical="center" wrapText="1"/>
    </xf>
    <xf numFmtId="49" fontId="31" fillId="35" borderId="65">
      <alignment horizontal="center" vertical="center" wrapText="1"/>
    </xf>
    <xf numFmtId="0" fontId="2" fillId="0" borderId="67" applyFill="0">
      <alignment horizontal="right" vertical="center" wrapText="1" indent="1"/>
    </xf>
    <xf numFmtId="49" fontId="2" fillId="13" borderId="68">
      <alignment horizontal="center" vertical="center" wrapText="1"/>
      <protection locked="0"/>
    </xf>
    <xf numFmtId="0" fontId="2" fillId="0" borderId="53" applyFill="0">
      <alignment horizontal="right" vertical="center" wrapText="1" indent="1"/>
    </xf>
    <xf numFmtId="0" fontId="2" fillId="0" borderId="69" applyFill="0">
      <alignment horizontal="right" vertical="center" wrapText="1" indent="1"/>
    </xf>
    <xf numFmtId="0" fontId="2" fillId="0" borderId="70" applyFill="0">
      <alignment horizontal="right" vertical="center" wrapText="1" indent="1"/>
    </xf>
    <xf numFmtId="49" fontId="2" fillId="20" borderId="9">
      <alignment horizontal="center" vertical="center" wrapText="1"/>
    </xf>
    <xf numFmtId="0" fontId="4" fillId="0" borderId="9" applyFill="0">
      <alignment horizontal="center" vertical="center" wrapText="1"/>
    </xf>
    <xf numFmtId="0" fontId="2" fillId="0" borderId="9" applyFill="0">
      <alignment horizontal="right" vertical="center" indent="1"/>
    </xf>
    <xf numFmtId="14" fontId="2" fillId="0" borderId="19" applyFill="0">
      <alignment horizontal="center" vertical="center" wrapText="1"/>
    </xf>
    <xf numFmtId="0" fontId="4" fillId="0" borderId="8" applyFill="0">
      <alignment horizontal="center" vertical="center" wrapText="1"/>
    </xf>
    <xf numFmtId="0" fontId="2" fillId="0" borderId="8" applyFill="0">
      <alignment horizontal="right" vertical="center" indent="1"/>
    </xf>
    <xf numFmtId="0" fontId="2" fillId="0" borderId="23" applyFill="0">
      <alignment horizontal="center" vertical="center" wrapText="1"/>
    </xf>
    <xf numFmtId="0" fontId="2" fillId="0" borderId="63" applyFill="0">
      <alignment horizontal="center" vertical="center" wrapText="1"/>
    </xf>
    <xf numFmtId="49" fontId="8" fillId="35" borderId="65">
      <alignment horizontal="center" vertical="center" wrapText="1"/>
    </xf>
    <xf numFmtId="0" fontId="2" fillId="0" borderId="0" applyFill="0" applyBorder="0">
      <alignment vertical="top"/>
    </xf>
    <xf numFmtId="0" fontId="3" fillId="0" borderId="0" applyFill="0" applyBorder="0">
      <alignment vertical="center"/>
    </xf>
    <xf numFmtId="0" fontId="2" fillId="10" borderId="0" applyBorder="0">
      <alignment vertical="top"/>
    </xf>
    <xf numFmtId="0" fontId="2" fillId="2" borderId="0" applyBorder="0">
      <alignment vertical="top"/>
    </xf>
    <xf numFmtId="0" fontId="2" fillId="14" borderId="0" applyBorder="0">
      <alignment vertical="top"/>
    </xf>
    <xf numFmtId="0" fontId="2" fillId="0" borderId="27" applyFill="0">
      <alignment horizontal="left" vertical="center" indent="1"/>
    </xf>
    <xf numFmtId="0" fontId="18" fillId="0" borderId="1" applyFill="0">
      <alignment vertical="top"/>
    </xf>
    <xf numFmtId="0" fontId="2" fillId="0" borderId="27" applyFill="0">
      <alignment vertical="center" wrapText="1"/>
    </xf>
    <xf numFmtId="0" fontId="2" fillId="0" borderId="27" applyFill="0">
      <alignment vertical="top"/>
    </xf>
    <xf numFmtId="0" fontId="34" fillId="0" borderId="27" applyFill="0">
      <alignment vertical="center"/>
    </xf>
    <xf numFmtId="0" fontId="2" fillId="0" borderId="26" applyFill="0">
      <alignment horizontal="center" vertical="center" wrapText="1"/>
    </xf>
    <xf numFmtId="0" fontId="2" fillId="0" borderId="71" applyFill="0">
      <alignment horizontal="center" vertical="center" wrapText="1"/>
    </xf>
    <xf numFmtId="0" fontId="2" fillId="11" borderId="71">
      <alignment horizontal="center" vertical="center" wrapText="1"/>
    </xf>
    <xf numFmtId="0" fontId="2" fillId="0" borderId="27" applyFill="0">
      <alignment horizontal="center" vertical="center" wrapText="1"/>
    </xf>
    <xf numFmtId="0" fontId="3" fillId="0" borderId="71" applyFill="0">
      <alignment horizontal="center" vertical="center" wrapText="1"/>
    </xf>
    <xf numFmtId="0" fontId="3" fillId="0" borderId="27" applyFill="0">
      <alignment horizontal="center" vertical="center" wrapText="1"/>
    </xf>
    <xf numFmtId="0" fontId="7" fillId="0" borderId="72" applyFill="0">
      <alignment vertical="top"/>
    </xf>
    <xf numFmtId="0" fontId="2" fillId="0" borderId="73" applyFill="0">
      <alignment horizontal="center" vertical="center" wrapText="1"/>
    </xf>
    <xf numFmtId="0" fontId="2" fillId="0" borderId="72" applyFill="0">
      <alignment horizontal="center" vertical="center" wrapText="1"/>
    </xf>
    <xf numFmtId="0" fontId="3" fillId="0" borderId="72" applyFill="0">
      <alignment horizontal="center" vertical="center" wrapText="1"/>
    </xf>
    <xf numFmtId="0" fontId="16" fillId="37" borderId="71">
      <alignment horizontal="center" vertical="center" textRotation="180" wrapText="1"/>
    </xf>
    <xf numFmtId="0" fontId="2" fillId="0" borderId="74" applyFill="0">
      <alignment horizontal="center" vertical="center" wrapText="1"/>
    </xf>
    <xf numFmtId="0" fontId="35" fillId="37" borderId="71">
      <alignment vertical="center" textRotation="180" wrapText="1"/>
    </xf>
    <xf numFmtId="0" fontId="2" fillId="0" borderId="71" applyFill="0"/>
    <xf numFmtId="0" fontId="2" fillId="0" borderId="72" applyFill="0"/>
    <xf numFmtId="0" fontId="36" fillId="0" borderId="0" applyFill="0" applyBorder="0">
      <alignment horizontal="left" vertical="top"/>
    </xf>
    <xf numFmtId="49" fontId="36" fillId="0" borderId="0" applyFill="0" applyBorder="0">
      <alignment horizontal="left" vertical="top"/>
    </xf>
    <xf numFmtId="49" fontId="2" fillId="0" borderId="26" applyFill="0">
      <alignment horizontal="center" vertical="center" wrapText="1"/>
    </xf>
    <xf numFmtId="0" fontId="2" fillId="12" borderId="71">
      <alignment horizontal="left" vertical="center" wrapText="1" indent="1"/>
    </xf>
    <xf numFmtId="49" fontId="2" fillId="20" borderId="26">
      <alignment horizontal="center" vertical="center" wrapText="1"/>
    </xf>
    <xf numFmtId="0" fontId="2" fillId="12" borderId="71">
      <alignment horizontal="center" vertical="center" wrapText="1"/>
    </xf>
    <xf numFmtId="49" fontId="2" fillId="20" borderId="71">
      <alignment horizontal="center" vertical="center" wrapText="1"/>
    </xf>
    <xf numFmtId="49" fontId="2" fillId="13" borderId="71">
      <alignment horizontal="left" vertical="center" wrapText="1" indent="1"/>
      <protection locked="0"/>
    </xf>
    <xf numFmtId="49" fontId="2" fillId="13" borderId="71">
      <alignment horizontal="left" vertical="center" wrapText="1" indent="1"/>
    </xf>
    <xf numFmtId="49" fontId="2" fillId="20" borderId="71">
      <alignment horizontal="center" vertical="center" wrapText="1"/>
      <protection locked="0"/>
    </xf>
    <xf numFmtId="49" fontId="2" fillId="0" borderId="71" applyFill="0">
      <alignment horizontal="left" vertical="center" wrapText="1" indent="1"/>
    </xf>
    <xf numFmtId="49" fontId="4" fillId="0" borderId="71" applyFill="0">
      <alignment horizontal="center" vertical="center" wrapText="1"/>
    </xf>
    <xf numFmtId="170" fontId="2" fillId="0" borderId="71" applyFill="0">
      <alignment horizontal="center" vertical="center" wrapText="1"/>
    </xf>
    <xf numFmtId="0" fontId="2" fillId="0" borderId="71" applyFill="0">
      <alignment vertical="top"/>
    </xf>
    <xf numFmtId="49" fontId="11" fillId="23" borderId="71">
      <alignment horizontal="center" vertical="center"/>
    </xf>
    <xf numFmtId="0" fontId="2" fillId="0" borderId="71" applyFill="0">
      <alignment horizontal="left" vertical="center" wrapText="1"/>
    </xf>
    <xf numFmtId="0" fontId="2" fillId="0" borderId="71" applyFill="0">
      <alignment horizontal="center" vertical="center"/>
    </xf>
    <xf numFmtId="49" fontId="2" fillId="0" borderId="71" applyFill="0">
      <alignment horizontal="center" vertical="center" wrapText="1"/>
    </xf>
    <xf numFmtId="1" fontId="2" fillId="0" borderId="71" applyFill="0">
      <alignment horizontal="center" vertical="center"/>
    </xf>
    <xf numFmtId="170" fontId="2" fillId="38" borderId="71">
      <alignment horizontal="center" vertical="center" wrapText="1"/>
      <protection locked="0"/>
    </xf>
    <xf numFmtId="49" fontId="2" fillId="12" borderId="71">
      <alignment horizontal="center" vertical="center" wrapText="1"/>
    </xf>
    <xf numFmtId="3" fontId="2" fillId="13" borderId="71">
      <alignment horizontal="right" vertical="center" indent="1"/>
      <protection locked="0"/>
    </xf>
    <xf numFmtId="0" fontId="3" fillId="0" borderId="72" applyFill="0">
      <alignment vertical="top"/>
    </xf>
    <xf numFmtId="49" fontId="2" fillId="0" borderId="73" applyFill="0">
      <alignment horizontal="center" vertical="center" wrapText="1"/>
    </xf>
    <xf numFmtId="49" fontId="2" fillId="20" borderId="73">
      <alignment horizontal="center" vertical="center" wrapText="1"/>
    </xf>
    <xf numFmtId="49" fontId="2" fillId="20" borderId="72">
      <alignment horizontal="center" vertical="center" wrapText="1"/>
    </xf>
    <xf numFmtId="0" fontId="2" fillId="12" borderId="72">
      <alignment horizontal="left" vertical="center" wrapText="1" indent="1"/>
    </xf>
    <xf numFmtId="49" fontId="2" fillId="13" borderId="72">
      <alignment horizontal="left" vertical="center" wrapText="1" indent="1"/>
      <protection locked="0"/>
    </xf>
    <xf numFmtId="49" fontId="2" fillId="13" borderId="72">
      <alignment horizontal="left" vertical="center" wrapText="1" indent="1"/>
    </xf>
    <xf numFmtId="49" fontId="2" fillId="20" borderId="72">
      <alignment horizontal="center" vertical="center" wrapText="1"/>
      <protection locked="0"/>
    </xf>
    <xf numFmtId="49" fontId="2" fillId="0" borderId="72" applyFill="0">
      <alignment horizontal="left" vertical="center" wrapText="1" indent="1"/>
    </xf>
    <xf numFmtId="49" fontId="4" fillId="0" borderId="72" applyFill="0">
      <alignment horizontal="center" vertical="center" wrapText="1"/>
    </xf>
    <xf numFmtId="170" fontId="2" fillId="0" borderId="72" applyFill="0">
      <alignment horizontal="center" vertical="center" wrapText="1"/>
    </xf>
    <xf numFmtId="0" fontId="2" fillId="0" borderId="72" applyFill="0">
      <alignment vertical="top"/>
    </xf>
    <xf numFmtId="49" fontId="11" fillId="23" borderId="72">
      <alignment horizontal="center" vertical="center"/>
    </xf>
    <xf numFmtId="49" fontId="37" fillId="23" borderId="71">
      <alignment horizontal="center" vertical="center"/>
    </xf>
    <xf numFmtId="49" fontId="11" fillId="23" borderId="27">
      <alignment horizontal="center" vertical="center"/>
    </xf>
    <xf numFmtId="0" fontId="11" fillId="23" borderId="27">
      <alignment horizontal="left" vertical="center" indent="1"/>
    </xf>
    <xf numFmtId="49" fontId="2" fillId="0" borderId="74" applyFill="0">
      <alignment horizontal="center" vertical="center" wrapText="1"/>
    </xf>
    <xf numFmtId="49" fontId="2" fillId="20" borderId="74">
      <alignment horizontal="center" vertical="center" wrapText="1"/>
    </xf>
    <xf numFmtId="49" fontId="11" fillId="23" borderId="27">
      <alignment vertical="top"/>
    </xf>
    <xf numFmtId="0" fontId="3" fillId="19" borderId="0" applyBorder="0">
      <alignment vertical="top"/>
    </xf>
    <xf numFmtId="0" fontId="3" fillId="0" borderId="0" applyFill="0" applyBorder="0">
      <alignment vertical="top"/>
    </xf>
    <xf numFmtId="0" fontId="38" fillId="0" borderId="0" applyFill="0" applyBorder="0"/>
    <xf numFmtId="0" fontId="38" fillId="0" borderId="0" applyFill="0" applyBorder="0">
      <alignment horizontal="center"/>
    </xf>
    <xf numFmtId="0" fontId="6" fillId="0" borderId="0" applyFill="0" applyBorder="0">
      <alignment horizontal="left" vertical="top" wrapText="1"/>
    </xf>
    <xf numFmtId="0" fontId="6" fillId="0" borderId="0" applyFill="0" applyBorder="0">
      <alignment wrapText="1"/>
    </xf>
    <xf numFmtId="0" fontId="39" fillId="0" borderId="0" applyFill="0" applyBorder="0"/>
    <xf numFmtId="0" fontId="39" fillId="13" borderId="0" applyBorder="0">
      <protection locked="0"/>
    </xf>
    <xf numFmtId="0" fontId="39" fillId="0" borderId="0" applyFill="0" applyBorder="0">
      <alignment horizontal="right" vertical="center" wrapText="1"/>
    </xf>
    <xf numFmtId="0" fontId="39" fillId="0" borderId="0" applyFill="0" applyBorder="0">
      <alignment horizontal="center" vertical="center" wrapText="1"/>
    </xf>
    <xf numFmtId="0" fontId="39" fillId="0" borderId="0" applyFill="0" applyBorder="0">
      <alignment horizontal="left"/>
    </xf>
    <xf numFmtId="0" fontId="39" fillId="12" borderId="0" applyBorder="0">
      <alignment horizontal="center" vertical="center" wrapText="1"/>
    </xf>
    <xf numFmtId="0" fontId="39" fillId="0" borderId="0" applyFill="0" applyBorder="0">
      <alignment horizontal="center"/>
    </xf>
    <xf numFmtId="0" fontId="39" fillId="0" borderId="0" applyFill="0" applyBorder="0">
      <alignment horizontal="center" vertical="top" wrapText="1"/>
    </xf>
    <xf numFmtId="170" fontId="39" fillId="12" borderId="0" applyBorder="0">
      <alignment horizontal="left" vertical="center"/>
    </xf>
    <xf numFmtId="0" fontId="39" fillId="0" borderId="0" applyFill="0" applyBorder="0">
      <alignment horizontal="left" vertical="center"/>
    </xf>
    <xf numFmtId="49" fontId="39" fillId="12" borderId="75">
      <alignment horizontal="center" vertical="center" wrapText="1"/>
    </xf>
    <xf numFmtId="0" fontId="39" fillId="12" borderId="75">
      <alignment horizontal="center" vertical="center" wrapText="1"/>
    </xf>
    <xf numFmtId="0" fontId="39" fillId="0" borderId="0" applyFill="0" applyBorder="0">
      <alignment horizontal="left" vertical="center" wrapText="1"/>
    </xf>
    <xf numFmtId="49" fontId="39" fillId="12" borderId="76">
      <alignment horizontal="center" vertical="center" wrapText="1"/>
    </xf>
    <xf numFmtId="0" fontId="39" fillId="12" borderId="76">
      <alignment horizontal="center" vertical="center" wrapText="1"/>
    </xf>
    <xf numFmtId="0" fontId="39" fillId="0" borderId="0" applyFill="0" applyBorder="0">
      <alignment vertical="center"/>
    </xf>
    <xf numFmtId="0" fontId="40" fillId="0" borderId="0" applyFill="0" applyBorder="0">
      <alignment horizontal="center" vertical="center" wrapText="1"/>
    </xf>
    <xf numFmtId="0" fontId="39" fillId="13" borderId="76">
      <alignment horizontal="center" vertical="center" wrapText="1"/>
      <protection locked="0"/>
    </xf>
    <xf numFmtId="0" fontId="39" fillId="0" borderId="0" applyFill="0" applyBorder="0">
      <alignment horizontal="left" wrapText="1"/>
    </xf>
    <xf numFmtId="0" fontId="40" fillId="0" borderId="0" applyFill="0" applyBorder="0">
      <alignment horizontal="left" vertical="center" wrapText="1"/>
    </xf>
    <xf numFmtId="4" fontId="39" fillId="12" borderId="77">
      <alignment horizontal="center" vertical="center"/>
    </xf>
    <xf numFmtId="0" fontId="40" fillId="0" borderId="0" applyFill="0" applyBorder="0">
      <alignment horizontal="center" vertical="center"/>
    </xf>
    <xf numFmtId="0" fontId="39" fillId="0" borderId="22" applyFill="0">
      <alignment wrapText="1"/>
    </xf>
    <xf numFmtId="0" fontId="39" fillId="0" borderId="1" applyFill="0">
      <alignment horizontal="left" wrapText="1"/>
    </xf>
    <xf numFmtId="0" fontId="39" fillId="0" borderId="0" applyFill="0" applyBorder="0">
      <alignment horizontal="center" wrapText="1"/>
    </xf>
    <xf numFmtId="49" fontId="40" fillId="13" borderId="0" applyBorder="0">
      <alignment horizontal="center" vertical="center" wrapText="1"/>
      <protection locked="0"/>
    </xf>
    <xf numFmtId="0" fontId="39" fillId="0" borderId="0" applyFill="0" applyBorder="0">
      <alignment wrapText="1"/>
    </xf>
    <xf numFmtId="0" fontId="39" fillId="0" borderId="22" applyFill="0"/>
    <xf numFmtId="49" fontId="2" fillId="0" borderId="1" applyFill="0">
      <alignment horizontal="left" vertical="center" indent="1"/>
    </xf>
    <xf numFmtId="49" fontId="6" fillId="17" borderId="19">
      <alignment horizontal="center" vertical="center"/>
    </xf>
    <xf numFmtId="0" fontId="2" fillId="17" borderId="19">
      <alignment horizontal="center" vertical="center" wrapText="1"/>
    </xf>
    <xf numFmtId="0" fontId="6" fillId="17" borderId="19">
      <alignment horizontal="center" vertical="center" wrapText="1"/>
    </xf>
    <xf numFmtId="0" fontId="6" fillId="0" borderId="0" applyFill="0" applyBorder="0">
      <alignment horizontal="left" vertical="top"/>
    </xf>
    <xf numFmtId="0" fontId="8" fillId="0" borderId="2" applyFill="0">
      <alignment horizontal="center" vertical="center" wrapText="1"/>
    </xf>
    <xf numFmtId="0" fontId="8" fillId="0" borderId="1" applyFill="0">
      <alignment vertical="center" wrapText="1"/>
    </xf>
    <xf numFmtId="0" fontId="41" fillId="0" borderId="1" applyFill="0">
      <alignment vertical="center" wrapText="1"/>
    </xf>
    <xf numFmtId="0" fontId="2" fillId="0" borderId="1" applyFill="0">
      <alignment vertical="center" wrapText="1"/>
    </xf>
    <xf numFmtId="0" fontId="6" fillId="0" borderId="56" applyFill="0">
      <alignment vertical="center"/>
    </xf>
    <xf numFmtId="0" fontId="6" fillId="11" borderId="0" applyBorder="0">
      <alignment horizontal="left" vertical="top"/>
    </xf>
    <xf numFmtId="49" fontId="6" fillId="11" borderId="19">
      <alignment horizontal="center" vertical="center"/>
    </xf>
    <xf numFmtId="0" fontId="2" fillId="0" borderId="19" applyFill="0">
      <alignment horizontal="left" vertical="center" wrapText="1"/>
    </xf>
    <xf numFmtId="0" fontId="41" fillId="0" borderId="19" applyFill="0">
      <alignment horizontal="left" vertical="center" wrapText="1"/>
    </xf>
    <xf numFmtId="49" fontId="6" fillId="0" borderId="19" applyFill="0">
      <alignment horizontal="center" vertical="center" wrapText="1"/>
    </xf>
    <xf numFmtId="0" fontId="6" fillId="11" borderId="0" applyBorder="0">
      <alignment horizontal="left" vertical="center" wrapText="1"/>
    </xf>
    <xf numFmtId="0" fontId="2" fillId="0" borderId="23" applyFill="0">
      <alignment horizontal="left" vertical="center" wrapText="1"/>
    </xf>
    <xf numFmtId="0" fontId="41" fillId="11" borderId="19">
      <alignment horizontal="left" vertical="center" wrapText="1" indent="1"/>
    </xf>
    <xf numFmtId="49" fontId="6" fillId="13" borderId="19">
      <alignment horizontal="left" vertical="center" wrapText="1"/>
      <protection locked="0"/>
    </xf>
    <xf numFmtId="0" fontId="2" fillId="20" borderId="19">
      <alignment horizontal="center" vertical="center" wrapText="1"/>
      <protection locked="0"/>
    </xf>
    <xf numFmtId="49" fontId="6" fillId="13" borderId="19">
      <alignment horizontal="center" vertical="center" wrapText="1"/>
      <protection locked="0"/>
    </xf>
    <xf numFmtId="49" fontId="2" fillId="0" borderId="18" applyFill="0">
      <alignment horizontal="center" vertical="center"/>
    </xf>
    <xf numFmtId="0" fontId="2" fillId="39" borderId="18">
      <alignment horizontal="left" vertical="center" wrapText="1"/>
    </xf>
    <xf numFmtId="49" fontId="37" fillId="23" borderId="1">
      <alignment horizontal="left" vertical="center" indent="1"/>
    </xf>
    <xf numFmtId="49" fontId="11" fillId="23" borderId="3">
      <alignment horizontal="center" vertical="center"/>
    </xf>
    <xf numFmtId="0" fontId="2" fillId="0" borderId="56" applyFill="0">
      <alignment horizontal="left" vertical="center" wrapText="1"/>
    </xf>
    <xf numFmtId="0" fontId="2" fillId="39" borderId="17">
      <alignment horizontal="left" vertical="center" wrapText="1"/>
    </xf>
    <xf numFmtId="0" fontId="2" fillId="39" borderId="78">
      <alignment horizontal="left" vertical="center" wrapText="1"/>
    </xf>
    <xf numFmtId="49" fontId="2" fillId="0" borderId="71" applyFill="0">
      <alignment horizontal="center" vertical="center"/>
    </xf>
    <xf numFmtId="49" fontId="2" fillId="0" borderId="4" applyFill="0">
      <alignment horizontal="left" vertical="center" wrapText="1"/>
    </xf>
    <xf numFmtId="0" fontId="2" fillId="11" borderId="27">
      <alignment horizontal="left" vertical="center" wrapText="1" indent="1"/>
    </xf>
    <xf numFmtId="0" fontId="41" fillId="11" borderId="71">
      <alignment horizontal="center" vertical="center" wrapText="1"/>
    </xf>
    <xf numFmtId="0" fontId="2" fillId="11" borderId="71">
      <alignment horizontal="left" vertical="center" wrapText="1" indent="1"/>
    </xf>
    <xf numFmtId="0" fontId="2" fillId="20" borderId="71">
      <alignment horizontal="center" vertical="center" wrapText="1"/>
      <protection locked="0"/>
    </xf>
    <xf numFmtId="49" fontId="6" fillId="13" borderId="71">
      <alignment horizontal="center" vertical="center" wrapText="1"/>
      <protection locked="0"/>
    </xf>
    <xf numFmtId="49" fontId="2" fillId="0" borderId="72" applyFill="0">
      <alignment horizontal="center" vertical="center"/>
    </xf>
    <xf numFmtId="49" fontId="11" fillId="23" borderId="27">
      <alignment horizontal="left" vertical="center" indent="1"/>
    </xf>
    <xf numFmtId="49" fontId="37" fillId="23" borderId="27">
      <alignment horizontal="left" vertical="center" indent="1"/>
    </xf>
    <xf numFmtId="0" fontId="5" fillId="0" borderId="0" applyFill="0" applyBorder="0">
      <alignment vertical="top"/>
    </xf>
    <xf numFmtId="49" fontId="2" fillId="12" borderId="71">
      <alignment horizontal="left" vertical="center" wrapText="1" indent="1"/>
    </xf>
    <xf numFmtId="49" fontId="2" fillId="12" borderId="72">
      <alignment horizontal="left" vertical="center" wrapText="1" indent="1"/>
    </xf>
    <xf numFmtId="49" fontId="11" fillId="23" borderId="71">
      <alignment horizontal="left" vertical="center" indent="1"/>
    </xf>
    <xf numFmtId="0" fontId="11" fillId="23" borderId="22">
      <alignment horizontal="left" vertical="center" indent="1"/>
    </xf>
    <xf numFmtId="49" fontId="11" fillId="23" borderId="1">
      <alignment horizontal="center" vertical="center"/>
    </xf>
    <xf numFmtId="0" fontId="42" fillId="0" borderId="1" applyFill="0">
      <alignment vertical="center" wrapText="1"/>
    </xf>
    <xf numFmtId="49" fontId="2" fillId="0" borderId="1" applyFill="0">
      <alignment vertical="center" wrapText="1"/>
    </xf>
    <xf numFmtId="49" fontId="2" fillId="0" borderId="78" applyFill="0">
      <alignment vertical="center" wrapText="1"/>
    </xf>
    <xf numFmtId="0" fontId="41" fillId="0" borderId="19" applyFill="0">
      <alignment horizontal="left" vertical="center" wrapText="1" indent="1"/>
    </xf>
    <xf numFmtId="0" fontId="2" fillId="0" borderId="23" applyFill="0">
      <alignment horizontal="center" vertical="center"/>
    </xf>
    <xf numFmtId="0" fontId="2" fillId="12" borderId="23">
      <alignment horizontal="left" vertical="center" wrapText="1"/>
    </xf>
    <xf numFmtId="0" fontId="2" fillId="12" borderId="18">
      <alignment horizontal="left" vertical="center" wrapText="1"/>
    </xf>
    <xf numFmtId="0" fontId="2" fillId="12" borderId="23">
      <alignment horizontal="left" vertical="center" wrapText="1"/>
    </xf>
    <xf numFmtId="0" fontId="2" fillId="20" borderId="19">
      <alignment horizontal="center" vertical="center" wrapText="1"/>
      <protection locked="0"/>
    </xf>
    <xf numFmtId="0" fontId="8" fillId="0" borderId="55" applyFill="0">
      <alignment vertical="center" wrapText="1"/>
    </xf>
    <xf numFmtId="0" fontId="42" fillId="0" borderId="55" applyFill="0">
      <alignment vertical="center" wrapText="1"/>
    </xf>
    <xf numFmtId="0" fontId="2" fillId="0" borderId="55" applyFill="0">
      <alignment vertical="center" wrapText="1"/>
    </xf>
    <xf numFmtId="0" fontId="2" fillId="0" borderId="56" applyFill="0">
      <alignment vertical="center" wrapText="1"/>
    </xf>
    <xf numFmtId="49" fontId="41" fillId="0" borderId="2" applyFill="0">
      <alignment horizontal="center" vertical="center" wrapText="1"/>
    </xf>
    <xf numFmtId="0" fontId="3" fillId="0" borderId="0" applyFill="0" applyBorder="0"/>
    <xf numFmtId="0" fontId="7" fillId="17" borderId="0" applyBorder="0"/>
    <xf numFmtId="0" fontId="2" fillId="0" borderId="1" applyFill="0">
      <alignment horizontal="center" vertical="center" wrapText="1"/>
    </xf>
    <xf numFmtId="0" fontId="2" fillId="0" borderId="1" applyFill="0">
      <alignment vertical="center"/>
    </xf>
    <xf numFmtId="2" fontId="2" fillId="0" borderId="1" applyFill="0">
      <alignment vertical="center" wrapText="1"/>
    </xf>
    <xf numFmtId="0" fontId="7" fillId="0" borderId="0" applyFill="0" applyBorder="0"/>
    <xf numFmtId="49" fontId="2" fillId="0" borderId="22" applyFill="0">
      <alignment horizontal="center" vertical="center" wrapText="1"/>
    </xf>
    <xf numFmtId="0" fontId="2" fillId="0" borderId="22" applyFill="0">
      <alignment horizontal="center" vertical="center" wrapText="1"/>
    </xf>
    <xf numFmtId="0" fontId="2" fillId="0" borderId="25" applyFill="0">
      <alignment horizontal="center" vertical="center" wrapText="1"/>
    </xf>
    <xf numFmtId="0" fontId="4" fillId="0" borderId="19" applyFill="0">
      <alignment horizontal="center" vertical="center" wrapText="1"/>
    </xf>
    <xf numFmtId="2" fontId="4" fillId="0" borderId="19" applyFill="0"/>
    <xf numFmtId="0" fontId="2" fillId="0" borderId="19" applyFill="0">
      <alignment vertical="center" wrapText="1"/>
    </xf>
    <xf numFmtId="0" fontId="2" fillId="0" borderId="2" applyFill="0">
      <alignment vertical="center" wrapText="1"/>
    </xf>
    <xf numFmtId="0" fontId="2" fillId="0" borderId="79" applyFill="0">
      <alignment vertical="center" wrapText="1"/>
    </xf>
    <xf numFmtId="0" fontId="6" fillId="11" borderId="80">
      <alignment horizontal="center" vertical="center" wrapText="1"/>
    </xf>
    <xf numFmtId="0" fontId="6" fillId="11" borderId="81">
      <alignment horizontal="center" vertical="center" wrapText="1"/>
    </xf>
    <xf numFmtId="0" fontId="6" fillId="11" borderId="82">
      <alignment horizontal="center" vertical="center" wrapText="1"/>
    </xf>
    <xf numFmtId="0" fontId="6" fillId="11" borderId="83">
      <alignment horizontal="center" vertical="center" wrapText="1"/>
    </xf>
    <xf numFmtId="0" fontId="2" fillId="0" borderId="18" applyFill="0">
      <alignment horizontal="center" vertical="center" wrapText="1"/>
    </xf>
    <xf numFmtId="0" fontId="2" fillId="0" borderId="79" applyFill="0">
      <alignment horizontal="center" vertical="center" wrapText="1"/>
    </xf>
    <xf numFmtId="0" fontId="2" fillId="0" borderId="31" applyFill="0">
      <alignment horizontal="center" vertical="center" wrapText="1"/>
    </xf>
    <xf numFmtId="0" fontId="2" fillId="0" borderId="79" applyFill="0">
      <alignment horizontal="center" vertical="center"/>
    </xf>
    <xf numFmtId="0" fontId="6" fillId="11" borderId="84">
      <alignment horizontal="center" vertical="center" wrapText="1"/>
    </xf>
    <xf numFmtId="0" fontId="6" fillId="11" borderId="80">
      <alignment horizontal="center" vertical="center" textRotation="90" wrapText="1"/>
    </xf>
    <xf numFmtId="0" fontId="6" fillId="11" borderId="85">
      <alignment horizontal="center" vertical="center" wrapText="1"/>
    </xf>
    <xf numFmtId="0" fontId="6" fillId="11" borderId="86">
      <alignment horizontal="center" vertical="center" wrapText="1"/>
    </xf>
    <xf numFmtId="0" fontId="6" fillId="11" borderId="86">
      <alignment horizontal="center" vertical="center" textRotation="90" wrapText="1"/>
    </xf>
    <xf numFmtId="3" fontId="2" fillId="0" borderId="19" applyFill="0">
      <alignment horizontal="center" vertical="center"/>
    </xf>
    <xf numFmtId="4" fontId="2" fillId="0" borderId="19" applyFill="0">
      <alignment horizontal="center" vertical="center"/>
    </xf>
    <xf numFmtId="0" fontId="8" fillId="34" borderId="19">
      <alignment horizontal="left" vertical="center"/>
    </xf>
    <xf numFmtId="0" fontId="2" fillId="34" borderId="19">
      <alignment vertical="center"/>
    </xf>
    <xf numFmtId="1" fontId="2" fillId="0" borderId="19" applyFill="0">
      <alignment horizontal="center" vertical="center" wrapText="1"/>
    </xf>
    <xf numFmtId="167" fontId="2" fillId="12" borderId="19">
      <alignment horizontal="right" vertical="center" wrapText="1"/>
    </xf>
    <xf numFmtId="0" fontId="2" fillId="0" borderId="2" applyFill="0">
      <alignment horizontal="left" vertical="center" wrapText="1"/>
    </xf>
    <xf numFmtId="0" fontId="2" fillId="0" borderId="3" applyFill="0">
      <alignment horizontal="left" vertical="center" wrapText="1"/>
    </xf>
    <xf numFmtId="2" fontId="2" fillId="12" borderId="19">
      <alignment horizontal="right" vertical="center" wrapText="1"/>
    </xf>
    <xf numFmtId="0" fontId="2" fillId="0" borderId="19" quotePrefix="1" applyFill="0">
      <alignment horizontal="center" vertical="center" wrapText="1"/>
    </xf>
    <xf numFmtId="2" fontId="2" fillId="0" borderId="19" applyFill="0">
      <alignment vertical="top"/>
    </xf>
    <xf numFmtId="0" fontId="2" fillId="0" borderId="19" applyFill="0">
      <alignment vertical="top"/>
    </xf>
    <xf numFmtId="1" fontId="2" fillId="0" borderId="19" applyFill="0">
      <alignment vertical="top"/>
    </xf>
    <xf numFmtId="0" fontId="2" fillId="0" borderId="19" applyFill="0">
      <alignment horizontal="center"/>
    </xf>
    <xf numFmtId="4" fontId="2" fillId="0" borderId="19" applyFill="0">
      <alignment vertical="top"/>
    </xf>
    <xf numFmtId="164" fontId="2" fillId="12" borderId="19">
      <alignment horizontal="right" vertical="center" wrapText="1"/>
    </xf>
    <xf numFmtId="0" fontId="2" fillId="11" borderId="87">
      <alignment horizontal="center" vertical="center" wrapText="1"/>
    </xf>
    <xf numFmtId="0" fontId="2" fillId="11" borderId="87">
      <alignment horizontal="left" vertical="center" wrapText="1"/>
    </xf>
    <xf numFmtId="2" fontId="2" fillId="12" borderId="19">
      <alignment horizontal="right" vertical="center"/>
    </xf>
    <xf numFmtId="16" fontId="2" fillId="0" borderId="19" quotePrefix="1" applyFill="0">
      <alignment horizontal="center" vertical="center"/>
    </xf>
    <xf numFmtId="0" fontId="2" fillId="0" borderId="19" applyFill="0">
      <alignment horizontal="right" vertical="center"/>
    </xf>
    <xf numFmtId="3" fontId="2" fillId="0" borderId="0" applyFill="0" applyBorder="0">
      <alignment vertical="top"/>
    </xf>
    <xf numFmtId="0" fontId="2" fillId="0" borderId="79" applyFill="0">
      <alignment vertical="top"/>
    </xf>
    <xf numFmtId="0" fontId="2" fillId="11" borderId="87">
      <alignment horizontal="left" vertical="center" wrapText="1" indent="1"/>
    </xf>
    <xf numFmtId="0" fontId="2" fillId="0" borderId="23" quotePrefix="1" applyFill="0">
      <alignment horizontal="center" vertical="center" wrapText="1"/>
    </xf>
    <xf numFmtId="17" fontId="2" fillId="0" borderId="19" quotePrefix="1" applyFill="0">
      <alignment horizontal="center" vertical="center" wrapText="1"/>
    </xf>
    <xf numFmtId="0" fontId="2" fillId="0" borderId="18" quotePrefix="1" applyFill="0">
      <alignment horizontal="center" vertical="center" wrapText="1"/>
    </xf>
    <xf numFmtId="16" fontId="2" fillId="0" borderId="19" quotePrefix="1" applyFill="0">
      <alignment horizontal="center" vertical="center" wrapText="1"/>
    </xf>
    <xf numFmtId="16" fontId="2" fillId="0" borderId="23" quotePrefix="1" applyFill="0">
      <alignment horizontal="center" vertical="center" wrapText="1"/>
    </xf>
    <xf numFmtId="16" fontId="2" fillId="0" borderId="18" quotePrefix="1" applyFill="0">
      <alignment horizontal="center" vertical="center" wrapText="1"/>
    </xf>
    <xf numFmtId="0" fontId="2" fillId="11" borderId="87">
      <alignment horizontal="left" vertical="center" wrapText="1" indent="2"/>
    </xf>
    <xf numFmtId="0" fontId="2" fillId="34" borderId="19">
      <alignment vertical="top"/>
    </xf>
    <xf numFmtId="164" fontId="2" fillId="12" borderId="19">
      <alignment horizontal="center" vertical="center"/>
    </xf>
    <xf numFmtId="17" fontId="2" fillId="0" borderId="19" applyFill="0">
      <alignment horizontal="center" vertical="center" wrapText="1"/>
    </xf>
    <xf numFmtId="0" fontId="8" fillId="34" borderId="2">
      <alignment horizontal="left" vertical="center" wrapText="1"/>
    </xf>
    <xf numFmtId="0" fontId="8" fillId="34" borderId="1">
      <alignment horizontal="left" vertical="center" wrapText="1"/>
    </xf>
    <xf numFmtId="0" fontId="8" fillId="34" borderId="3">
      <alignment horizontal="left" vertical="center" wrapText="1"/>
    </xf>
    <xf numFmtId="0" fontId="2" fillId="0" borderId="19" applyFill="0">
      <alignment horizontal="center" wrapText="1"/>
    </xf>
    <xf numFmtId="17" fontId="2" fillId="0" borderId="19" applyFill="0">
      <alignment horizontal="center" wrapText="1"/>
    </xf>
    <xf numFmtId="0" fontId="2" fillId="0" borderId="18" applyFill="0">
      <alignment horizontal="left" vertical="center" wrapText="1"/>
    </xf>
    <xf numFmtId="0" fontId="2" fillId="0" borderId="56" applyFill="0">
      <alignment horizontal="center" vertical="center" wrapText="1"/>
    </xf>
    <xf numFmtId="0" fontId="2" fillId="0" borderId="25" quotePrefix="1" applyFill="0">
      <alignment horizontal="center" vertical="center" wrapText="1"/>
    </xf>
    <xf numFmtId="0" fontId="2" fillId="0" borderId="55" quotePrefix="1" applyFill="0">
      <alignment horizontal="center" vertical="center" wrapText="1"/>
    </xf>
    <xf numFmtId="0" fontId="2" fillId="0" borderId="17" applyFill="0">
      <alignment horizontal="center" vertical="center" wrapText="1"/>
    </xf>
    <xf numFmtId="0" fontId="2" fillId="0" borderId="31" quotePrefix="1" applyFill="0">
      <alignment horizontal="center" vertical="center" wrapText="1"/>
    </xf>
    <xf numFmtId="0" fontId="2" fillId="0" borderId="22" quotePrefix="1" applyFill="0">
      <alignment horizontal="center" vertical="center" wrapText="1"/>
    </xf>
    <xf numFmtId="0" fontId="2" fillId="0" borderId="3" applyFill="0">
      <alignment horizontal="center" vertical="center" wrapText="1"/>
    </xf>
    <xf numFmtId="0" fontId="2" fillId="0" borderId="2" quotePrefix="1" applyFill="0">
      <alignment horizontal="center" vertical="center" wrapText="1"/>
    </xf>
    <xf numFmtId="0" fontId="2" fillId="0" borderId="3" quotePrefix="1" applyFill="0">
      <alignment horizontal="center" vertical="center" wrapText="1"/>
    </xf>
    <xf numFmtId="0" fontId="2" fillId="0" borderId="55" applyFill="0">
      <alignment horizontal="left" vertical="center"/>
    </xf>
    <xf numFmtId="2" fontId="2" fillId="0" borderId="0" applyFill="0" applyBorder="0">
      <alignment vertical="top"/>
    </xf>
    <xf numFmtId="0" fontId="8" fillId="0" borderId="22" applyFill="0">
      <alignment horizontal="center" vertical="center" wrapText="1"/>
    </xf>
    <xf numFmtId="0" fontId="8" fillId="0" borderId="1" applyFill="0">
      <alignment horizontal="center" vertical="center" wrapText="1"/>
    </xf>
    <xf numFmtId="0" fontId="2" fillId="0" borderId="55" applyFill="0">
      <alignment horizontal="center" vertical="center" wrapText="1"/>
    </xf>
    <xf numFmtId="16" fontId="2" fillId="0" borderId="2" quotePrefix="1" applyFill="0">
      <alignment horizontal="center" vertical="center" wrapText="1"/>
    </xf>
    <xf numFmtId="16" fontId="2" fillId="0" borderId="1" applyFill="0">
      <alignment horizontal="center" vertical="center" wrapText="1"/>
    </xf>
    <xf numFmtId="16" fontId="2" fillId="0" borderId="3" applyFill="0">
      <alignment horizontal="center" vertical="center" wrapText="1"/>
    </xf>
    <xf numFmtId="4" fontId="2" fillId="0" borderId="0" applyFill="0" applyBorder="0">
      <alignment vertical="top"/>
    </xf>
    <xf numFmtId="2" fontId="2" fillId="0" borderId="2" quotePrefix="1" applyFill="0">
      <alignment horizontal="center" vertical="center" wrapText="1"/>
    </xf>
    <xf numFmtId="2" fontId="2" fillId="0" borderId="1" applyFill="0">
      <alignment horizontal="center" vertical="center" wrapText="1"/>
    </xf>
    <xf numFmtId="2" fontId="2" fillId="0" borderId="3" applyFill="0">
      <alignment horizontal="center" vertical="center" wrapText="1"/>
    </xf>
    <xf numFmtId="4" fontId="2" fillId="0" borderId="2" quotePrefix="1" applyFill="0">
      <alignment horizontal="center" vertical="center" wrapText="1"/>
    </xf>
    <xf numFmtId="4" fontId="2" fillId="0" borderId="1" applyFill="0">
      <alignment horizontal="center" vertical="center" wrapText="1"/>
    </xf>
    <xf numFmtId="4" fontId="2" fillId="0" borderId="3" applyFill="0">
      <alignment horizontal="center" vertical="center" wrapText="1"/>
    </xf>
    <xf numFmtId="4" fontId="2" fillId="11" borderId="19">
      <alignment horizontal="center" vertical="center"/>
    </xf>
    <xf numFmtId="0" fontId="43" fillId="11" borderId="0" applyBorder="0">
      <alignment vertical="top"/>
    </xf>
    <xf numFmtId="1" fontId="2" fillId="11" borderId="19">
      <alignment horizontal="center" vertical="center" wrapText="1"/>
    </xf>
    <xf numFmtId="49" fontId="2" fillId="11" borderId="19">
      <alignment horizontal="center" vertical="center" wrapText="1"/>
    </xf>
    <xf numFmtId="0" fontId="2" fillId="11" borderId="79">
      <alignment horizontal="center" vertical="center" wrapText="1"/>
    </xf>
    <xf numFmtId="0" fontId="2" fillId="11" borderId="19">
      <alignment vertical="top"/>
    </xf>
    <xf numFmtId="2" fontId="2" fillId="0" borderId="19" applyFill="0">
      <alignment horizontal="center"/>
    </xf>
    <xf numFmtId="164" fontId="2" fillId="11" borderId="19">
      <alignment horizontal="right" vertical="center" wrapText="1"/>
    </xf>
    <xf numFmtId="0" fontId="2" fillId="11" borderId="19">
      <alignment horizontal="left" vertical="center" wrapText="1"/>
    </xf>
    <xf numFmtId="2" fontId="2" fillId="0" borderId="19" applyFill="0">
      <alignment horizontal="center" vertical="center"/>
    </xf>
    <xf numFmtId="0" fontId="2" fillId="11" borderId="18">
      <alignment horizontal="center" vertical="center" wrapText="1"/>
    </xf>
    <xf numFmtId="0" fontId="2" fillId="11" borderId="0" applyBorder="0">
      <alignment vertical="center"/>
    </xf>
    <xf numFmtId="1" fontId="2" fillId="0" borderId="19" applyFill="0">
      <alignment wrapText="1"/>
    </xf>
    <xf numFmtId="16" fontId="2" fillId="0" borderId="25" quotePrefix="1" applyFill="0">
      <alignment horizontal="center" vertical="center" wrapText="1"/>
    </xf>
    <xf numFmtId="16" fontId="2" fillId="0" borderId="55" quotePrefix="1" applyFill="0">
      <alignment horizontal="center" vertical="center" wrapText="1"/>
    </xf>
    <xf numFmtId="16" fontId="2" fillId="0" borderId="56" quotePrefix="1" applyFill="0">
      <alignment horizontal="center" vertical="center" wrapText="1"/>
    </xf>
    <xf numFmtId="16" fontId="2" fillId="0" borderId="31" quotePrefix="1" applyFill="0">
      <alignment horizontal="center" vertical="center" wrapText="1"/>
    </xf>
    <xf numFmtId="16" fontId="2" fillId="0" borderId="22" quotePrefix="1" applyFill="0">
      <alignment horizontal="center" vertical="center" wrapText="1"/>
    </xf>
    <xf numFmtId="16" fontId="2" fillId="0" borderId="17" quotePrefix="1" applyFill="0">
      <alignment horizontal="center" vertical="center" wrapText="1"/>
    </xf>
    <xf numFmtId="4" fontId="2" fillId="0" borderId="0" applyFill="0" applyBorder="0">
      <alignment vertical="center"/>
    </xf>
    <xf numFmtId="4" fontId="2" fillId="0" borderId="0" applyFill="0" applyBorder="0">
      <alignment horizontal="right" vertical="center"/>
    </xf>
    <xf numFmtId="16" fontId="2" fillId="0" borderId="55" applyFill="0">
      <alignment horizontal="center" vertical="center" wrapText="1"/>
    </xf>
    <xf numFmtId="16" fontId="2" fillId="0" borderId="56" applyFill="0">
      <alignment horizontal="center" vertical="center" wrapText="1"/>
    </xf>
    <xf numFmtId="0" fontId="2" fillId="0" borderId="55" applyFill="0">
      <alignment horizontal="left" vertical="center" wrapText="1"/>
    </xf>
    <xf numFmtId="0" fontId="2" fillId="11" borderId="1">
      <alignment horizontal="center" vertical="center" wrapText="1"/>
    </xf>
    <xf numFmtId="0" fontId="9" fillId="0" borderId="19" applyFill="0">
      <alignment horizontal="center" vertical="center" wrapText="1"/>
    </xf>
    <xf numFmtId="1" fontId="2" fillId="0" borderId="3" applyFill="0">
      <alignment wrapText="1"/>
    </xf>
    <xf numFmtId="0" fontId="8" fillId="34" borderId="1">
      <alignment horizontal="center" wrapText="1"/>
    </xf>
    <xf numFmtId="0" fontId="8" fillId="0" borderId="0" applyFill="0" applyBorder="0">
      <alignment horizontal="center" vertical="center" wrapText="1"/>
    </xf>
    <xf numFmtId="0" fontId="2" fillId="0" borderId="0" applyFill="0" applyBorder="0">
      <alignment horizontal="left" vertical="center" wrapText="1"/>
    </xf>
    <xf numFmtId="3" fontId="2" fillId="0" borderId="2" quotePrefix="1" applyFill="0">
      <alignment horizontal="center" vertical="center" wrapText="1"/>
    </xf>
    <xf numFmtId="3" fontId="2" fillId="0" borderId="1" applyFill="0">
      <alignment horizontal="center" vertical="center" wrapText="1"/>
    </xf>
    <xf numFmtId="3" fontId="2" fillId="0" borderId="3" applyFill="0">
      <alignment horizontal="center" vertical="center" wrapText="1"/>
    </xf>
    <xf numFmtId="49" fontId="2" fillId="0" borderId="2" quotePrefix="1" applyFill="0">
      <alignment horizontal="center" vertical="center" wrapText="1"/>
    </xf>
    <xf numFmtId="49" fontId="2" fillId="0" borderId="1" applyFill="0">
      <alignment horizontal="center" vertical="center" wrapText="1"/>
    </xf>
    <xf numFmtId="49" fontId="2" fillId="0" borderId="3" applyFill="0">
      <alignment horizontal="center" vertical="center" wrapText="1"/>
    </xf>
    <xf numFmtId="16" fontId="2" fillId="0" borderId="2" quotePrefix="1" applyFill="0">
      <alignment horizontal="left" vertical="center" wrapText="1"/>
    </xf>
    <xf numFmtId="16" fontId="2" fillId="0" borderId="1" quotePrefix="1" applyFill="0">
      <alignment horizontal="left" vertical="center" wrapText="1"/>
    </xf>
    <xf numFmtId="16" fontId="2" fillId="0" borderId="3" quotePrefix="1" applyFill="0">
      <alignment horizontal="left" vertical="center" wrapText="1"/>
    </xf>
    <xf numFmtId="16" fontId="2" fillId="0" borderId="2" applyFill="0">
      <alignment horizontal="center" vertical="center" wrapText="1"/>
    </xf>
    <xf numFmtId="0" fontId="44" fillId="0" borderId="0" applyFill="0" applyBorder="0">
      <alignment horizontal="center" vertical="center" wrapText="1"/>
    </xf>
    <xf numFmtId="0" fontId="2" fillId="11" borderId="19">
      <alignment horizontal="left" vertical="center"/>
    </xf>
    <xf numFmtId="4" fontId="2" fillId="0" borderId="0" applyFill="0" applyBorder="0"/>
    <xf numFmtId="0" fontId="2" fillId="0" borderId="55" applyFill="0">
      <alignment horizontal="left" wrapText="1"/>
    </xf>
    <xf numFmtId="0" fontId="45" fillId="0" borderId="19" applyFill="0">
      <alignment vertical="center" wrapText="1"/>
    </xf>
    <xf numFmtId="0" fontId="2" fillId="0" borderId="3" applyFill="0"/>
    <xf numFmtId="0" fontId="45" fillId="0" borderId="19" applyFill="0">
      <alignment horizontal="left" vertical="center" wrapText="1"/>
    </xf>
    <xf numFmtId="0" fontId="45" fillId="0" borderId="23" applyFill="0">
      <alignment horizontal="left" vertical="center" wrapText="1"/>
    </xf>
    <xf numFmtId="0" fontId="45" fillId="0" borderId="18" applyFill="0">
      <alignment horizontal="left" vertical="center" wrapText="1"/>
    </xf>
    <xf numFmtId="0" fontId="2" fillId="0" borderId="25" applyFill="0">
      <alignment horizontal="left" vertical="center" wrapText="1"/>
    </xf>
    <xf numFmtId="0" fontId="2" fillId="0" borderId="31" applyFill="0">
      <alignment horizontal="left" vertical="center" wrapText="1"/>
    </xf>
    <xf numFmtId="0" fontId="2" fillId="0" borderId="22" applyFill="0">
      <alignment horizontal="left" vertical="center" wrapText="1"/>
    </xf>
    <xf numFmtId="0" fontId="2" fillId="0" borderId="17" applyFill="0">
      <alignment horizontal="left" vertical="center" wrapText="1"/>
    </xf>
    <xf numFmtId="0" fontId="2" fillId="0" borderId="57" applyFill="0">
      <alignment horizontal="left" vertical="center" wrapText="1"/>
    </xf>
    <xf numFmtId="0" fontId="2" fillId="0" borderId="78" applyFill="0">
      <alignment horizontal="left" vertical="center" wrapText="1"/>
    </xf>
    <xf numFmtId="4" fontId="2" fillId="0" borderId="19" applyFill="0">
      <alignment horizontal="center" vertical="center" wrapText="1"/>
    </xf>
    <xf numFmtId="4" fontId="2" fillId="0" borderId="2" applyFill="0">
      <alignment horizontal="center" vertical="center" wrapText="1"/>
    </xf>
    <xf numFmtId="0" fontId="2" fillId="0" borderId="0" applyFill="0" applyBorder="0">
      <alignment horizontal="center"/>
    </xf>
    <xf numFmtId="0" fontId="3" fillId="0" borderId="0" applyFill="0" applyBorder="0">
      <alignment horizontal="center"/>
    </xf>
    <xf numFmtId="0" fontId="2" fillId="0" borderId="0" applyFill="0" applyBorder="0">
      <alignment horizontal="right"/>
    </xf>
    <xf numFmtId="0" fontId="2" fillId="0" borderId="22" applyFill="0"/>
    <xf numFmtId="0" fontId="2" fillId="14" borderId="2">
      <alignment horizontal="center" vertical="center" wrapText="1"/>
    </xf>
    <xf numFmtId="0" fontId="2" fillId="14" borderId="1">
      <alignment horizontal="center" vertical="center" wrapText="1"/>
    </xf>
    <xf numFmtId="0" fontId="2" fillId="14" borderId="3">
      <alignment horizontal="center" vertical="center" wrapText="1"/>
    </xf>
    <xf numFmtId="0" fontId="2" fillId="0" borderId="57" applyFill="0"/>
    <xf numFmtId="0" fontId="2" fillId="14" borderId="19">
      <alignment horizontal="center" vertical="center" wrapText="1"/>
    </xf>
    <xf numFmtId="0" fontId="2" fillId="14" borderId="23">
      <alignment horizontal="center" vertical="center" wrapText="1"/>
    </xf>
    <xf numFmtId="0" fontId="2" fillId="14" borderId="19">
      <alignment horizontal="center" vertical="center"/>
    </xf>
    <xf numFmtId="0" fontId="2" fillId="0" borderId="9" applyFill="0">
      <alignment horizontal="left" vertical="center" wrapText="1"/>
    </xf>
    <xf numFmtId="3" fontId="2" fillId="0" borderId="9" applyFill="0">
      <alignment horizontal="right" vertical="center"/>
    </xf>
    <xf numFmtId="3" fontId="2" fillId="13" borderId="9">
      <alignment horizontal="right" vertical="center"/>
      <protection locked="0"/>
    </xf>
    <xf numFmtId="3" fontId="2" fillId="0" borderId="20" applyFill="0">
      <alignment horizontal="right" vertical="center"/>
    </xf>
    <xf numFmtId="3" fontId="2" fillId="13" borderId="4">
      <alignment horizontal="right" vertical="center"/>
      <protection locked="0"/>
    </xf>
    <xf numFmtId="3" fontId="2" fillId="13" borderId="7">
      <alignment horizontal="right" vertical="center"/>
      <protection locked="0"/>
    </xf>
    <xf numFmtId="167" fontId="2" fillId="0" borderId="15" applyFill="0">
      <alignment horizontal="right" vertical="center"/>
    </xf>
    <xf numFmtId="167" fontId="2" fillId="13" borderId="15">
      <alignment horizontal="right" vertical="center"/>
      <protection locked="0"/>
    </xf>
    <xf numFmtId="167" fontId="2" fillId="0" borderId="6" applyFill="0">
      <alignment horizontal="right" vertical="center"/>
    </xf>
    <xf numFmtId="167" fontId="2" fillId="0" borderId="19" applyFill="0">
      <alignment horizontal="right" vertical="center"/>
    </xf>
    <xf numFmtId="167" fontId="2" fillId="0" borderId="31" applyFill="0">
      <alignment horizontal="right" vertical="center"/>
    </xf>
    <xf numFmtId="0" fontId="2" fillId="0" borderId="2" applyFill="0">
      <alignment horizontal="left" vertical="center"/>
    </xf>
    <xf numFmtId="167" fontId="2" fillId="13" borderId="48">
      <alignment horizontal="right" vertical="center"/>
      <protection locked="0"/>
    </xf>
    <xf numFmtId="167" fontId="6" fillId="13" borderId="88">
      <alignment horizontal="right" vertical="center" wrapText="1"/>
      <protection locked="0"/>
    </xf>
    <xf numFmtId="167" fontId="2" fillId="0" borderId="2" applyFill="0">
      <alignment horizontal="right" vertical="center"/>
    </xf>
    <xf numFmtId="167" fontId="2" fillId="13" borderId="3">
      <alignment horizontal="right" vertical="center"/>
      <protection locked="0"/>
    </xf>
    <xf numFmtId="167" fontId="2" fillId="0" borderId="1" applyFill="0"/>
    <xf numFmtId="167" fontId="2" fillId="0" borderId="3" applyFill="0"/>
    <xf numFmtId="167" fontId="2" fillId="0" borderId="22" applyFill="0"/>
    <xf numFmtId="167" fontId="2" fillId="0" borderId="1" applyFill="0">
      <protection locked="0"/>
    </xf>
    <xf numFmtId="167" fontId="2" fillId="0" borderId="3" applyFill="0">
      <protection locked="0"/>
    </xf>
    <xf numFmtId="0" fontId="7" fillId="0" borderId="19" applyFill="0">
      <alignment horizontal="center" vertical="center"/>
    </xf>
    <xf numFmtId="49" fontId="7" fillId="0" borderId="18" applyFill="0">
      <alignment horizontal="left" vertical="center" wrapText="1" indent="1" shrinkToFit="1"/>
    </xf>
    <xf numFmtId="167" fontId="7" fillId="0" borderId="19" applyFill="0">
      <alignment horizontal="right" vertical="center"/>
    </xf>
    <xf numFmtId="167" fontId="7" fillId="0" borderId="19" applyFill="0">
      <alignment horizontal="right" vertical="center"/>
      <protection locked="0"/>
    </xf>
    <xf numFmtId="49" fontId="7" fillId="23" borderId="2">
      <alignment horizontal="left" vertical="center" indent="1"/>
    </xf>
    <xf numFmtId="4" fontId="7" fillId="0" borderId="1" applyFill="0">
      <alignment horizontal="right" vertical="center"/>
    </xf>
    <xf numFmtId="4" fontId="7" fillId="23" borderId="1">
      <alignment horizontal="right" vertical="center"/>
    </xf>
    <xf numFmtId="4" fontId="7" fillId="23" borderId="1">
      <alignment horizontal="right" vertical="center"/>
      <protection locked="0"/>
    </xf>
    <xf numFmtId="4" fontId="7" fillId="23" borderId="3">
      <alignment horizontal="right" vertical="center"/>
      <protection locked="0"/>
    </xf>
    <xf numFmtId="49" fontId="7" fillId="0" borderId="19" applyFill="0">
      <alignment horizontal="left" vertical="center" wrapText="1" indent="1" shrinkToFit="1"/>
    </xf>
    <xf numFmtId="49" fontId="2" fillId="0" borderId="0" applyFill="0" applyBorder="0"/>
    <xf numFmtId="49" fontId="2" fillId="0" borderId="25" applyFill="0">
      <alignment horizontal="left" vertical="center" wrapText="1" shrinkToFit="1"/>
    </xf>
    <xf numFmtId="167" fontId="2" fillId="0" borderId="23" applyFill="0">
      <alignment horizontal="right" vertical="center"/>
    </xf>
    <xf numFmtId="0" fontId="6" fillId="13" borderId="15">
      <alignment horizontal="right" vertical="center" wrapText="1"/>
      <protection locked="0"/>
    </xf>
    <xf numFmtId="167" fontId="2" fillId="0" borderId="55" applyFill="0"/>
    <xf numFmtId="167" fontId="2" fillId="0" borderId="56" applyFill="0"/>
    <xf numFmtId="167" fontId="2" fillId="0" borderId="55" applyFill="0">
      <protection locked="0"/>
    </xf>
    <xf numFmtId="167" fontId="2" fillId="0" borderId="56" applyFill="0">
      <protection locked="0"/>
    </xf>
    <xf numFmtId="0" fontId="30" fillId="11" borderId="0" applyBorder="0"/>
    <xf numFmtId="0" fontId="2" fillId="0" borderId="55" applyFill="0"/>
    <xf numFmtId="0" fontId="46" fillId="0" borderId="55" applyFill="0">
      <alignment vertical="center" wrapText="1"/>
    </xf>
    <xf numFmtId="0" fontId="47" fillId="0" borderId="55" applyFill="0">
      <alignment horizontal="center" vertical="center" wrapText="1"/>
    </xf>
    <xf numFmtId="0" fontId="2" fillId="11" borderId="55"/>
    <xf numFmtId="171" fontId="2" fillId="11" borderId="55"/>
    <xf numFmtId="0" fontId="2" fillId="11" borderId="0" applyBorder="0"/>
    <xf numFmtId="4" fontId="2" fillId="0" borderId="55" applyFill="0">
      <alignment horizontal="center" vertical="center" wrapText="1"/>
    </xf>
    <xf numFmtId="0" fontId="30" fillId="0" borderId="0" applyFill="0" applyBorder="0">
      <alignment vertical="center"/>
    </xf>
    <xf numFmtId="0" fontId="4" fillId="19" borderId="9">
      <alignment horizontal="center" vertical="center"/>
    </xf>
    <xf numFmtId="0" fontId="26" fillId="40" borderId="9">
      <alignment horizontal="center" vertical="center" wrapText="1"/>
    </xf>
    <xf numFmtId="0" fontId="26" fillId="41" borderId="9">
      <alignment horizontal="center" vertical="center" wrapText="1"/>
    </xf>
    <xf numFmtId="0" fontId="2" fillId="0" borderId="0" applyFill="0" applyBorder="0">
      <alignment horizontal="right" vertical="center" wrapText="1"/>
    </xf>
    <xf numFmtId="0" fontId="2" fillId="0" borderId="0" applyFill="0" applyBorder="0">
      <alignment vertical="center" wrapText="1"/>
    </xf>
    <xf numFmtId="0" fontId="48" fillId="0" borderId="0" applyFill="0" applyBorder="0">
      <alignment vertical="top"/>
    </xf>
    <xf numFmtId="0" fontId="2" fillId="11" borderId="1">
      <alignment horizontal="left" vertical="center" wrapText="1" indent="1"/>
    </xf>
    <xf numFmtId="0" fontId="2" fillId="11" borderId="0" applyBorder="0">
      <alignment horizontal="left" vertical="center" wrapText="1" indent="1"/>
    </xf>
    <xf numFmtId="0" fontId="2" fillId="0" borderId="0" applyFill="0" applyBorder="0">
      <alignment horizontal="center" vertical="top" textRotation="90"/>
    </xf>
    <xf numFmtId="0" fontId="8" fillId="0" borderId="0" applyFill="0" applyBorder="0">
      <alignment horizontal="left" vertical="center" wrapText="1"/>
    </xf>
    <xf numFmtId="0" fontId="26" fillId="30" borderId="19">
      <alignment horizontal="center" vertical="center" wrapText="1"/>
    </xf>
    <xf numFmtId="0" fontId="2" fillId="30" borderId="19" quotePrefix="1">
      <alignment horizontal="center" vertical="center" wrapText="1"/>
    </xf>
    <xf numFmtId="0" fontId="2" fillId="11" borderId="19">
      <alignment horizontal="center" vertical="center" textRotation="90" wrapText="1"/>
    </xf>
    <xf numFmtId="0" fontId="2" fillId="30" borderId="63">
      <alignment horizontal="center" vertical="center" wrapText="1"/>
    </xf>
    <xf numFmtId="0" fontId="2" fillId="30" borderId="20">
      <alignment horizontal="center" vertical="center" wrapText="1"/>
    </xf>
    <xf numFmtId="0" fontId="2" fillId="11" borderId="89">
      <alignment horizontal="center" vertical="center" wrapText="1"/>
    </xf>
    <xf numFmtId="0" fontId="2" fillId="0" borderId="57" applyFill="0">
      <alignment vertical="center" wrapText="1"/>
    </xf>
    <xf numFmtId="0" fontId="2" fillId="0" borderId="19" applyFill="0">
      <alignment horizontal="center" vertical="center" textRotation="90" wrapText="1"/>
    </xf>
    <xf numFmtId="0" fontId="6" fillId="0" borderId="19" applyFill="0">
      <alignment horizontal="center" vertical="center" textRotation="90" wrapText="1"/>
    </xf>
    <xf numFmtId="0" fontId="6" fillId="0" borderId="19" applyFill="0">
      <alignment horizontal="center" vertical="center" wrapText="1"/>
    </xf>
    <xf numFmtId="0" fontId="2" fillId="30" borderId="0" applyBorder="0">
      <alignment horizontal="center" vertical="center" wrapText="1"/>
    </xf>
    <xf numFmtId="0" fontId="2" fillId="30" borderId="61">
      <alignment horizontal="center" vertical="center" wrapText="1"/>
    </xf>
    <xf numFmtId="0" fontId="2" fillId="11" borderId="90">
      <alignment horizontal="center" vertical="center" wrapText="1"/>
    </xf>
    <xf numFmtId="0" fontId="49" fillId="23" borderId="19">
      <alignment horizontal="center" vertical="center" textRotation="90" wrapText="1"/>
    </xf>
    <xf numFmtId="0" fontId="11" fillId="23" borderId="19">
      <alignment horizontal="center" vertical="center" textRotation="90" wrapText="1"/>
    </xf>
    <xf numFmtId="0" fontId="6" fillId="30" borderId="19">
      <alignment horizontal="center" vertical="center" wrapText="1"/>
    </xf>
    <xf numFmtId="49" fontId="26" fillId="0" borderId="22" applyFill="0">
      <alignment horizontal="center" vertical="center" wrapText="1"/>
    </xf>
    <xf numFmtId="49" fontId="2" fillId="30" borderId="22">
      <alignment horizontal="center" vertical="center" wrapText="1"/>
    </xf>
    <xf numFmtId="0" fontId="50" fillId="0" borderId="0" applyFill="0" applyBorder="0">
      <alignment horizontal="center" vertical="top" wrapText="1"/>
    </xf>
    <xf numFmtId="0" fontId="2" fillId="12" borderId="79">
      <alignment horizontal="center" vertical="center" wrapText="1"/>
    </xf>
    <xf numFmtId="0" fontId="2" fillId="12" borderId="62">
      <alignment horizontal="left" vertical="center" wrapText="1"/>
    </xf>
    <xf numFmtId="0" fontId="2" fillId="12" borderId="13">
      <alignment horizontal="left" vertical="center" wrapText="1"/>
    </xf>
    <xf numFmtId="0" fontId="2" fillId="30" borderId="15">
      <alignment horizontal="center" vertical="center" wrapText="1"/>
    </xf>
    <xf numFmtId="0" fontId="2" fillId="12" borderId="13">
      <alignment horizontal="left" vertical="center" wrapText="1" indent="1"/>
    </xf>
    <xf numFmtId="49" fontId="2" fillId="30" borderId="0" applyBorder="0">
      <alignment horizontal="center" vertical="center" wrapText="1"/>
    </xf>
    <xf numFmtId="49" fontId="2" fillId="12" borderId="15">
      <alignment horizontal="center" vertical="center" wrapText="1"/>
    </xf>
    <xf numFmtId="0" fontId="2" fillId="0" borderId="13" applyFill="0">
      <alignment horizontal="center" vertical="center" wrapText="1"/>
    </xf>
    <xf numFmtId="0" fontId="11" fillId="23" borderId="16">
      <alignment horizontal="left" vertical="center" indent="1"/>
    </xf>
    <xf numFmtId="0" fontId="26" fillId="23" borderId="64">
      <alignment horizontal="left" vertical="center" indent="1"/>
    </xf>
    <xf numFmtId="0" fontId="11" fillId="23" borderId="64">
      <alignment horizontal="left" vertical="center" indent="1"/>
    </xf>
    <xf numFmtId="0" fontId="11" fillId="23" borderId="91">
      <alignment horizontal="left" vertical="center" indent="1"/>
    </xf>
    <xf numFmtId="0" fontId="2" fillId="12" borderId="18">
      <alignment horizontal="center" vertical="center" wrapText="1"/>
    </xf>
    <xf numFmtId="0" fontId="2" fillId="12" borderId="52">
      <alignment horizontal="left" vertical="center" wrapText="1"/>
    </xf>
    <xf numFmtId="0" fontId="2" fillId="12" borderId="92">
      <alignment horizontal="left" vertical="center" wrapText="1"/>
    </xf>
    <xf numFmtId="0" fontId="2" fillId="30" borderId="65">
      <alignment horizontal="center" vertical="center" wrapText="1"/>
    </xf>
    <xf numFmtId="0" fontId="2" fillId="12" borderId="92">
      <alignment horizontal="left" vertical="center" wrapText="1" indent="1"/>
    </xf>
    <xf numFmtId="0" fontId="2" fillId="12" borderId="65">
      <alignment horizontal="center" vertical="center" wrapText="1"/>
    </xf>
    <xf numFmtId="0" fontId="11" fillId="23" borderId="93">
      <alignment horizontal="left" vertical="center" indent="1"/>
    </xf>
    <xf numFmtId="0" fontId="11" fillId="23" borderId="94">
      <alignment horizontal="left" vertical="center" indent="1"/>
    </xf>
    <xf numFmtId="0" fontId="41" fillId="0" borderId="0" applyFill="0" applyBorder="0">
      <alignment vertical="center" wrapText="1"/>
    </xf>
    <xf numFmtId="0" fontId="11" fillId="23" borderId="0" applyBorder="0">
      <alignment horizontal="left" vertical="center" indent="1"/>
    </xf>
    <xf numFmtId="0" fontId="11" fillId="23" borderId="48">
      <alignment horizontal="left" vertical="center" indent="1"/>
    </xf>
    <xf numFmtId="0" fontId="2" fillId="0" borderId="63" applyFill="0">
      <alignment vertical="center" wrapText="1"/>
    </xf>
    <xf numFmtId="0" fontId="2" fillId="0" borderId="63" applyFill="0">
      <alignment horizontal="left" vertical="center" wrapText="1"/>
    </xf>
    <xf numFmtId="0" fontId="11" fillId="23" borderId="1">
      <alignment horizontal="left" vertical="center" indent="1"/>
    </xf>
    <xf numFmtId="0" fontId="3" fillId="0" borderId="0" applyFill="0" applyBorder="0">
      <alignment horizontal="center" vertical="center" wrapText="1"/>
    </xf>
    <xf numFmtId="0" fontId="4" fillId="0" borderId="0" applyFill="0" applyBorder="0">
      <alignment vertical="center" wrapText="1"/>
    </xf>
    <xf numFmtId="0" fontId="4" fillId="42" borderId="0" applyBorder="0">
      <alignment vertical="center" wrapText="1"/>
    </xf>
    <xf numFmtId="0" fontId="7" fillId="0" borderId="0" applyFill="0" applyBorder="0">
      <alignment horizontal="center"/>
    </xf>
    <xf numFmtId="0" fontId="7" fillId="0" borderId="0" applyFill="0" applyBorder="0">
      <alignment vertical="center"/>
    </xf>
    <xf numFmtId="3" fontId="7" fillId="0" borderId="0" applyFill="0" applyBorder="0"/>
    <xf numFmtId="49" fontId="11" fillId="43" borderId="23">
      <alignment horizontal="center" vertical="center" textRotation="180"/>
    </xf>
    <xf numFmtId="49" fontId="11" fillId="43" borderId="79">
      <alignment horizontal="center" vertical="center" textRotation="180"/>
    </xf>
    <xf numFmtId="0" fontId="2" fillId="12" borderId="19">
      <alignment horizontal="center" vertical="center" wrapText="1"/>
    </xf>
    <xf numFmtId="0" fontId="2" fillId="0" borderId="1" applyFill="0">
      <alignment horizontal="center" vertical="center"/>
    </xf>
    <xf numFmtId="0" fontId="2" fillId="0" borderId="95" applyFill="0">
      <alignment horizontal="center" vertical="center"/>
    </xf>
    <xf numFmtId="0" fontId="2" fillId="0" borderId="95" applyFill="0">
      <alignment horizontal="center" vertical="center" wrapText="1"/>
    </xf>
    <xf numFmtId="0" fontId="6" fillId="17" borderId="0" applyBorder="0">
      <alignment vertical="top"/>
    </xf>
    <xf numFmtId="4" fontId="2" fillId="13" borderId="71">
      <alignment horizontal="right" vertical="center" wrapText="1"/>
      <protection locked="0"/>
    </xf>
    <xf numFmtId="4" fontId="2" fillId="12" borderId="71">
      <alignment horizontal="right" vertical="center" wrapText="1"/>
    </xf>
    <xf numFmtId="172" fontId="2" fillId="13" borderId="19">
      <alignment horizontal="right" vertical="center" wrapText="1"/>
      <protection locked="0"/>
    </xf>
    <xf numFmtId="49" fontId="11" fillId="43" borderId="79">
      <alignment horizontal="left" vertical="center" indent="1"/>
    </xf>
    <xf numFmtId="0" fontId="2" fillId="0" borderId="19" applyFill="0">
      <alignment horizontal="right"/>
    </xf>
    <xf numFmtId="173" fontId="2" fillId="12" borderId="19">
      <alignment horizontal="right" vertical="center" wrapText="1"/>
    </xf>
    <xf numFmtId="4" fontId="2" fillId="0" borderId="19" applyFill="0">
      <alignment horizontal="right"/>
    </xf>
    <xf numFmtId="49" fontId="11" fillId="43" borderId="2">
      <alignment horizontal="center" vertical="center"/>
    </xf>
    <xf numFmtId="0" fontId="11" fillId="43" borderId="96">
      <alignment horizontal="left" vertical="center" indent="1"/>
    </xf>
    <xf numFmtId="49" fontId="2" fillId="43" borderId="1">
      <alignment horizontal="center" vertical="center"/>
    </xf>
    <xf numFmtId="49" fontId="11" fillId="43" borderId="3">
      <alignment horizontal="center" vertical="center"/>
    </xf>
    <xf numFmtId="49" fontId="11" fillId="43" borderId="1">
      <alignment horizontal="center" vertical="center"/>
    </xf>
    <xf numFmtId="49" fontId="6" fillId="0" borderId="0" applyFill="0" applyBorder="0">
      <alignment vertical="top"/>
    </xf>
    <xf numFmtId="49" fontId="2" fillId="13" borderId="2">
      <alignment horizontal="center" vertical="center" wrapText="1"/>
      <protection locked="0"/>
    </xf>
    <xf numFmtId="0" fontId="2" fillId="0" borderId="1" applyFill="0">
      <alignment horizontal="left" vertical="center" wrapText="1"/>
    </xf>
    <xf numFmtId="0" fontId="3" fillId="0" borderId="3" applyFill="0">
      <alignment vertical="center" wrapText="1"/>
    </xf>
    <xf numFmtId="0" fontId="3" fillId="0" borderId="19" applyFill="0">
      <alignment vertical="center" wrapText="1"/>
    </xf>
    <xf numFmtId="49" fontId="11" fillId="43" borderId="19">
      <alignment horizontal="center" vertical="center"/>
    </xf>
    <xf numFmtId="0" fontId="51" fillId="0" borderId="0" applyFill="0" applyBorder="0"/>
    <xf numFmtId="49" fontId="4" fillId="0" borderId="0" applyFill="0" applyBorder="0">
      <alignment vertical="center"/>
    </xf>
    <xf numFmtId="0" fontId="2" fillId="0" borderId="22" applyFill="0">
      <alignment vertical="center"/>
    </xf>
    <xf numFmtId="0" fontId="4" fillId="0" borderId="0" applyFill="0" applyBorder="0">
      <alignment vertical="center"/>
    </xf>
    <xf numFmtId="2" fontId="2" fillId="17" borderId="0" applyBorder="0">
      <alignment horizontal="left" vertical="center"/>
    </xf>
    <xf numFmtId="0" fontId="6" fillId="0" borderId="0" applyFill="0" applyBorder="0">
      <alignment horizontal="center" vertical="top"/>
    </xf>
    <xf numFmtId="49" fontId="2" fillId="0" borderId="0" applyFill="0" applyBorder="0">
      <alignment horizontal="center" vertical="center"/>
    </xf>
    <xf numFmtId="49" fontId="2" fillId="0" borderId="0" applyFill="0" applyBorder="0">
      <alignment horizontal="center" vertical="center" wrapText="1"/>
    </xf>
    <xf numFmtId="0" fontId="6" fillId="0" borderId="19" applyFill="0">
      <alignment horizontal="center" vertical="center"/>
    </xf>
    <xf numFmtId="0" fontId="6" fillId="14" borderId="19">
      <alignment horizontal="center" vertical="center"/>
    </xf>
    <xf numFmtId="2" fontId="2" fillId="0" borderId="19" applyFill="0">
      <alignment horizontal="center" vertical="center" wrapText="1"/>
    </xf>
    <xf numFmtId="0" fontId="2" fillId="14" borderId="0" applyBorder="0">
      <alignment horizontal="center" vertical="center" wrapText="1"/>
    </xf>
    <xf numFmtId="0" fontId="7" fillId="15" borderId="24">
      <alignment horizontal="left" vertical="center" wrapText="1"/>
    </xf>
    <xf numFmtId="167" fontId="2" fillId="12" borderId="4">
      <alignment horizontal="right" vertical="center" wrapText="1"/>
    </xf>
    <xf numFmtId="49" fontId="2" fillId="13" borderId="4">
      <alignment horizontal="right" vertical="center" wrapText="1"/>
      <protection locked="0"/>
    </xf>
    <xf numFmtId="0" fontId="2" fillId="13" borderId="4">
      <alignment horizontal="right" vertical="center" wrapText="1"/>
      <protection locked="0"/>
    </xf>
    <xf numFmtId="167" fontId="2" fillId="0" borderId="4" applyFill="0">
      <alignment horizontal="right" vertical="center" wrapText="1"/>
    </xf>
    <xf numFmtId="49" fontId="2" fillId="0" borderId="25" applyFill="0">
      <alignment horizontal="center" vertical="center" wrapText="1"/>
    </xf>
    <xf numFmtId="0" fontId="2" fillId="0" borderId="56" applyFill="0">
      <alignment horizontal="left" vertical="center" wrapText="1" indent="1"/>
    </xf>
    <xf numFmtId="0" fontId="2" fillId="0" borderId="4" applyFill="0">
      <alignment horizontal="left" vertical="center" wrapText="1"/>
    </xf>
    <xf numFmtId="0" fontId="2" fillId="0" borderId="4" applyFill="0">
      <alignment horizontal="left" vertical="center" wrapText="1" indent="1"/>
    </xf>
    <xf numFmtId="49" fontId="2" fillId="0" borderId="13" applyFill="0">
      <alignment horizontal="center" vertical="center" wrapText="1"/>
    </xf>
    <xf numFmtId="0" fontId="2" fillId="0" borderId="13" applyFill="0">
      <alignment horizontal="left" vertical="center" wrapText="1"/>
    </xf>
    <xf numFmtId="167" fontId="2" fillId="0" borderId="13" applyFill="0">
      <alignment horizontal="right" vertical="center" wrapText="1"/>
    </xf>
    <xf numFmtId="167" fontId="2" fillId="0" borderId="13" applyFill="0"/>
    <xf numFmtId="167" fontId="2" fillId="0" borderId="61" applyFill="0"/>
    <xf numFmtId="0" fontId="2" fillId="0" borderId="61" applyFill="0"/>
    <xf numFmtId="49" fontId="11" fillId="23" borderId="25">
      <alignment horizontal="center" vertical="center"/>
    </xf>
    <xf numFmtId="0" fontId="11" fillId="23" borderId="55">
      <alignment horizontal="left" vertical="center" indent="1"/>
    </xf>
    <xf numFmtId="49" fontId="11" fillId="23" borderId="55">
      <alignment horizontal="center" vertical="center"/>
    </xf>
    <xf numFmtId="167" fontId="11" fillId="23" borderId="55">
      <alignment horizontal="center" vertical="center"/>
    </xf>
    <xf numFmtId="49" fontId="2" fillId="0" borderId="4" quotePrefix="1" applyFill="0">
      <alignment horizontal="center" vertical="center" wrapText="1"/>
    </xf>
    <xf numFmtId="0" fontId="7" fillId="0" borderId="13" applyFill="0">
      <alignment horizontal="left" vertical="center" wrapText="1"/>
    </xf>
    <xf numFmtId="0" fontId="7" fillId="0" borderId="8" applyFill="0">
      <alignment horizontal="center" vertical="center" wrapText="1"/>
    </xf>
    <xf numFmtId="0" fontId="7" fillId="0" borderId="13" applyFill="0">
      <alignment horizontal="center" vertical="center" wrapText="1"/>
    </xf>
    <xf numFmtId="167" fontId="7" fillId="0" borderId="13" applyFill="0">
      <alignment horizontal="right" vertical="center" wrapText="1"/>
    </xf>
    <xf numFmtId="167" fontId="7" fillId="0" borderId="13" applyFill="0"/>
    <xf numFmtId="167" fontId="7" fillId="0" borderId="61" applyFill="0"/>
    <xf numFmtId="0" fontId="7" fillId="0" borderId="61" applyFill="0"/>
    <xf numFmtId="0" fontId="2" fillId="0" borderId="4" applyFill="0">
      <alignment horizontal="left" vertical="center" wrapText="1" indent="2"/>
    </xf>
    <xf numFmtId="167" fontId="2" fillId="13" borderId="26">
      <alignment horizontal="right" vertical="center" wrapText="1"/>
      <protection locked="0"/>
    </xf>
    <xf numFmtId="167" fontId="2" fillId="13" borderId="4">
      <alignment horizontal="right" vertical="center" wrapText="1"/>
      <protection locked="0"/>
    </xf>
    <xf numFmtId="167" fontId="2" fillId="13" borderId="74">
      <alignment horizontal="right" vertical="center" wrapText="1"/>
      <protection locked="0"/>
    </xf>
    <xf numFmtId="0" fontId="7" fillId="0" borderId="8" applyFill="0">
      <alignment horizontal="left" vertical="center" wrapText="1"/>
    </xf>
    <xf numFmtId="167" fontId="7" fillId="0" borderId="13" applyFill="0">
      <alignment horizontal="left" vertical="center" wrapText="1"/>
    </xf>
    <xf numFmtId="167" fontId="7" fillId="0" borderId="61" applyFill="0">
      <alignment horizontal="left" vertical="center" wrapText="1"/>
    </xf>
    <xf numFmtId="0" fontId="2" fillId="0" borderId="61" applyFill="0">
      <alignment horizontal="center" vertical="center" wrapText="1"/>
    </xf>
    <xf numFmtId="167" fontId="11" fillId="23" borderId="1">
      <alignment horizontal="center" vertical="center"/>
    </xf>
    <xf numFmtId="0" fontId="8" fillId="0" borderId="97" applyFill="0">
      <alignment horizontal="left" vertical="center" indent="1"/>
    </xf>
    <xf numFmtId="0" fontId="8" fillId="0" borderId="97" applyFill="0">
      <alignment horizontal="left" vertical="center" wrapText="1" indent="1"/>
    </xf>
    <xf numFmtId="0" fontId="2" fillId="0" borderId="27" applyFill="0">
      <alignment vertical="center"/>
    </xf>
    <xf numFmtId="49" fontId="2" fillId="17" borderId="19">
      <alignment horizontal="center" vertical="center" wrapText="1"/>
    </xf>
    <xf numFmtId="0" fontId="6" fillId="0" borderId="23" applyFill="0">
      <alignment horizontal="center" vertical="center" wrapText="1"/>
    </xf>
    <xf numFmtId="0" fontId="6" fillId="34" borderId="23">
      <alignment horizontal="center" vertical="center" wrapText="1"/>
    </xf>
    <xf numFmtId="0" fontId="2" fillId="34" borderId="2">
      <alignment horizontal="center" vertical="center" wrapText="1"/>
    </xf>
    <xf numFmtId="0" fontId="2" fillId="34" borderId="1">
      <alignment horizontal="center" vertical="center" wrapText="1"/>
    </xf>
    <xf numFmtId="0" fontId="2" fillId="34" borderId="3">
      <alignment horizontal="center" vertical="center" wrapText="1"/>
    </xf>
    <xf numFmtId="0" fontId="2" fillId="17" borderId="4">
      <alignment horizontal="center" vertical="center" wrapText="1"/>
    </xf>
    <xf numFmtId="0" fontId="8" fillId="0" borderId="4" applyFill="0">
      <alignment horizontal="center" vertical="center"/>
    </xf>
    <xf numFmtId="0" fontId="8" fillId="0" borderId="4" applyFill="0">
      <alignment horizontal="center" vertical="center" wrapText="1"/>
    </xf>
    <xf numFmtId="0" fontId="7" fillId="15" borderId="4">
      <alignment horizontal="left" vertical="center" wrapText="1"/>
    </xf>
    <xf numFmtId="0" fontId="7" fillId="15" borderId="4">
      <alignment horizontal="left" vertical="center"/>
    </xf>
    <xf numFmtId="0" fontId="8" fillId="0" borderId="19" applyFill="0">
      <alignment horizontal="left" vertical="center" wrapText="1"/>
    </xf>
    <xf numFmtId="0" fontId="8" fillId="0" borderId="19" applyFill="0">
      <alignment horizontal="left" vertical="center" wrapText="1" indent="1"/>
    </xf>
    <xf numFmtId="0" fontId="8" fillId="0" borderId="23" applyFill="0">
      <alignment horizontal="left" vertical="center" wrapText="1" indent="2"/>
    </xf>
    <xf numFmtId="0" fontId="2" fillId="0" borderId="4" applyFill="0">
      <alignment horizontal="left" vertical="center" indent="3"/>
    </xf>
    <xf numFmtId="0" fontId="2" fillId="0" borderId="4" applyFill="0">
      <alignment horizontal="left" vertical="center" wrapText="1" indent="3"/>
    </xf>
    <xf numFmtId="0" fontId="2" fillId="0" borderId="4" applyFill="0">
      <alignment horizontal="left" vertical="center" indent="4"/>
    </xf>
    <xf numFmtId="0" fontId="2" fillId="0" borderId="4" applyFill="0">
      <alignment horizontal="left" vertical="center" wrapText="1" indent="4"/>
    </xf>
    <xf numFmtId="0" fontId="2" fillId="0" borderId="4" applyFill="0">
      <alignment horizontal="left" vertical="center" wrapText="1" indent="5"/>
    </xf>
    <xf numFmtId="0" fontId="8" fillId="0" borderId="4" applyFill="0">
      <alignment horizontal="left" vertical="center" wrapText="1" indent="2"/>
    </xf>
    <xf numFmtId="0" fontId="8" fillId="0" borderId="4" applyFill="0">
      <alignment horizontal="left" vertical="center" indent="1"/>
    </xf>
    <xf numFmtId="2" fontId="8" fillId="0" borderId="4" applyFill="0">
      <alignment horizontal="left" vertical="center" wrapText="1" indent="1"/>
    </xf>
    <xf numFmtId="0" fontId="8" fillId="0" borderId="4" applyFill="0">
      <alignment horizontal="left" vertical="center" wrapText="1" indent="1"/>
    </xf>
    <xf numFmtId="0" fontId="8" fillId="0" borderId="4" applyFill="0">
      <alignment horizontal="left" vertical="center" indent="2"/>
    </xf>
    <xf numFmtId="0" fontId="2" fillId="17" borderId="3">
      <alignment horizontal="center" vertical="center" wrapText="1"/>
    </xf>
    <xf numFmtId="0" fontId="2" fillId="0" borderId="4" applyFill="0">
      <alignment horizontal="left" vertical="center" indent="2"/>
    </xf>
    <xf numFmtId="0" fontId="8" fillId="0" borderId="18" applyFill="0">
      <alignment horizontal="left" vertical="center" wrapText="1" indent="1"/>
    </xf>
    <xf numFmtId="4" fontId="52" fillId="12" borderId="19">
      <alignment horizontal="right" vertical="center" wrapText="1"/>
    </xf>
    <xf numFmtId="0" fontId="27" fillId="0" borderId="0" applyFill="0" applyBorder="0">
      <alignment horizontal="left" vertical="center" indent="3"/>
    </xf>
    <xf numFmtId="0" fontId="2" fillId="0" borderId="0" applyFill="0" applyBorder="0">
      <alignment horizontal="center" vertical="top" wrapText="1"/>
    </xf>
    <xf numFmtId="167" fontId="2" fillId="13" borderId="19">
      <alignment horizontal="right" vertical="center" wrapText="1"/>
      <protection locked="0"/>
    </xf>
    <xf numFmtId="4" fontId="2" fillId="12" borderId="2">
      <alignment vertical="center" wrapText="1"/>
    </xf>
    <xf numFmtId="0" fontId="4" fillId="0" borderId="57" applyFill="0">
      <alignment horizontal="left" vertical="center" wrapText="1"/>
    </xf>
    <xf numFmtId="0" fontId="6" fillId="0" borderId="0" applyFill="0" applyBorder="0">
      <alignment horizontal="left" vertical="center" indent="3"/>
    </xf>
    <xf numFmtId="166" fontId="2" fillId="12" borderId="2">
      <alignment vertical="center" wrapText="1"/>
    </xf>
    <xf numFmtId="0" fontId="26" fillId="0" borderId="22" applyFill="0">
      <alignment vertical="center" wrapText="1"/>
    </xf>
    <xf numFmtId="0" fontId="2" fillId="0" borderId="22" applyFill="0">
      <alignment vertical="center" wrapText="1"/>
    </xf>
    <xf numFmtId="0" fontId="2" fillId="14" borderId="25">
      <alignment horizontal="center" vertical="center" wrapText="1"/>
    </xf>
    <xf numFmtId="0" fontId="2" fillId="14" borderId="55">
      <alignment horizontal="center" vertical="center" wrapText="1"/>
    </xf>
    <xf numFmtId="0" fontId="2" fillId="14" borderId="56">
      <alignment horizontal="center" vertical="center" wrapText="1"/>
    </xf>
    <xf numFmtId="2" fontId="2" fillId="0" borderId="23" applyFill="0">
      <alignment horizontal="center" vertical="center" wrapText="1"/>
    </xf>
    <xf numFmtId="2" fontId="2" fillId="0" borderId="18" applyFill="0">
      <alignment horizontal="center" vertical="center" wrapText="1"/>
    </xf>
    <xf numFmtId="0" fontId="2" fillId="14" borderId="18">
      <alignment horizontal="center" vertical="center" wrapText="1"/>
    </xf>
    <xf numFmtId="0" fontId="2" fillId="14" borderId="31">
      <alignment horizontal="center" vertical="center" wrapText="1"/>
    </xf>
    <xf numFmtId="4" fontId="2" fillId="0" borderId="19" applyFill="0">
      <alignment horizontal="right" vertical="center" wrapText="1"/>
    </xf>
    <xf numFmtId="4" fontId="2" fillId="3" borderId="19">
      <alignment horizontal="right" vertical="center" wrapText="1"/>
    </xf>
    <xf numFmtId="0" fontId="2" fillId="14" borderId="19">
      <alignment horizontal="left" vertical="center" wrapText="1"/>
    </xf>
    <xf numFmtId="49" fontId="2" fillId="13" borderId="19">
      <alignment horizontal="right" vertical="center" wrapText="1"/>
      <protection locked="0"/>
    </xf>
    <xf numFmtId="167" fontId="2" fillId="20" borderId="19">
      <alignment horizontal="right" vertical="center" wrapText="1"/>
      <protection locked="0"/>
    </xf>
    <xf numFmtId="49" fontId="3" fillId="17" borderId="0" applyBorder="0">
      <alignment horizontal="left" vertical="top"/>
    </xf>
    <xf numFmtId="0" fontId="3" fillId="17" borderId="0" applyBorder="0">
      <alignment horizontal="left" vertical="top"/>
    </xf>
    <xf numFmtId="49" fontId="2" fillId="0" borderId="19" quotePrefix="1" applyFill="0">
      <alignment horizontal="center" vertical="center" wrapText="1"/>
    </xf>
    <xf numFmtId="0" fontId="7" fillId="0" borderId="23" applyFill="0">
      <alignment horizontal="left" vertical="center" wrapText="1" indent="1"/>
    </xf>
    <xf numFmtId="0" fontId="7" fillId="0" borderId="23" applyFill="0">
      <alignment horizontal="center" vertical="center" wrapText="1"/>
    </xf>
    <xf numFmtId="167" fontId="7" fillId="0" borderId="23" applyFill="0">
      <alignment horizontal="right" vertical="center" wrapText="1"/>
    </xf>
    <xf numFmtId="4" fontId="7" fillId="0" borderId="23" applyFill="0">
      <alignment horizontal="right" vertical="center" wrapText="1"/>
    </xf>
    <xf numFmtId="4" fontId="7" fillId="0" borderId="78" applyFill="0">
      <alignment horizontal="right" vertical="center" wrapText="1"/>
    </xf>
    <xf numFmtId="167" fontId="11" fillId="23" borderId="1">
      <alignment horizontal="left" vertical="center" indent="1"/>
    </xf>
    <xf numFmtId="49" fontId="11" fillId="23" borderId="1">
      <alignment horizontal="right" vertical="center" indent="1"/>
    </xf>
    <xf numFmtId="49" fontId="11" fillId="23" borderId="3">
      <alignment horizontal="right" vertical="center" indent="1"/>
    </xf>
    <xf numFmtId="49" fontId="2" fillId="0" borderId="18" applyFill="0">
      <alignment horizontal="center" vertical="center" wrapText="1"/>
    </xf>
    <xf numFmtId="0" fontId="30" fillId="0" borderId="18" applyFill="0">
      <alignment horizontal="left" vertical="center" wrapText="1" indent="1"/>
    </xf>
    <xf numFmtId="167" fontId="2" fillId="0" borderId="18" applyFill="0">
      <alignment horizontal="right" vertical="center" wrapText="1"/>
    </xf>
    <xf numFmtId="4" fontId="2" fillId="0" borderId="18" applyFill="0">
      <alignment horizontal="right" vertical="center" wrapText="1"/>
    </xf>
    <xf numFmtId="4" fontId="2" fillId="0" borderId="78" applyFill="0">
      <alignment horizontal="right" vertical="center" wrapText="1"/>
    </xf>
    <xf numFmtId="49" fontId="2" fillId="14" borderId="19">
      <alignment horizontal="center" vertical="center" wrapText="1"/>
    </xf>
    <xf numFmtId="49" fontId="2" fillId="2" borderId="0" applyBorder="0">
      <alignment horizontal="left" vertical="top"/>
    </xf>
    <xf numFmtId="4" fontId="2" fillId="20" borderId="19">
      <alignment horizontal="right" vertical="center" wrapText="1"/>
      <protection locked="0"/>
    </xf>
    <xf numFmtId="49" fontId="2" fillId="30" borderId="19">
      <alignment horizontal="center" vertical="center" wrapText="1"/>
    </xf>
    <xf numFmtId="0" fontId="2" fillId="30" borderId="19">
      <alignment horizontal="left" vertical="center" wrapText="1" indent="2"/>
    </xf>
    <xf numFmtId="4" fontId="2" fillId="30" borderId="19">
      <alignment horizontal="right" vertical="center" wrapText="1"/>
    </xf>
    <xf numFmtId="4" fontId="2" fillId="30" borderId="0" applyBorder="0">
      <alignment horizontal="left" vertical="center" wrapText="1"/>
    </xf>
    <xf numFmtId="4" fontId="2" fillId="30" borderId="0" applyBorder="0">
      <alignment horizontal="right" vertical="center" wrapText="1"/>
    </xf>
    <xf numFmtId="49" fontId="2" fillId="30" borderId="19" quotePrefix="1">
      <alignment horizontal="center" vertical="center" wrapText="1"/>
    </xf>
    <xf numFmtId="0" fontId="2" fillId="30" borderId="19">
      <alignment horizontal="left" vertical="center" wrapText="1" indent="3"/>
    </xf>
    <xf numFmtId="0" fontId="2" fillId="11" borderId="19" quotePrefix="1">
      <alignment horizontal="center" vertical="center" wrapText="1"/>
    </xf>
    <xf numFmtId="49" fontId="7" fillId="17" borderId="0" applyBorder="0">
      <alignment horizontal="left" vertical="top"/>
    </xf>
    <xf numFmtId="0" fontId="7" fillId="17" borderId="0" applyBorder="0">
      <alignment horizontal="left" vertical="top"/>
    </xf>
    <xf numFmtId="0" fontId="7" fillId="0" borderId="19" applyFill="0">
      <alignment horizontal="left" vertical="center" wrapText="1" indent="4"/>
    </xf>
    <xf numFmtId="0" fontId="7" fillId="0" borderId="19" applyFill="0">
      <alignment horizontal="center" vertical="center" wrapText="1"/>
    </xf>
    <xf numFmtId="167" fontId="7" fillId="0" borderId="19" applyFill="0">
      <alignment horizontal="right" vertical="center" wrapText="1"/>
    </xf>
    <xf numFmtId="4" fontId="7" fillId="0" borderId="19" applyFill="0">
      <alignment horizontal="right" vertical="center" wrapText="1"/>
    </xf>
    <xf numFmtId="0" fontId="7" fillId="0" borderId="19" applyFill="0">
      <alignment horizontal="left" vertical="center" wrapText="1"/>
    </xf>
    <xf numFmtId="0" fontId="7" fillId="0" borderId="19" applyFill="0">
      <alignment horizontal="right" vertical="center" wrapText="1"/>
    </xf>
    <xf numFmtId="0" fontId="30" fillId="0" borderId="19" applyFill="0">
      <alignment horizontal="left" vertical="center" wrapText="1" indent="4"/>
    </xf>
    <xf numFmtId="167" fontId="2" fillId="0" borderId="19" applyFill="0">
      <alignment horizontal="right" vertical="center" wrapText="1"/>
    </xf>
    <xf numFmtId="167" fontId="2" fillId="13" borderId="19" quotePrefix="1">
      <alignment horizontal="right" vertical="center" wrapText="1"/>
      <protection locked="0"/>
    </xf>
    <xf numFmtId="4" fontId="4" fillId="13" borderId="19">
      <alignment horizontal="right" vertical="center" wrapText="1"/>
      <protection locked="0"/>
    </xf>
    <xf numFmtId="167" fontId="2" fillId="11" borderId="19">
      <alignment horizontal="right" vertical="center" wrapText="1"/>
    </xf>
    <xf numFmtId="167" fontId="2" fillId="11" borderId="19">
      <alignment horizontal="right" vertical="center" wrapText="1"/>
      <protection locked="0"/>
    </xf>
    <xf numFmtId="167" fontId="4" fillId="13" borderId="19">
      <alignment horizontal="right" vertical="center" wrapText="1"/>
      <protection locked="0"/>
    </xf>
    <xf numFmtId="167" fontId="4" fillId="12" borderId="19">
      <alignment horizontal="right" vertical="center" wrapText="1"/>
    </xf>
    <xf numFmtId="0" fontId="2" fillId="11" borderId="19">
      <alignment horizontal="left" vertical="center" wrapText="1" indent="2"/>
    </xf>
    <xf numFmtId="0" fontId="2" fillId="11" borderId="23">
      <alignment horizontal="center" vertical="center" wrapText="1"/>
    </xf>
    <xf numFmtId="167" fontId="6" fillId="0" borderId="0" applyFill="0" applyBorder="0">
      <alignment vertical="top"/>
    </xf>
    <xf numFmtId="2" fontId="6" fillId="0" borderId="0" applyFill="0" applyBorder="0">
      <alignment vertical="top"/>
    </xf>
    <xf numFmtId="0" fontId="4" fillId="0" borderId="1" applyFill="0">
      <alignment horizontal="center" vertical="center"/>
    </xf>
    <xf numFmtId="2" fontId="2" fillId="17" borderId="0" applyBorder="0">
      <alignment vertical="center"/>
    </xf>
    <xf numFmtId="0" fontId="7" fillId="0" borderId="0" applyFill="0" applyBorder="0">
      <alignment horizontal="center" vertical="center" wrapText="1"/>
    </xf>
    <xf numFmtId="0" fontId="2" fillId="17" borderId="0" applyBorder="0">
      <alignment horizontal="left" vertical="center" wrapText="1"/>
    </xf>
    <xf numFmtId="0" fontId="4" fillId="0" borderId="25" applyFill="0">
      <alignment horizontal="center" vertical="center" wrapText="1"/>
    </xf>
    <xf numFmtId="0" fontId="4" fillId="0" borderId="55" applyFill="0">
      <alignment horizontal="center" vertical="center" wrapText="1"/>
    </xf>
    <xf numFmtId="0" fontId="4" fillId="0" borderId="56" applyFill="0">
      <alignment horizontal="center" vertical="center" wrapText="1"/>
    </xf>
    <xf numFmtId="0" fontId="4" fillId="0" borderId="31" applyFill="0">
      <alignment horizontal="center" vertical="center" wrapText="1"/>
    </xf>
    <xf numFmtId="0" fontId="4" fillId="0" borderId="22" applyFill="0">
      <alignment horizontal="center" vertical="center" wrapText="1"/>
    </xf>
    <xf numFmtId="0" fontId="4" fillId="0" borderId="17" applyFill="0">
      <alignment horizontal="center" vertical="center" wrapText="1"/>
    </xf>
    <xf numFmtId="2" fontId="2" fillId="0" borderId="9" applyFill="0">
      <alignment horizontal="center" vertical="center" wrapText="1"/>
    </xf>
    <xf numFmtId="0" fontId="2" fillId="3" borderId="19">
      <alignment horizontal="right" vertical="center" wrapText="1"/>
    </xf>
    <xf numFmtId="0" fontId="2" fillId="14" borderId="19">
      <alignment horizontal="left" vertical="center" wrapText="1" indent="1"/>
    </xf>
    <xf numFmtId="0" fontId="2" fillId="11" borderId="19">
      <alignment horizontal="left" vertical="center" wrapText="1" indent="4"/>
    </xf>
    <xf numFmtId="0" fontId="7" fillId="0" borderId="0" applyFill="0" applyBorder="0">
      <alignment horizontal="left" vertical="top"/>
    </xf>
    <xf numFmtId="49" fontId="7" fillId="0" borderId="19" applyFill="0">
      <alignment horizontal="center" vertical="center" wrapText="1"/>
    </xf>
    <xf numFmtId="49" fontId="11" fillId="23" borderId="2">
      <alignment horizontal="left" vertical="center" indent="1"/>
    </xf>
    <xf numFmtId="4" fontId="11" fillId="23" borderId="1">
      <alignment horizontal="left" vertical="center" indent="1"/>
    </xf>
    <xf numFmtId="0" fontId="2" fillId="0" borderId="19" applyFill="0">
      <alignment horizontal="left" vertical="center" indent="1"/>
    </xf>
    <xf numFmtId="0" fontId="7" fillId="0" borderId="2" applyFill="0">
      <alignment horizontal="center" vertical="center" wrapText="1"/>
    </xf>
    <xf numFmtId="167" fontId="2" fillId="0" borderId="1" applyFill="0">
      <alignment horizontal="right" vertical="center" wrapText="1"/>
    </xf>
    <xf numFmtId="0" fontId="2" fillId="0" borderId="1" applyFill="0">
      <alignment horizontal="right" vertical="center" wrapText="1"/>
    </xf>
    <xf numFmtId="4" fontId="2" fillId="0" borderId="1" applyFill="0">
      <alignment horizontal="right" vertical="center" wrapText="1"/>
    </xf>
    <xf numFmtId="4" fontId="11" fillId="23" borderId="3">
      <alignment horizontal="left" vertical="center" indent="1"/>
    </xf>
    <xf numFmtId="0" fontId="4" fillId="0" borderId="55" applyFill="0">
      <alignment horizontal="center" vertical="center"/>
    </xf>
    <xf numFmtId="0" fontId="2" fillId="0" borderId="0" applyFill="0" applyBorder="0">
      <alignment wrapText="1"/>
    </xf>
    <xf numFmtId="0" fontId="53" fillId="0" borderId="55" applyFill="0">
      <alignment vertical="center"/>
    </xf>
    <xf numFmtId="0" fontId="6" fillId="14" borderId="19">
      <alignment horizontal="center" vertical="center" wrapText="1"/>
    </xf>
    <xf numFmtId="0" fontId="6" fillId="14" borderId="2">
      <alignment horizontal="center" vertical="center" wrapText="1"/>
    </xf>
    <xf numFmtId="0" fontId="6" fillId="0" borderId="2" applyFill="0">
      <alignment horizontal="center" vertical="center" wrapText="1"/>
    </xf>
    <xf numFmtId="0" fontId="6" fillId="14" borderId="1">
      <alignment horizontal="center" vertical="center" wrapText="1"/>
    </xf>
    <xf numFmtId="0" fontId="6" fillId="14" borderId="3">
      <alignment horizontal="center" vertical="center" wrapText="1"/>
    </xf>
    <xf numFmtId="0" fontId="2" fillId="2" borderId="18">
      <alignment horizontal="left" vertical="center" wrapText="1"/>
    </xf>
    <xf numFmtId="0" fontId="6" fillId="11" borderId="19">
      <alignment horizontal="center" vertical="center" wrapText="1"/>
    </xf>
    <xf numFmtId="0" fontId="6" fillId="11" borderId="19">
      <alignment vertical="center" wrapText="1"/>
    </xf>
    <xf numFmtId="167" fontId="2" fillId="12" borderId="18">
      <alignment horizontal="right" vertical="center" wrapText="1"/>
    </xf>
    <xf numFmtId="49" fontId="6" fillId="11" borderId="19">
      <alignment horizontal="center" vertical="center" wrapText="1"/>
    </xf>
    <xf numFmtId="0" fontId="6" fillId="11" borderId="19">
      <alignment horizontal="left" vertical="center" wrapText="1" indent="1"/>
    </xf>
    <xf numFmtId="0" fontId="6" fillId="0" borderId="19" applyFill="0">
      <alignment horizontal="left" vertical="center" wrapText="1" indent="2"/>
    </xf>
    <xf numFmtId="0" fontId="6" fillId="0" borderId="19" applyFill="0">
      <alignment vertical="center" wrapText="1"/>
    </xf>
    <xf numFmtId="0" fontId="6" fillId="0" borderId="19" applyFill="0">
      <alignment horizontal="left"/>
    </xf>
    <xf numFmtId="0" fontId="6" fillId="0" borderId="19" quotePrefix="1" applyFill="0">
      <alignment horizontal="center" vertical="center"/>
    </xf>
    <xf numFmtId="0" fontId="6" fillId="0" borderId="19" applyFill="0">
      <alignment horizontal="left" indent="1"/>
    </xf>
    <xf numFmtId="0" fontId="6" fillId="0" borderId="19" applyFill="0">
      <alignment horizontal="left" indent="2"/>
    </xf>
    <xf numFmtId="0" fontId="6" fillId="0" borderId="19" applyFill="0">
      <alignment horizontal="left" vertical="center" wrapText="1"/>
    </xf>
    <xf numFmtId="0" fontId="6" fillId="0" borderId="19" applyFill="0">
      <alignment horizontal="left" vertical="center"/>
    </xf>
    <xf numFmtId="0" fontId="6" fillId="11" borderId="19">
      <alignment horizontal="center" vertical="center"/>
    </xf>
    <xf numFmtId="0" fontId="6" fillId="11" borderId="19">
      <alignment vertical="center"/>
    </xf>
    <xf numFmtId="0" fontId="2" fillId="0" borderId="55" applyFill="0">
      <alignment horizontal="left" vertical="top" wrapText="1"/>
    </xf>
    <xf numFmtId="0" fontId="53" fillId="0" borderId="0" applyFill="0" applyBorder="0">
      <alignment vertical="center"/>
    </xf>
    <xf numFmtId="0" fontId="54" fillId="0" borderId="0" applyFill="0" applyBorder="0">
      <alignment vertical="top"/>
    </xf>
    <xf numFmtId="0" fontId="2" fillId="0" borderId="1" applyFill="0">
      <alignment horizontal="center" vertical="center" textRotation="90" wrapText="1"/>
    </xf>
    <xf numFmtId="49" fontId="2" fillId="43" borderId="57">
      <alignment vertical="center"/>
    </xf>
    <xf numFmtId="0" fontId="2" fillId="12" borderId="0" applyBorder="0"/>
    <xf numFmtId="0" fontId="2" fillId="11" borderId="19">
      <alignment vertical="center" wrapText="1"/>
    </xf>
    <xf numFmtId="167" fontId="2" fillId="12" borderId="2">
      <alignment horizontal="right" vertical="center" wrapText="1"/>
    </xf>
    <xf numFmtId="49" fontId="2" fillId="43" borderId="98">
      <alignment horizontal="left" vertical="center" indent="1"/>
    </xf>
    <xf numFmtId="167" fontId="2" fillId="12" borderId="31">
      <alignment horizontal="right" vertical="center" wrapText="1"/>
    </xf>
    <xf numFmtId="167" fontId="6" fillId="0" borderId="1" applyFill="0"/>
    <xf numFmtId="49" fontId="2" fillId="11" borderId="0" applyBorder="0">
      <alignment horizontal="center" vertical="center" wrapText="1"/>
    </xf>
    <xf numFmtId="0" fontId="55" fillId="0" borderId="0" applyFill="0" applyBorder="0">
      <alignment horizontal="left" vertical="center" indent="1"/>
    </xf>
    <xf numFmtId="49" fontId="2" fillId="43" borderId="0" applyBorder="0">
      <alignment horizontal="left" vertical="center" indent="1"/>
    </xf>
    <xf numFmtId="164" fontId="2" fillId="12" borderId="4">
      <alignment horizontal="right" vertical="center" wrapText="1"/>
    </xf>
    <xf numFmtId="0" fontId="2" fillId="0" borderId="4" applyFill="0"/>
    <xf numFmtId="167" fontId="2" fillId="13" borderId="18">
      <alignment horizontal="right" vertical="center" wrapText="1"/>
      <protection locked="0"/>
    </xf>
    <xf numFmtId="0" fontId="2" fillId="0" borderId="19" applyFill="0">
      <alignment horizontal="left"/>
    </xf>
    <xf numFmtId="0" fontId="2" fillId="0" borderId="19" applyFill="0">
      <alignment horizontal="left" indent="1"/>
    </xf>
    <xf numFmtId="0" fontId="2" fillId="0" borderId="55" applyFill="0">
      <alignment vertical="top" wrapText="1"/>
    </xf>
    <xf numFmtId="0" fontId="8" fillId="0" borderId="55" applyFill="0">
      <alignment vertical="center"/>
    </xf>
    <xf numFmtId="2" fontId="2" fillId="13" borderId="19">
      <alignment horizontal="center" vertical="center" wrapText="1"/>
      <protection locked="0"/>
    </xf>
    <xf numFmtId="167" fontId="2" fillId="12" borderId="19">
      <alignment horizontal="center" vertical="center" wrapText="1"/>
    </xf>
    <xf numFmtId="4" fontId="2" fillId="13" borderId="19">
      <alignment horizontal="right"/>
      <protection locked="0"/>
    </xf>
    <xf numFmtId="3" fontId="2" fillId="13" borderId="19">
      <alignment horizontal="center" vertical="center"/>
      <protection locked="0"/>
    </xf>
    <xf numFmtId="49" fontId="2" fillId="0" borderId="9" applyFill="0">
      <alignment horizontal="center" vertical="center" wrapText="1"/>
    </xf>
    <xf numFmtId="0" fontId="8" fillId="0" borderId="18" applyFill="0">
      <alignment horizontal="center" vertical="center" wrapText="1"/>
    </xf>
    <xf numFmtId="0" fontId="2" fillId="0" borderId="99" applyFill="0">
      <alignment horizontal="center" vertical="center" wrapText="1"/>
    </xf>
    <xf numFmtId="0" fontId="2" fillId="0" borderId="100" applyFill="0">
      <alignment horizontal="center" vertical="center" wrapText="1"/>
    </xf>
    <xf numFmtId="0" fontId="2" fillId="0" borderId="101" applyFill="0">
      <alignment horizontal="center" vertical="center" wrapText="1"/>
    </xf>
    <xf numFmtId="167" fontId="2" fillId="12" borderId="9">
      <alignment horizontal="right" vertical="center" wrapText="1"/>
    </xf>
    <xf numFmtId="167" fontId="8" fillId="12" borderId="9">
      <alignment horizontal="right" vertical="center" wrapText="1"/>
    </xf>
    <xf numFmtId="0" fontId="8" fillId="0" borderId="17" applyFill="0">
      <alignment horizontal="center" vertical="center" wrapText="1"/>
    </xf>
    <xf numFmtId="167" fontId="2" fillId="13" borderId="9">
      <alignment horizontal="right" vertical="center" wrapText="1"/>
      <protection locked="0"/>
    </xf>
    <xf numFmtId="0" fontId="8" fillId="0" borderId="3" applyFill="0">
      <alignment horizontal="center" vertical="center" wrapText="1"/>
    </xf>
    <xf numFmtId="0" fontId="7" fillId="0" borderId="0" applyFill="0" applyBorder="0">
      <alignment horizontal="center" vertical="center"/>
    </xf>
    <xf numFmtId="167" fontId="8" fillId="12" borderId="19">
      <alignment horizontal="right" vertical="center" wrapText="1"/>
    </xf>
    <xf numFmtId="0" fontId="2" fillId="0" borderId="23" applyFill="0">
      <alignment horizontal="left" vertical="center" wrapText="1" indent="1"/>
    </xf>
    <xf numFmtId="167" fontId="2" fillId="12" borderId="23">
      <alignment horizontal="right" vertical="center" wrapText="1"/>
    </xf>
    <xf numFmtId="167" fontId="8" fillId="12" borderId="23">
      <alignment horizontal="right" vertical="center" wrapText="1"/>
    </xf>
    <xf numFmtId="0" fontId="6" fillId="0" borderId="0" applyFill="0" applyBorder="0">
      <alignment vertical="center"/>
    </xf>
    <xf numFmtId="49" fontId="6" fillId="0" borderId="0" applyFill="0" applyBorder="0">
      <alignment horizontal="center" vertical="center"/>
    </xf>
    <xf numFmtId="0" fontId="6" fillId="0" borderId="22" applyFill="0"/>
    <xf numFmtId="0" fontId="6" fillId="0" borderId="22" applyFill="0">
      <alignment horizontal="center" vertical="center"/>
    </xf>
    <xf numFmtId="0" fontId="6" fillId="0" borderId="22" applyFill="0">
      <alignment vertical="center"/>
    </xf>
    <xf numFmtId="2" fontId="6" fillId="0" borderId="22" applyFill="0"/>
    <xf numFmtId="0" fontId="6" fillId="14" borderId="23">
      <alignment horizontal="center" vertical="center" wrapText="1"/>
    </xf>
    <xf numFmtId="49" fontId="6" fillId="14" borderId="19">
      <alignment horizontal="center" vertical="center" wrapText="1"/>
    </xf>
    <xf numFmtId="0" fontId="2" fillId="34" borderId="19">
      <alignment horizontal="center" vertical="center" wrapText="1"/>
    </xf>
    <xf numFmtId="0" fontId="6" fillId="0" borderId="79" applyFill="0">
      <alignment horizontal="center" vertical="center" wrapText="1"/>
    </xf>
    <xf numFmtId="0" fontId="6" fillId="14" borderId="79">
      <alignment horizontal="center" vertical="center" wrapText="1"/>
    </xf>
    <xf numFmtId="1" fontId="6" fillId="0" borderId="19" applyFill="0">
      <alignment horizontal="center" vertical="center" wrapText="1"/>
    </xf>
    <xf numFmtId="1" fontId="6" fillId="14" borderId="19">
      <alignment horizontal="center" vertical="center" wrapText="1"/>
    </xf>
    <xf numFmtId="0" fontId="6" fillId="0" borderId="18" applyFill="0">
      <alignment horizontal="center" vertical="center" wrapText="1"/>
    </xf>
    <xf numFmtId="0" fontId="6" fillId="14" borderId="18">
      <alignment horizontal="center" vertical="center" wrapText="1"/>
    </xf>
    <xf numFmtId="49" fontId="2" fillId="17" borderId="0" applyBorder="0">
      <alignment horizontal="center" vertical="center" wrapText="1"/>
    </xf>
    <xf numFmtId="0" fontId="6" fillId="0" borderId="18" applyFill="0">
      <alignment horizontal="center" vertical="center"/>
    </xf>
    <xf numFmtId="0" fontId="6" fillId="0" borderId="2" applyFill="0">
      <alignment horizontal="left" vertical="center" wrapText="1"/>
    </xf>
    <xf numFmtId="0" fontId="6" fillId="0" borderId="22" applyFill="0">
      <alignment horizontal="left" vertical="center" wrapText="1"/>
    </xf>
    <xf numFmtId="0" fontId="6" fillId="0" borderId="1" applyFill="0">
      <alignment horizontal="left" vertical="center" wrapText="1"/>
    </xf>
    <xf numFmtId="0" fontId="6" fillId="0" borderId="3" applyFill="0"/>
    <xf numFmtId="0" fontId="6" fillId="0" borderId="18" applyFill="0"/>
    <xf numFmtId="10" fontId="6" fillId="12" borderId="18">
      <alignment vertical="center" wrapText="1"/>
    </xf>
    <xf numFmtId="10" fontId="4" fillId="13" borderId="0" applyBorder="0">
      <alignment vertical="center"/>
      <protection locked="0"/>
    </xf>
    <xf numFmtId="167" fontId="6" fillId="12" borderId="19">
      <alignment vertical="center" wrapText="1"/>
    </xf>
    <xf numFmtId="0" fontId="6" fillId="0" borderId="2" applyFill="0">
      <alignment horizontal="center" vertical="center"/>
    </xf>
    <xf numFmtId="0" fontId="6" fillId="0" borderId="1" applyFill="0"/>
    <xf numFmtId="164" fontId="6" fillId="0" borderId="1" applyFill="0">
      <alignment vertical="center" wrapText="1"/>
    </xf>
    <xf numFmtId="164" fontId="6" fillId="0" borderId="3" applyFill="0">
      <alignment vertical="center" wrapText="1"/>
    </xf>
    <xf numFmtId="2" fontId="6" fillId="0" borderId="3" applyFill="0">
      <alignment horizontal="center" vertical="center" wrapText="1"/>
    </xf>
    <xf numFmtId="2" fontId="6" fillId="0" borderId="3" applyFill="0">
      <alignment vertical="center" wrapText="1"/>
    </xf>
    <xf numFmtId="164" fontId="11" fillId="23" borderId="22">
      <alignment horizontal="center" vertical="center"/>
    </xf>
    <xf numFmtId="49" fontId="11" fillId="23" borderId="17">
      <alignment horizontal="center" vertical="center"/>
    </xf>
    <xf numFmtId="0" fontId="2" fillId="17" borderId="0" applyBorder="0">
      <alignment vertical="center"/>
    </xf>
    <xf numFmtId="0" fontId="2" fillId="0" borderId="14" applyFill="0">
      <alignment vertical="center" wrapText="1"/>
    </xf>
    <xf numFmtId="0" fontId="2" fillId="0" borderId="4" applyFill="0">
      <alignment vertical="center" wrapText="1"/>
    </xf>
    <xf numFmtId="0" fontId="6" fillId="14" borderId="3">
      <alignment horizontal="center" vertical="center"/>
    </xf>
    <xf numFmtId="0" fontId="6" fillId="34" borderId="19">
      <alignment horizontal="center" vertical="center"/>
    </xf>
    <xf numFmtId="0" fontId="2" fillId="14" borderId="2">
      <alignment vertical="center" wrapText="1"/>
    </xf>
    <xf numFmtId="0" fontId="2" fillId="0" borderId="30" applyFill="0">
      <alignment horizontal="center" vertical="center" wrapText="1"/>
    </xf>
    <xf numFmtId="0" fontId="18" fillId="0" borderId="4" applyFill="0">
      <alignment vertical="top"/>
    </xf>
    <xf numFmtId="0" fontId="6" fillId="14" borderId="2">
      <alignment horizontal="left" vertical="center" wrapText="1" indent="1"/>
    </xf>
    <xf numFmtId="0" fontId="6" fillId="14" borderId="1">
      <alignment horizontal="left" vertical="center" wrapText="1" indent="1"/>
    </xf>
    <xf numFmtId="0" fontId="6" fillId="14" borderId="4">
      <alignment horizontal="left" vertical="center" wrapText="1"/>
    </xf>
    <xf numFmtId="0" fontId="6" fillId="14" borderId="0" applyBorder="0">
      <alignment horizontal="left" vertical="center" wrapText="1"/>
    </xf>
    <xf numFmtId="0" fontId="6" fillId="14" borderId="78">
      <alignment horizontal="left" vertical="center" wrapText="1"/>
    </xf>
    <xf numFmtId="0" fontId="2" fillId="0" borderId="18" applyFill="0">
      <alignment horizontal="left" vertical="center" wrapText="1" indent="1"/>
    </xf>
    <xf numFmtId="4" fontId="2" fillId="0" borderId="4" applyFill="0">
      <alignment vertical="center" wrapText="1"/>
    </xf>
    <xf numFmtId="4" fontId="2" fillId="13" borderId="17">
      <alignment horizontal="right" vertical="center" wrapText="1"/>
      <protection locked="0"/>
    </xf>
    <xf numFmtId="4" fontId="2" fillId="12" borderId="18">
      <alignment horizontal="right" vertical="center" wrapText="1"/>
    </xf>
    <xf numFmtId="4" fontId="2" fillId="13" borderId="18">
      <alignment horizontal="right" vertical="center" wrapText="1"/>
      <protection locked="0"/>
    </xf>
    <xf numFmtId="4" fontId="2" fillId="12" borderId="79">
      <alignment horizontal="right" vertical="center" wrapText="1"/>
    </xf>
    <xf numFmtId="4" fontId="2" fillId="12" borderId="3">
      <alignment horizontal="right" vertical="center" wrapText="1"/>
    </xf>
    <xf numFmtId="4" fontId="6" fillId="0" borderId="23" applyFill="0">
      <alignment horizontal="right" vertical="center" wrapText="1"/>
    </xf>
    <xf numFmtId="4" fontId="2" fillId="13" borderId="2">
      <alignment horizontal="right" vertical="center" wrapText="1"/>
      <protection locked="0"/>
    </xf>
    <xf numFmtId="4" fontId="2" fillId="13" borderId="3">
      <alignment horizontal="right" vertical="center" wrapText="1"/>
      <protection locked="0"/>
    </xf>
    <xf numFmtId="4" fontId="6" fillId="0" borderId="18" applyFill="0">
      <alignment horizontal="right" vertical="center" wrapText="1"/>
    </xf>
    <xf numFmtId="0" fontId="6" fillId="14" borderId="1">
      <alignment horizontal="right" vertical="center" wrapText="1"/>
    </xf>
    <xf numFmtId="4" fontId="6" fillId="14" borderId="1">
      <alignment horizontal="right" vertical="center" wrapText="1"/>
    </xf>
    <xf numFmtId="49" fontId="6" fillId="14" borderId="1">
      <alignment horizontal="right" vertical="center" wrapText="1"/>
    </xf>
    <xf numFmtId="167" fontId="2" fillId="12" borderId="3">
      <alignment horizontal="right" vertical="center" wrapText="1"/>
    </xf>
    <xf numFmtId="167" fontId="2" fillId="13" borderId="3">
      <alignment horizontal="right" vertical="center" wrapText="1"/>
      <protection locked="0"/>
    </xf>
    <xf numFmtId="167" fontId="10" fillId="12" borderId="3">
      <alignment horizontal="right" vertical="center"/>
    </xf>
    <xf numFmtId="167" fontId="6" fillId="14" borderId="1">
      <alignment horizontal="right" vertical="center" wrapText="1"/>
    </xf>
    <xf numFmtId="49" fontId="2" fillId="0" borderId="0" applyFill="0" applyBorder="0">
      <alignment vertical="center"/>
    </xf>
    <xf numFmtId="49" fontId="2" fillId="0" borderId="22" applyFill="0">
      <alignment vertical="center" wrapText="1"/>
    </xf>
    <xf numFmtId="4" fontId="2" fillId="13" borderId="4">
      <alignment horizontal="right" vertical="center" wrapText="1"/>
      <protection locked="0"/>
    </xf>
    <xf numFmtId="0" fontId="2" fillId="12" borderId="19">
      <alignment horizontal="center" vertical="center"/>
    </xf>
    <xf numFmtId="0" fontId="2" fillId="13" borderId="9">
      <alignment horizontal="center" vertical="center"/>
      <protection locked="0"/>
    </xf>
    <xf numFmtId="49" fontId="7" fillId="0" borderId="0" applyFill="0" applyBorder="0">
      <alignment horizontal="center" vertical="center"/>
    </xf>
    <xf numFmtId="49" fontId="2" fillId="12" borderId="19">
      <alignment horizontal="center" vertical="center"/>
    </xf>
    <xf numFmtId="0" fontId="2" fillId="34" borderId="23">
      <alignment horizontal="center" vertical="center" wrapText="1"/>
    </xf>
    <xf numFmtId="0" fontId="2" fillId="34" borderId="25">
      <alignment horizontal="center" vertical="center" wrapText="1"/>
    </xf>
    <xf numFmtId="0" fontId="2" fillId="34" borderId="9">
      <alignment horizontal="center" vertical="center" wrapText="1"/>
    </xf>
    <xf numFmtId="0" fontId="2" fillId="34" borderId="6">
      <alignment horizontal="center" vertical="center" wrapText="1"/>
    </xf>
    <xf numFmtId="0" fontId="2" fillId="0" borderId="62" applyFill="0">
      <alignment horizontal="center" vertical="center" wrapText="1"/>
    </xf>
    <xf numFmtId="0" fontId="2" fillId="34" borderId="79">
      <alignment horizontal="center" vertical="center" wrapText="1"/>
    </xf>
    <xf numFmtId="171" fontId="2" fillId="34" borderId="13">
      <alignment horizontal="center" vertical="center" wrapText="1"/>
    </xf>
    <xf numFmtId="0" fontId="2" fillId="34" borderId="57">
      <alignment horizontal="center" vertical="center" wrapText="1"/>
    </xf>
    <xf numFmtId="171" fontId="2" fillId="34" borderId="61">
      <alignment horizontal="center" vertical="center" wrapText="1"/>
    </xf>
    <xf numFmtId="0" fontId="2" fillId="34" borderId="4">
      <alignment horizontal="center" vertical="center" wrapText="1"/>
    </xf>
    <xf numFmtId="0" fontId="2" fillId="0" borderId="28" applyFill="0">
      <alignment horizontal="center" vertical="center" wrapText="1"/>
    </xf>
    <xf numFmtId="0" fontId="2" fillId="0" borderId="15" applyFill="0"/>
    <xf numFmtId="4" fontId="2" fillId="13" borderId="48">
      <alignment horizontal="center" vertical="center"/>
      <protection locked="0"/>
    </xf>
    <xf numFmtId="0" fontId="2" fillId="0" borderId="9" applyFill="0"/>
    <xf numFmtId="4" fontId="2" fillId="13" borderId="7">
      <alignment horizontal="center" vertical="center"/>
      <protection locked="0"/>
    </xf>
    <xf numFmtId="0" fontId="2" fillId="13" borderId="23">
      <alignment horizontal="left" vertical="center" wrapText="1"/>
      <protection locked="0"/>
    </xf>
    <xf numFmtId="0" fontId="2" fillId="13" borderId="56">
      <alignment horizontal="left" vertical="center" wrapText="1"/>
      <protection locked="0"/>
    </xf>
    <xf numFmtId="168" fontId="2" fillId="12" borderId="23">
      <alignment horizontal="right" vertical="center"/>
    </xf>
    <xf numFmtId="4" fontId="2" fillId="12" borderId="14">
      <alignment horizontal="right" vertical="center" wrapText="1"/>
    </xf>
    <xf numFmtId="164" fontId="2" fillId="12" borderId="14">
      <alignment horizontal="right" vertical="center"/>
    </xf>
    <xf numFmtId="4" fontId="2" fillId="12" borderId="2">
      <alignment horizontal="right" vertical="center" wrapText="1"/>
    </xf>
    <xf numFmtId="164" fontId="2" fillId="12" borderId="23">
      <alignment horizontal="right" vertical="center"/>
    </xf>
    <xf numFmtId="0" fontId="2" fillId="13" borderId="3">
      <alignment horizontal="left" vertical="center" wrapText="1"/>
      <protection locked="0"/>
    </xf>
    <xf numFmtId="167" fontId="2" fillId="13" borderId="14">
      <alignment horizontal="right" vertical="center"/>
      <protection locked="0"/>
    </xf>
    <xf numFmtId="4" fontId="2" fillId="12" borderId="1">
      <alignment horizontal="right" vertical="center" wrapText="1"/>
    </xf>
    <xf numFmtId="10" fontId="2" fillId="12" borderId="102">
      <alignment horizontal="right" vertical="center"/>
    </xf>
    <xf numFmtId="10" fontId="2" fillId="12" borderId="23">
      <alignment horizontal="right" vertical="center"/>
    </xf>
    <xf numFmtId="0" fontId="2" fillId="13" borderId="4">
      <alignment horizontal="left" vertical="center" wrapText="1"/>
      <protection locked="0"/>
    </xf>
    <xf numFmtId="164" fontId="2" fillId="12" borderId="22">
      <alignment horizontal="right" vertical="center"/>
    </xf>
    <xf numFmtId="167" fontId="8" fillId="12" borderId="74">
      <alignment horizontal="right" vertical="center"/>
    </xf>
    <xf numFmtId="167" fontId="10" fillId="13" borderId="18">
      <alignment horizontal="right" vertical="center"/>
      <protection locked="0"/>
    </xf>
    <xf numFmtId="167" fontId="10" fillId="12" borderId="4">
      <alignment horizontal="right" vertical="center"/>
    </xf>
    <xf numFmtId="4" fontId="2" fillId="12" borderId="31">
      <alignment horizontal="right" vertical="center" wrapText="1"/>
    </xf>
    <xf numFmtId="0" fontId="2" fillId="13" borderId="18">
      <alignment horizontal="left" vertical="center" wrapText="1"/>
      <protection locked="0"/>
    </xf>
    <xf numFmtId="4" fontId="2" fillId="12" borderId="19">
      <alignment horizontal="right" vertical="center"/>
      <protection locked="0"/>
    </xf>
    <xf numFmtId="4" fontId="2" fillId="12" borderId="19">
      <alignment vertical="top"/>
    </xf>
    <xf numFmtId="0" fontId="2" fillId="13" borderId="9">
      <alignment horizontal="left" vertical="center" wrapText="1"/>
      <protection locked="0"/>
    </xf>
    <xf numFmtId="4" fontId="2" fillId="12" borderId="2">
      <alignment horizontal="right" vertical="center"/>
    </xf>
    <xf numFmtId="4" fontId="2" fillId="12" borderId="3">
      <alignment horizontal="right" vertical="center"/>
    </xf>
    <xf numFmtId="4" fontId="2" fillId="13" borderId="2">
      <alignment horizontal="right" vertical="center"/>
      <protection locked="0"/>
    </xf>
    <xf numFmtId="4" fontId="2" fillId="13" borderId="3">
      <alignment horizontal="right" vertical="center"/>
      <protection locked="0"/>
    </xf>
    <xf numFmtId="4" fontId="2" fillId="12" borderId="25">
      <alignment horizontal="right" vertical="center" wrapText="1"/>
    </xf>
    <xf numFmtId="4" fontId="2" fillId="12" borderId="6">
      <alignment horizontal="right" vertical="center"/>
    </xf>
    <xf numFmtId="4" fontId="2" fillId="12" borderId="7">
      <alignment horizontal="right" vertical="center"/>
    </xf>
    <xf numFmtId="4" fontId="2" fillId="12" borderId="20">
      <alignment horizontal="right" vertical="center"/>
    </xf>
    <xf numFmtId="4" fontId="2" fillId="12" borderId="16">
      <alignment horizontal="right" vertical="center"/>
    </xf>
    <xf numFmtId="0" fontId="2" fillId="13" borderId="19">
      <alignment horizontal="center" vertical="center"/>
      <protection locked="0"/>
    </xf>
    <xf numFmtId="49" fontId="2" fillId="12" borderId="8">
      <alignment horizontal="center" vertical="center"/>
    </xf>
    <xf numFmtId="4" fontId="2" fillId="12" borderId="4">
      <alignment horizontal="right" vertical="center"/>
      <protection locked="0"/>
    </xf>
    <xf numFmtId="0" fontId="6" fillId="0" borderId="4" applyFill="0">
      <alignment horizontal="center" vertical="center" wrapText="1"/>
    </xf>
    <xf numFmtId="0" fontId="6" fillId="0" borderId="14" applyFill="0">
      <alignment horizontal="center" vertical="center" wrapText="1"/>
    </xf>
    <xf numFmtId="0" fontId="6" fillId="0" borderId="97" applyFill="0">
      <alignment horizontal="center" vertical="center" wrapText="1"/>
    </xf>
    <xf numFmtId="0" fontId="6" fillId="0" borderId="28" applyFill="0">
      <alignment horizontal="center" vertical="center" wrapText="1"/>
    </xf>
    <xf numFmtId="0" fontId="6" fillId="0" borderId="73" applyFill="0">
      <alignment horizontal="center" vertical="center" wrapText="1"/>
    </xf>
    <xf numFmtId="0" fontId="6" fillId="0" borderId="74" applyFill="0">
      <alignment horizontal="center" vertical="center" wrapText="1"/>
    </xf>
    <xf numFmtId="49" fontId="2" fillId="13" borderId="18">
      <alignment horizontal="center" vertical="center" wrapText="1"/>
      <protection locked="0"/>
    </xf>
    <xf numFmtId="49" fontId="2" fillId="0" borderId="23" applyFill="0">
      <alignment horizontal="center" vertical="center" wrapText="1"/>
    </xf>
    <xf numFmtId="0" fontId="27" fillId="0" borderId="103" applyFill="0">
      <alignment horizontal="center" vertical="center"/>
    </xf>
    <xf numFmtId="0" fontId="27" fillId="0" borderId="97" applyFill="0">
      <alignment horizontal="left" vertical="center"/>
    </xf>
    <xf numFmtId="0" fontId="27" fillId="0" borderId="104" applyFill="0">
      <alignment horizontal="center" vertical="center"/>
    </xf>
    <xf numFmtId="0" fontId="27" fillId="0" borderId="105" applyFill="0">
      <alignment horizontal="center" vertical="center"/>
    </xf>
    <xf numFmtId="4" fontId="6" fillId="12" borderId="4">
      <alignment vertical="center"/>
    </xf>
    <xf numFmtId="0" fontId="27" fillId="0" borderId="4" applyFill="0">
      <alignment horizontal="center" vertical="center"/>
    </xf>
    <xf numFmtId="0" fontId="6" fillId="0" borderId="4" quotePrefix="1" applyFill="0">
      <alignment horizontal="center" vertical="center"/>
    </xf>
    <xf numFmtId="16" fontId="6" fillId="0" borderId="4" applyFill="0">
      <alignment horizontal="left" vertical="center"/>
    </xf>
    <xf numFmtId="49" fontId="6" fillId="20" borderId="4">
      <alignment horizontal="center" vertical="center"/>
      <protection locked="0"/>
    </xf>
    <xf numFmtId="16" fontId="6" fillId="20" borderId="4">
      <alignment horizontal="center" vertical="center"/>
      <protection locked="0"/>
    </xf>
    <xf numFmtId="49" fontId="6" fillId="20" borderId="4" quotePrefix="1">
      <alignment horizontal="center" vertical="center"/>
      <protection locked="0"/>
    </xf>
    <xf numFmtId="0" fontId="56" fillId="0" borderId="0" applyFill="0" applyBorder="0">
      <alignment horizontal="center" vertical="center"/>
    </xf>
    <xf numFmtId="16" fontId="6" fillId="0" borderId="0" applyFill="0" applyBorder="0">
      <alignment vertical="top"/>
    </xf>
    <xf numFmtId="49" fontId="2" fillId="0" borderId="0" applyFill="0" applyBorder="0">
      <alignment horizontal="center"/>
    </xf>
    <xf numFmtId="49" fontId="2" fillId="0" borderId="19" applyFill="0">
      <alignment vertical="center" wrapText="1"/>
    </xf>
    <xf numFmtId="0" fontId="6" fillId="14" borderId="2">
      <alignment horizontal="center" vertical="center"/>
    </xf>
    <xf numFmtId="0" fontId="6" fillId="0" borderId="1" applyFill="0">
      <alignment horizontal="center" vertical="center"/>
    </xf>
    <xf numFmtId="0" fontId="6" fillId="0" borderId="3" applyFill="0">
      <alignment horizontal="center" vertical="center"/>
    </xf>
    <xf numFmtId="0" fontId="6" fillId="14" borderId="1">
      <alignment horizontal="center" vertical="center"/>
    </xf>
    <xf numFmtId="0" fontId="2" fillId="14" borderId="78">
      <alignment horizontal="center" vertical="center" wrapText="1"/>
    </xf>
    <xf numFmtId="0" fontId="2" fillId="14" borderId="22">
      <alignment horizontal="center" vertical="center" wrapText="1"/>
    </xf>
    <xf numFmtId="0" fontId="2" fillId="14" borderId="17">
      <alignment horizontal="center" vertical="center" wrapText="1"/>
    </xf>
    <xf numFmtId="0" fontId="6" fillId="14" borderId="106">
      <alignment horizontal="center" vertical="center" wrapText="1"/>
    </xf>
    <xf numFmtId="0" fontId="6" fillId="14" borderId="101">
      <alignment horizontal="left" vertical="center" wrapText="1" indent="1"/>
    </xf>
    <xf numFmtId="0" fontId="6" fillId="14" borderId="107">
      <alignment horizontal="center" vertical="center" wrapText="1"/>
    </xf>
    <xf numFmtId="0" fontId="6" fillId="14" borderId="101">
      <alignment horizontal="center" vertical="center" wrapText="1"/>
    </xf>
    <xf numFmtId="0" fontId="6" fillId="14" borderId="108">
      <alignment horizontal="center" vertical="center" wrapText="1"/>
    </xf>
    <xf numFmtId="0" fontId="2" fillId="0" borderId="98" applyFill="0"/>
    <xf numFmtId="0" fontId="6" fillId="14" borderId="109">
      <alignment horizontal="center" vertical="center" wrapText="1"/>
    </xf>
    <xf numFmtId="0" fontId="6" fillId="14" borderId="107">
      <alignment horizontal="left" vertical="center" wrapText="1" indent="1"/>
    </xf>
    <xf numFmtId="0" fontId="6" fillId="14" borderId="110">
      <alignment horizontal="center" vertical="center" wrapText="1"/>
    </xf>
    <xf numFmtId="166" fontId="2" fillId="12" borderId="19">
      <alignment horizontal="right" vertical="center" wrapText="1"/>
    </xf>
    <xf numFmtId="166" fontId="2" fillId="12" borderId="23">
      <alignment horizontal="right" vertical="center" wrapText="1"/>
    </xf>
    <xf numFmtId="166" fontId="2" fillId="13" borderId="19">
      <alignment horizontal="right" vertical="center" wrapText="1"/>
      <protection locked="0"/>
    </xf>
    <xf numFmtId="0" fontId="6" fillId="14" borderId="111">
      <alignment horizontal="center" vertical="center" wrapText="1"/>
    </xf>
    <xf numFmtId="0" fontId="6" fillId="14" borderId="112">
      <alignment horizontal="center" vertical="center" wrapText="1"/>
    </xf>
    <xf numFmtId="0" fontId="6" fillId="14" borderId="24">
      <alignment horizontal="left" vertical="center" wrapText="1" indent="1"/>
    </xf>
    <xf numFmtId="0" fontId="6" fillId="14" borderId="24">
      <alignment horizontal="center" vertical="center" wrapText="1"/>
    </xf>
    <xf numFmtId="4" fontId="2" fillId="12" borderId="18">
      <alignment vertical="center" wrapText="1"/>
    </xf>
    <xf numFmtId="49" fontId="2" fillId="0" borderId="1" applyFill="0">
      <alignment horizontal="left" vertical="center" wrapText="1" indent="1"/>
    </xf>
    <xf numFmtId="4" fontId="2" fillId="0" borderId="1" applyFill="0">
      <alignment vertical="center" wrapText="1"/>
    </xf>
    <xf numFmtId="4" fontId="2" fillId="0" borderId="3" applyFill="0">
      <alignment vertical="center" wrapText="1"/>
    </xf>
    <xf numFmtId="4" fontId="2" fillId="0" borderId="78" applyFill="0">
      <alignment vertical="center" wrapText="1"/>
    </xf>
    <xf numFmtId="0" fontId="11" fillId="23" borderId="2">
      <alignment horizontal="center" vertical="center"/>
    </xf>
    <xf numFmtId="4" fontId="11" fillId="23" borderId="1">
      <alignment horizontal="right" vertical="center"/>
    </xf>
    <xf numFmtId="4" fontId="11" fillId="23" borderId="3">
      <alignment horizontal="right" vertical="center"/>
    </xf>
    <xf numFmtId="0" fontId="6" fillId="14" borderId="113">
      <alignment horizontal="center" vertical="center" wrapText="1"/>
    </xf>
    <xf numFmtId="0" fontId="6" fillId="14" borderId="114">
      <alignment horizontal="center" vertical="center" wrapText="1"/>
    </xf>
    <xf numFmtId="49" fontId="7" fillId="0" borderId="1" applyFill="0">
      <alignment horizontal="left" vertical="center" wrapText="1" indent="1"/>
    </xf>
    <xf numFmtId="49" fontId="7" fillId="0" borderId="1" applyFill="0">
      <alignment horizontal="center" vertical="center" wrapText="1"/>
    </xf>
    <xf numFmtId="4" fontId="7" fillId="0" borderId="1" applyFill="0">
      <alignment vertical="center" wrapText="1"/>
    </xf>
    <xf numFmtId="4" fontId="7" fillId="0" borderId="3" applyFill="0">
      <alignment vertical="center" wrapText="1"/>
    </xf>
    <xf numFmtId="4" fontId="7" fillId="0" borderId="78" applyFill="0">
      <alignment vertical="center" wrapText="1"/>
    </xf>
    <xf numFmtId="4" fontId="2" fillId="13" borderId="23">
      <alignment horizontal="right" vertical="center" wrapText="1"/>
      <protection locked="0"/>
    </xf>
    <xf numFmtId="4" fontId="11" fillId="23" borderId="78">
      <alignment horizontal="right" vertical="center"/>
    </xf>
    <xf numFmtId="49" fontId="2" fillId="11" borderId="2">
      <alignment horizontal="center" vertical="center" wrapText="1"/>
    </xf>
    <xf numFmtId="49" fontId="7" fillId="11" borderId="1">
      <alignment horizontal="left" vertical="center" wrapText="1" indent="1"/>
    </xf>
    <xf numFmtId="49" fontId="7" fillId="11" borderId="1">
      <alignment horizontal="center" vertical="center" wrapText="1"/>
    </xf>
    <xf numFmtId="4" fontId="2" fillId="11" borderId="1">
      <alignment vertical="center" wrapText="1"/>
    </xf>
    <xf numFmtId="4" fontId="2" fillId="11" borderId="3">
      <alignment vertical="center" wrapText="1"/>
    </xf>
    <xf numFmtId="4" fontId="2" fillId="11" borderId="78">
      <alignment vertical="center" wrapText="1"/>
    </xf>
    <xf numFmtId="4" fontId="11" fillId="23" borderId="2">
      <alignment horizontal="center" vertical="center"/>
    </xf>
    <xf numFmtId="0" fontId="6" fillId="0" borderId="0" applyFill="0" applyBorder="0">
      <alignment horizontal="center" vertical="center"/>
    </xf>
    <xf numFmtId="4" fontId="6" fillId="0" borderId="0" applyFill="0" applyBorder="0">
      <alignment horizontal="center" vertical="center"/>
    </xf>
    <xf numFmtId="49" fontId="2" fillId="0" borderId="79" applyFill="0">
      <alignment horizontal="center" vertical="center" wrapText="1"/>
    </xf>
    <xf numFmtId="49" fontId="2" fillId="0" borderId="19" applyFill="0">
      <alignment horizontal="left" vertical="center" wrapText="1"/>
    </xf>
    <xf numFmtId="0" fontId="51" fillId="0" borderId="0" applyFill="0" applyBorder="0">
      <alignment horizontal="left" vertical="top"/>
    </xf>
    <xf numFmtId="0" fontId="2" fillId="34" borderId="115">
      <alignment horizontal="center" vertical="center" textRotation="90" wrapText="1"/>
    </xf>
    <xf numFmtId="0" fontId="2" fillId="10" borderId="115">
      <alignment horizontal="center" vertical="center" textRotation="90" wrapText="1"/>
    </xf>
    <xf numFmtId="0" fontId="2" fillId="30" borderId="0" applyBorder="0">
      <alignment textRotation="90"/>
    </xf>
    <xf numFmtId="0" fontId="6" fillId="0" borderId="0" applyFill="0" applyBorder="0">
      <alignment horizontal="right" vertical="top"/>
    </xf>
    <xf numFmtId="0" fontId="2" fillId="34" borderId="0" applyBorder="0">
      <alignment horizontal="center"/>
    </xf>
    <xf numFmtId="0" fontId="2" fillId="34" borderId="0" applyBorder="0"/>
    <xf numFmtId="0" fontId="2" fillId="34" borderId="0" applyBorder="0">
      <alignment wrapText="1"/>
    </xf>
    <xf numFmtId="0" fontId="2" fillId="34" borderId="0" quotePrefix="1" applyBorder="0">
      <alignment horizontal="right"/>
    </xf>
    <xf numFmtId="0" fontId="2" fillId="34" borderId="0" quotePrefix="1" applyBorder="0">
      <alignment horizontal="right" vertical="center"/>
    </xf>
    <xf numFmtId="3" fontId="2" fillId="34" borderId="0" quotePrefix="1" applyBorder="0">
      <alignment horizontal="center" vertical="center"/>
    </xf>
    <xf numFmtId="4" fontId="2" fillId="34" borderId="0" quotePrefix="1" applyBorder="0">
      <alignment horizontal="center" vertical="center"/>
    </xf>
    <xf numFmtId="0" fontId="2" fillId="34" borderId="0" applyBorder="0">
      <alignment horizontal="center" vertical="center"/>
    </xf>
    <xf numFmtId="0" fontId="2" fillId="34" borderId="0" quotePrefix="1" applyBorder="0">
      <alignment horizontal="center" vertical="center"/>
    </xf>
    <xf numFmtId="0" fontId="6" fillId="0" borderId="0" quotePrefix="1" applyFill="0" applyBorder="0">
      <alignment wrapText="1"/>
    </xf>
    <xf numFmtId="0" fontId="2" fillId="0" borderId="0" quotePrefix="1" applyFill="0" applyBorder="0">
      <alignment horizontal="right"/>
    </xf>
    <xf numFmtId="4" fontId="2" fillId="0" borderId="0" quotePrefix="1" applyFill="0" applyBorder="0">
      <alignment horizontal="center" vertical="center"/>
    </xf>
    <xf numFmtId="4" fontId="2" fillId="0" borderId="0" quotePrefix="1" applyFill="0" applyBorder="0">
      <alignment horizontal="center"/>
    </xf>
    <xf numFmtId="0" fontId="2" fillId="0" borderId="0" quotePrefix="1" applyFill="0" applyBorder="0">
      <alignment horizontal="center" vertical="center"/>
    </xf>
    <xf numFmtId="4" fontId="2" fillId="0" borderId="0" applyFill="0" applyBorder="0">
      <alignment horizontal="center"/>
    </xf>
    <xf numFmtId="0" fontId="6" fillId="0" borderId="0" quotePrefix="1" applyFill="0" applyBorder="0"/>
    <xf numFmtId="0" fontId="2" fillId="30" borderId="0" applyBorder="0"/>
    <xf numFmtId="4" fontId="2" fillId="0" borderId="0" quotePrefix="1" applyFill="0" applyBorder="0">
      <alignment horizontal="right"/>
    </xf>
    <xf numFmtId="4" fontId="2" fillId="34" borderId="0" quotePrefix="1" applyBorder="0">
      <alignment horizontal="right"/>
    </xf>
    <xf numFmtId="0" fontId="6" fillId="0" borderId="0" applyFill="0" applyBorder="0">
      <alignment horizontal="right"/>
    </xf>
    <xf numFmtId="0" fontId="2" fillId="34" borderId="0" applyBorder="0">
      <alignment horizontal="right"/>
    </xf>
    <xf numFmtId="4" fontId="2" fillId="0" borderId="0" applyFill="0" applyBorder="0">
      <alignment horizontal="right"/>
    </xf>
    <xf numFmtId="49" fontId="6" fillId="0" borderId="0" quotePrefix="1" applyFill="0" applyBorder="0"/>
    <xf numFmtId="49" fontId="2" fillId="0" borderId="0" applyFill="0" applyBorder="0">
      <alignment horizontal="right"/>
    </xf>
    <xf numFmtId="49" fontId="2" fillId="34" borderId="0" applyBorder="0">
      <alignment horizontal="right"/>
    </xf>
    <xf numFmtId="4" fontId="2" fillId="0" borderId="0" applyFill="0" applyBorder="0">
      <alignment horizontal="center" vertical="center"/>
    </xf>
    <xf numFmtId="4" fontId="2" fillId="34" borderId="0" applyBorder="0">
      <alignment horizontal="center" vertical="center"/>
    </xf>
    <xf numFmtId="0" fontId="2" fillId="34" borderId="0" quotePrefix="1" applyBorder="0">
      <alignment wrapText="1"/>
    </xf>
    <xf numFmtId="0" fontId="6" fillId="0" borderId="0" quotePrefix="1" applyFill="0" applyBorder="0">
      <alignment vertical="top"/>
    </xf>
    <xf numFmtId="4" fontId="6" fillId="0" borderId="0" applyFill="0" applyBorder="0">
      <alignment horizontal="right" vertical="top"/>
    </xf>
    <xf numFmtId="0" fontId="6" fillId="0" borderId="116" applyFill="0">
      <alignment vertical="top"/>
    </xf>
    <xf numFmtId="0" fontId="2" fillId="34" borderId="117">
      <alignment wrapText="1"/>
    </xf>
    <xf numFmtId="4" fontId="6" fillId="0" borderId="117" applyFill="0">
      <alignment horizontal="right" vertical="top"/>
    </xf>
    <xf numFmtId="0" fontId="2" fillId="34" borderId="117">
      <alignment horizontal="center"/>
    </xf>
    <xf numFmtId="0" fontId="2" fillId="34" borderId="117"/>
    <xf numFmtId="0" fontId="2" fillId="34" borderId="118"/>
    <xf numFmtId="0" fontId="6" fillId="0" borderId="119" applyFill="0">
      <alignment vertical="top"/>
    </xf>
    <xf numFmtId="0" fontId="2" fillId="34" borderId="120"/>
    <xf numFmtId="0" fontId="6" fillId="0" borderId="121" applyFill="0">
      <alignment vertical="top"/>
    </xf>
    <xf numFmtId="0" fontId="2" fillId="34" borderId="32">
      <alignment wrapText="1"/>
    </xf>
    <xf numFmtId="4" fontId="6" fillId="0" borderId="32" applyFill="0">
      <alignment horizontal="right" vertical="top"/>
    </xf>
    <xf numFmtId="0" fontId="2" fillId="34" borderId="32">
      <alignment horizontal="center"/>
    </xf>
    <xf numFmtId="0" fontId="2" fillId="34" borderId="32"/>
    <xf numFmtId="0" fontId="2" fillId="34" borderId="122"/>
    <xf numFmtId="4" fontId="2" fillId="34" borderId="0" applyBorder="0">
      <alignment horizontal="right"/>
    </xf>
    <xf numFmtId="167" fontId="2" fillId="12" borderId="8">
      <alignment horizontal="right" vertical="center"/>
    </xf>
    <xf numFmtId="167" fontId="2" fillId="20" borderId="8">
      <alignment horizontal="right" vertical="center"/>
      <protection locked="0"/>
    </xf>
    <xf numFmtId="4" fontId="2" fillId="20" borderId="9">
      <alignment horizontal="right" vertical="center"/>
      <protection locked="0"/>
    </xf>
    <xf numFmtId="167" fontId="2" fillId="13" borderId="8">
      <alignment horizontal="right" vertical="center"/>
      <protection locked="0"/>
    </xf>
    <xf numFmtId="4" fontId="2" fillId="13" borderId="9">
      <alignment horizontal="right" vertical="center"/>
      <protection locked="0"/>
    </xf>
    <xf numFmtId="167" fontId="2" fillId="12" borderId="13">
      <alignment horizontal="right" vertical="center"/>
    </xf>
    <xf numFmtId="167" fontId="2" fillId="20" borderId="6">
      <alignment horizontal="right" vertical="center"/>
      <protection locked="0"/>
    </xf>
    <xf numFmtId="167" fontId="2" fillId="20" borderId="9">
      <alignment horizontal="right" vertical="center"/>
      <protection locked="0"/>
    </xf>
    <xf numFmtId="167" fontId="2" fillId="20" borderId="13">
      <alignment horizontal="right" vertical="center"/>
      <protection locked="0"/>
    </xf>
    <xf numFmtId="167" fontId="2" fillId="13" borderId="9">
      <alignment horizontal="right" vertical="center"/>
      <protection locked="0"/>
    </xf>
    <xf numFmtId="167" fontId="2" fillId="13" borderId="6">
      <alignment horizontal="right" vertical="center"/>
      <protection locked="0"/>
    </xf>
    <xf numFmtId="167" fontId="2" fillId="13" borderId="13">
      <alignment horizontal="right" vertical="center"/>
      <protection locked="0"/>
    </xf>
    <xf numFmtId="4" fontId="2" fillId="13" borderId="8">
      <alignment horizontal="right" vertical="center"/>
      <protection locked="0"/>
    </xf>
    <xf numFmtId="4" fontId="2" fillId="13" borderId="20">
      <alignment horizontal="right" vertical="center"/>
      <protection locked="0"/>
    </xf>
    <xf numFmtId="0" fontId="2" fillId="2" borderId="0" applyBorder="0"/>
    <xf numFmtId="167" fontId="2" fillId="12" borderId="20">
      <alignment horizontal="right" vertical="center"/>
    </xf>
    <xf numFmtId="4" fontId="2" fillId="13" borderId="15">
      <alignment horizontal="right" vertical="center"/>
      <protection locked="0"/>
    </xf>
    <xf numFmtId="4" fontId="2" fillId="12" borderId="15">
      <alignment horizontal="right" vertical="center"/>
    </xf>
    <xf numFmtId="4" fontId="2" fillId="12" borderId="61">
      <alignment horizontal="right" vertical="center"/>
    </xf>
    <xf numFmtId="4" fontId="2" fillId="12" borderId="13">
      <alignment horizontal="right" vertical="center"/>
    </xf>
    <xf numFmtId="4" fontId="2" fillId="13" borderId="13">
      <alignment horizontal="right" vertical="center"/>
      <protection locked="0"/>
    </xf>
    <xf numFmtId="0" fontId="4" fillId="0" borderId="0" applyFill="0" applyBorder="0"/>
    <xf numFmtId="167" fontId="4" fillId="0" borderId="0" applyFill="0" applyBorder="0">
      <protection locked="0"/>
    </xf>
    <xf numFmtId="167" fontId="4" fillId="13" borderId="0" applyBorder="0">
      <protection locked="0"/>
    </xf>
    <xf numFmtId="167" fontId="4" fillId="11" borderId="0" applyBorder="0"/>
    <xf numFmtId="167" fontId="4" fillId="0" borderId="0" applyFill="0" applyBorder="0"/>
    <xf numFmtId="167" fontId="4" fillId="12" borderId="0" applyBorder="0"/>
    <xf numFmtId="167" fontId="4" fillId="20" borderId="0" applyBorder="0">
      <protection locked="0"/>
    </xf>
    <xf numFmtId="0" fontId="4" fillId="12" borderId="0" applyBorder="0"/>
    <xf numFmtId="0" fontId="4" fillId="13" borderId="0" applyBorder="0">
      <protection locked="0"/>
    </xf>
    <xf numFmtId="4" fontId="4" fillId="0" borderId="0" applyFill="0" applyBorder="0"/>
    <xf numFmtId="4" fontId="4" fillId="12" borderId="0" applyBorder="0"/>
    <xf numFmtId="4" fontId="4" fillId="11" borderId="0" applyBorder="0"/>
    <xf numFmtId="4" fontId="4" fillId="0" borderId="0" applyFill="0" applyBorder="0">
      <protection locked="0"/>
    </xf>
    <xf numFmtId="4" fontId="4" fillId="13" borderId="0" applyBorder="0">
      <protection locked="0"/>
    </xf>
    <xf numFmtId="10" fontId="4" fillId="0" borderId="0" applyFill="0" applyBorder="0"/>
    <xf numFmtId="10" fontId="4" fillId="13" borderId="0" applyBorder="0">
      <protection locked="0"/>
    </xf>
    <xf numFmtId="0" fontId="4" fillId="0" borderId="0" applyFill="0" applyBorder="0">
      <protection locked="0"/>
    </xf>
    <xf numFmtId="170" fontId="4" fillId="0" borderId="0" applyFill="0" applyBorder="0">
      <protection locked="0"/>
    </xf>
    <xf numFmtId="170" fontId="4" fillId="13" borderId="0" applyBorder="0">
      <protection locked="0"/>
    </xf>
    <xf numFmtId="0" fontId="4" fillId="20" borderId="0" applyBorder="0">
      <protection locked="0"/>
    </xf>
    <xf numFmtId="170" fontId="4" fillId="20" borderId="0" applyBorder="0">
      <protection locked="0"/>
    </xf>
    <xf numFmtId="1" fontId="4" fillId="0" borderId="0" applyFill="0" applyBorder="0"/>
    <xf numFmtId="49" fontId="4" fillId="20" borderId="0" applyBorder="0">
      <alignment horizontal="left" vertical="center"/>
      <protection locked="0"/>
    </xf>
    <xf numFmtId="49" fontId="4" fillId="13" borderId="0" applyBorder="0">
      <alignment horizontal="left" vertical="center"/>
      <protection locked="0"/>
    </xf>
    <xf numFmtId="173" fontId="4" fillId="12" borderId="0" applyBorder="0"/>
    <xf numFmtId="173" fontId="4" fillId="13" borderId="0" applyBorder="0">
      <protection locked="0"/>
    </xf>
    <xf numFmtId="10" fontId="4" fillId="11" borderId="0" applyBorder="0"/>
    <xf numFmtId="10" fontId="4" fillId="12" borderId="0" applyBorder="0"/>
    <xf numFmtId="4" fontId="4" fillId="20" borderId="0" applyBorder="0">
      <protection locked="0"/>
    </xf>
    <xf numFmtId="169" fontId="4" fillId="0" borderId="0" applyFill="0" applyBorder="0">
      <protection locked="0"/>
    </xf>
    <xf numFmtId="169" fontId="4" fillId="13" borderId="0" applyBorder="0">
      <protection locked="0"/>
    </xf>
    <xf numFmtId="0" fontId="4" fillId="11" borderId="0" applyBorder="0"/>
    <xf numFmtId="49" fontId="4" fillId="13" borderId="0" applyBorder="0">
      <protection locked="0"/>
    </xf>
    <xf numFmtId="4" fontId="4" fillId="0" borderId="9" applyFill="0"/>
    <xf numFmtId="4" fontId="4" fillId="12" borderId="9"/>
    <xf numFmtId="4" fontId="4" fillId="13" borderId="9">
      <protection locked="0"/>
    </xf>
    <xf numFmtId="4" fontId="4" fillId="14" borderId="0" applyBorder="0"/>
    <xf numFmtId="4" fontId="4" fillId="0" borderId="9" applyFill="0">
      <protection locked="0"/>
    </xf>
    <xf numFmtId="4" fontId="4" fillId="20" borderId="9">
      <protection locked="0"/>
    </xf>
    <xf numFmtId="4" fontId="4" fillId="20" borderId="8">
      <protection locked="0"/>
    </xf>
    <xf numFmtId="4" fontId="4" fillId="13" borderId="8">
      <protection locked="0"/>
    </xf>
    <xf numFmtId="3" fontId="4" fillId="20" borderId="4">
      <protection locked="0"/>
    </xf>
    <xf numFmtId="1" fontId="2" fillId="13" borderId="4">
      <alignment horizontal="right" vertical="center"/>
      <protection locked="0"/>
    </xf>
    <xf numFmtId="4" fontId="4" fillId="20" borderId="15">
      <protection locked="0"/>
    </xf>
    <xf numFmtId="4" fontId="4" fillId="13" borderId="15">
      <protection locked="0"/>
    </xf>
    <xf numFmtId="4" fontId="2" fillId="12" borderId="9"/>
    <xf numFmtId="2" fontId="2" fillId="0" borderId="0" applyFill="0" applyBorder="0"/>
    <xf numFmtId="4" fontId="4" fillId="13" borderId="4">
      <protection locked="0"/>
    </xf>
    <xf numFmtId="166" fontId="4" fillId="13" borderId="4">
      <protection locked="0"/>
    </xf>
    <xf numFmtId="168" fontId="4" fillId="13" borderId="4">
      <protection locked="0"/>
    </xf>
    <xf numFmtId="167" fontId="4" fillId="13" borderId="4">
      <protection locked="0"/>
    </xf>
    <xf numFmtId="4" fontId="2" fillId="12" borderId="9" quotePrefix="1">
      <alignment horizontal="right" vertical="center"/>
    </xf>
    <xf numFmtId="0" fontId="2" fillId="13" borderId="4">
      <alignment horizontal="center" vertical="center"/>
      <protection locked="0"/>
    </xf>
    <xf numFmtId="0" fontId="6" fillId="0" borderId="1" applyFill="0">
      <alignment horizontal="center" vertical="center" wrapText="1"/>
    </xf>
    <xf numFmtId="0" fontId="6" fillId="0" borderId="3" applyFill="0">
      <alignment horizontal="center" vertical="center" wrapText="1"/>
    </xf>
    <xf numFmtId="0" fontId="2" fillId="14" borderId="28">
      <alignment horizontal="center" vertical="center" wrapText="1"/>
    </xf>
    <xf numFmtId="0" fontId="2" fillId="0" borderId="57" applyFill="0">
      <alignment horizontal="center" vertical="center" wrapText="1"/>
    </xf>
    <xf numFmtId="0" fontId="26" fillId="30" borderId="8">
      <alignment horizontal="center" vertical="center" wrapText="1"/>
    </xf>
    <xf numFmtId="0" fontId="26" fillId="30" borderId="15">
      <alignment horizontal="center" vertical="center" wrapText="1"/>
    </xf>
    <xf numFmtId="49" fontId="2" fillId="2" borderId="57">
      <alignment horizontal="center" vertical="center"/>
    </xf>
    <xf numFmtId="0" fontId="2" fillId="2" borderId="18">
      <alignment horizontal="left" vertical="center"/>
    </xf>
    <xf numFmtId="0" fontId="2" fillId="2" borderId="78">
      <alignment horizontal="center" vertical="center" wrapText="1"/>
    </xf>
    <xf numFmtId="0" fontId="2" fillId="2" borderId="0" applyBorder="0">
      <alignment horizontal="center" vertical="center" wrapText="1"/>
    </xf>
    <xf numFmtId="0" fontId="2" fillId="2" borderId="57">
      <alignment horizontal="center" vertical="center"/>
    </xf>
    <xf numFmtId="49" fontId="2" fillId="12" borderId="57">
      <alignment horizontal="center" vertical="center"/>
    </xf>
    <xf numFmtId="0" fontId="2" fillId="17" borderId="2">
      <alignment horizontal="left" vertical="center" wrapText="1"/>
    </xf>
    <xf numFmtId="0" fontId="2" fillId="17" borderId="1">
      <alignment horizontal="left" vertical="center" wrapText="1"/>
    </xf>
    <xf numFmtId="0" fontId="2" fillId="17" borderId="56">
      <alignment horizontal="left" vertical="center" wrapText="1"/>
    </xf>
    <xf numFmtId="167" fontId="6" fillId="0" borderId="1" applyFill="0">
      <alignment horizontal="left" vertical="center" wrapText="1"/>
    </xf>
    <xf numFmtId="0" fontId="2" fillId="0" borderId="98" applyFill="0">
      <alignment horizontal="right" vertical="center"/>
    </xf>
    <xf numFmtId="0" fontId="2" fillId="17" borderId="3">
      <alignment horizontal="left" vertical="center" wrapText="1"/>
    </xf>
    <xf numFmtId="0" fontId="2" fillId="17" borderId="17">
      <alignment horizontal="left" vertical="center" wrapText="1"/>
    </xf>
    <xf numFmtId="0" fontId="2" fillId="17" borderId="2">
      <alignment horizontal="left" vertical="center" wrapText="1" indent="1"/>
    </xf>
    <xf numFmtId="0" fontId="2" fillId="17" borderId="1">
      <alignment horizontal="left" vertical="center" wrapText="1" indent="1"/>
    </xf>
    <xf numFmtId="169" fontId="2" fillId="12" borderId="19">
      <alignment horizontal="right" vertical="center" wrapText="1"/>
    </xf>
    <xf numFmtId="169" fontId="2" fillId="13" borderId="19">
      <alignment horizontal="right" vertical="center" wrapText="1"/>
      <protection locked="0"/>
    </xf>
    <xf numFmtId="0" fontId="30" fillId="0" borderId="0" applyFill="0" applyBorder="0">
      <alignment horizontal="left" vertical="top"/>
    </xf>
    <xf numFmtId="0" fontId="2" fillId="17" borderId="2">
      <alignment horizontal="left" vertical="center" wrapText="1" indent="2"/>
    </xf>
    <xf numFmtId="0" fontId="2" fillId="17" borderId="1">
      <alignment horizontal="left" vertical="center" wrapText="1" indent="2"/>
    </xf>
    <xf numFmtId="167" fontId="2" fillId="13" borderId="23">
      <alignment horizontal="right" vertical="center"/>
      <protection locked="0"/>
    </xf>
    <xf numFmtId="4" fontId="2" fillId="0" borderId="1" applyFill="0">
      <alignment horizontal="right" vertical="center"/>
    </xf>
    <xf numFmtId="4" fontId="2" fillId="0" borderId="3" applyFill="0">
      <alignment horizontal="right" vertical="center"/>
    </xf>
    <xf numFmtId="0" fontId="2" fillId="30" borderId="2">
      <alignment horizontal="center" vertical="center"/>
    </xf>
    <xf numFmtId="0" fontId="2" fillId="30" borderId="1">
      <alignment horizontal="left" vertical="center" wrapText="1"/>
    </xf>
    <xf numFmtId="0" fontId="2" fillId="30" borderId="22">
      <alignment horizontal="left" vertical="center" wrapText="1"/>
    </xf>
    <xf numFmtId="0" fontId="2" fillId="30" borderId="22">
      <alignment horizontal="center" vertical="center" wrapText="1"/>
    </xf>
    <xf numFmtId="4" fontId="2" fillId="30" borderId="22">
      <alignment horizontal="right" vertical="center"/>
    </xf>
    <xf numFmtId="4" fontId="2" fillId="30" borderId="17">
      <alignment horizontal="right" vertical="center"/>
    </xf>
    <xf numFmtId="4" fontId="2" fillId="30" borderId="0" applyBorder="0">
      <alignment horizontal="right" vertical="center"/>
    </xf>
    <xf numFmtId="49" fontId="11" fillId="23" borderId="3">
      <alignment horizontal="left" vertical="center" indent="1"/>
    </xf>
    <xf numFmtId="0" fontId="51" fillId="17" borderId="0" applyBorder="0">
      <alignment horizontal="left" vertical="center"/>
    </xf>
    <xf numFmtId="164" fontId="6" fillId="0" borderId="0" applyFill="0" applyBorder="0">
      <alignment vertical="top"/>
    </xf>
    <xf numFmtId="49" fontId="2" fillId="17" borderId="0" applyBorder="0">
      <alignment horizontal="left" vertical="center"/>
    </xf>
    <xf numFmtId="49" fontId="2" fillId="17" borderId="1">
      <alignment horizontal="right" vertical="center"/>
    </xf>
    <xf numFmtId="49" fontId="2" fillId="17" borderId="0" applyBorder="0">
      <alignment horizontal="right" vertical="center"/>
    </xf>
    <xf numFmtId="0" fontId="26" fillId="44" borderId="0" applyBorder="0">
      <alignment horizontal="left" vertical="top"/>
    </xf>
    <xf numFmtId="49" fontId="2" fillId="20" borderId="71">
      <alignment horizontal="left" vertical="center" wrapText="1" indent="1"/>
    </xf>
    <xf numFmtId="49" fontId="2" fillId="0" borderId="72" applyFill="0">
      <alignment horizontal="center" vertical="center" wrapText="1"/>
    </xf>
    <xf numFmtId="49" fontId="2" fillId="20" borderId="72">
      <alignment horizontal="left" vertical="center" wrapText="1" indent="1"/>
    </xf>
    <xf numFmtId="0" fontId="2" fillId="12" borderId="72">
      <alignment horizontal="center" vertical="center" wrapText="1"/>
    </xf>
    <xf numFmtId="0" fontId="2" fillId="0" borderId="27" applyFill="0"/>
    <xf numFmtId="0" fontId="15" fillId="0" borderId="71" applyFill="0">
      <alignment horizontal="center" vertical="center" wrapText="1"/>
    </xf>
    <xf numFmtId="0" fontId="15" fillId="0" borderId="72" applyFill="0">
      <alignment horizontal="center" vertical="center" wrapText="1"/>
    </xf>
    <xf numFmtId="49" fontId="15" fillId="0" borderId="71" applyFill="0">
      <alignment horizontal="center" vertical="center"/>
    </xf>
    <xf numFmtId="0" fontId="26" fillId="0" borderId="0" applyFill="0" applyBorder="0">
      <alignment horizontal="left" vertical="top"/>
    </xf>
    <xf numFmtId="0" fontId="2" fillId="12" borderId="71">
      <alignment horizontal="left" vertical="center" wrapText="1"/>
    </xf>
    <xf numFmtId="0" fontId="2" fillId="30" borderId="71">
      <alignment horizontal="center" vertical="center" wrapText="1"/>
    </xf>
    <xf numFmtId="49" fontId="2" fillId="30" borderId="72">
      <alignment horizontal="center" vertical="center" wrapText="1"/>
    </xf>
    <xf numFmtId="0" fontId="2" fillId="30" borderId="72">
      <alignment horizontal="center" vertical="center" wrapText="1"/>
    </xf>
    <xf numFmtId="0" fontId="11" fillId="23" borderId="71">
      <alignment horizontal="left" vertical="center" indent="1"/>
    </xf>
    <xf numFmtId="0" fontId="26" fillId="23" borderId="27">
      <alignment horizontal="left" vertical="center" indent="1"/>
    </xf>
    <xf numFmtId="0" fontId="11" fillId="23" borderId="27">
      <alignment horizontal="left" vertical="center" wrapText="1"/>
    </xf>
    <xf numFmtId="0" fontId="2" fillId="0" borderId="72" applyFill="0">
      <alignment vertical="center" wrapText="1"/>
    </xf>
    <xf numFmtId="0" fontId="2" fillId="12" borderId="72">
      <alignment horizontal="left" vertical="center" wrapText="1"/>
    </xf>
    <xf numFmtId="49" fontId="2" fillId="12" borderId="72">
      <alignment horizontal="center" vertical="center" wrapText="1"/>
    </xf>
    <xf numFmtId="0" fontId="37" fillId="23" borderId="71">
      <alignment horizontal="left" vertical="center" indent="1"/>
    </xf>
    <xf numFmtId="4" fontId="2" fillId="0" borderId="27" applyFill="0">
      <alignment horizontal="right"/>
    </xf>
    <xf numFmtId="0" fontId="2" fillId="0" borderId="27" applyFill="0">
      <alignment wrapText="1"/>
    </xf>
    <xf numFmtId="0" fontId="26" fillId="0" borderId="27" applyFill="0"/>
    <xf numFmtId="49" fontId="2" fillId="30" borderId="71">
      <alignment horizontal="center" vertical="center" wrapText="1"/>
    </xf>
    <xf numFmtId="0" fontId="57" fillId="30" borderId="71">
      <alignment horizontal="center" vertical="top" wrapText="1"/>
    </xf>
    <xf numFmtId="0" fontId="15" fillId="0" borderId="71" applyFill="0">
      <alignment horizontal="center" vertical="center"/>
    </xf>
    <xf numFmtId="4" fontId="2" fillId="12" borderId="71">
      <alignment horizontal="right" vertical="center" wrapText="1" indent="1"/>
    </xf>
    <xf numFmtId="0" fontId="2" fillId="12" borderId="71">
      <alignment horizontal="right" vertical="center" wrapText="1"/>
    </xf>
    <xf numFmtId="167" fontId="2" fillId="12" borderId="71">
      <alignment horizontal="right" vertical="center" wrapText="1" indent="1"/>
    </xf>
    <xf numFmtId="49" fontId="2" fillId="13" borderId="71">
      <alignment horizontal="left" vertical="center" wrapText="1"/>
      <protection locked="0"/>
    </xf>
    <xf numFmtId="0" fontId="2" fillId="0" borderId="71" applyFill="0">
      <alignment horizontal="left" vertical="center" wrapText="1" indent="1"/>
    </xf>
    <xf numFmtId="49" fontId="2" fillId="20" borderId="71">
      <alignment horizontal="left" vertical="center" wrapText="1" indent="1"/>
      <protection locked="0"/>
    </xf>
    <xf numFmtId="49" fontId="2" fillId="20" borderId="72">
      <alignment horizontal="left" vertical="center" wrapText="1" indent="1"/>
      <protection locked="0"/>
    </xf>
    <xf numFmtId="49" fontId="2" fillId="20" borderId="71">
      <alignment horizontal="left" vertical="center" wrapText="1" indent="2"/>
      <protection locked="0"/>
    </xf>
    <xf numFmtId="0" fontId="2" fillId="13" borderId="71">
      <alignment horizontal="center" vertical="center" wrapText="1"/>
      <protection locked="0"/>
    </xf>
    <xf numFmtId="170" fontId="2" fillId="20" borderId="71">
      <alignment horizontal="center" vertical="center" wrapText="1"/>
      <protection locked="0"/>
    </xf>
    <xf numFmtId="0" fontId="2" fillId="20" borderId="71">
      <alignment horizontal="left" vertical="center" wrapText="1"/>
      <protection locked="0"/>
    </xf>
    <xf numFmtId="170" fontId="2" fillId="20" borderId="71">
      <alignment horizontal="left" vertical="center" wrapText="1"/>
      <protection locked="0"/>
    </xf>
    <xf numFmtId="167" fontId="2" fillId="13" borderId="71">
      <alignment horizontal="right" vertical="center" wrapText="1"/>
      <protection locked="0"/>
    </xf>
    <xf numFmtId="167" fontId="2" fillId="13" borderId="27">
      <alignment horizontal="right" vertical="center" wrapText="1"/>
      <protection locked="0"/>
    </xf>
    <xf numFmtId="49" fontId="2" fillId="13" borderId="71">
      <alignment horizontal="right" vertical="center" wrapText="1"/>
      <protection locked="0"/>
    </xf>
    <xf numFmtId="0" fontId="2" fillId="13" borderId="71">
      <alignment horizontal="right" vertical="center" wrapText="1"/>
      <protection locked="0"/>
    </xf>
    <xf numFmtId="49" fontId="2" fillId="20" borderId="72">
      <alignment horizontal="left" vertical="center" wrapText="1" indent="2"/>
      <protection locked="0"/>
    </xf>
    <xf numFmtId="0" fontId="2" fillId="13" borderId="72">
      <alignment horizontal="center" vertical="center" wrapText="1"/>
      <protection locked="0"/>
    </xf>
    <xf numFmtId="170" fontId="2" fillId="20" borderId="72">
      <alignment horizontal="center" vertical="center" wrapText="1"/>
      <protection locked="0"/>
    </xf>
    <xf numFmtId="0" fontId="2" fillId="20" borderId="72">
      <alignment horizontal="left" vertical="center" wrapText="1"/>
      <protection locked="0"/>
    </xf>
    <xf numFmtId="170" fontId="2" fillId="20" borderId="72">
      <alignment horizontal="left" vertical="center" wrapText="1"/>
      <protection locked="0"/>
    </xf>
    <xf numFmtId="167" fontId="2" fillId="13" borderId="72">
      <alignment horizontal="right" vertical="center" wrapText="1"/>
      <protection locked="0"/>
    </xf>
    <xf numFmtId="0" fontId="2" fillId="0" borderId="27" applyFill="0">
      <alignment horizontal="right"/>
    </xf>
    <xf numFmtId="0" fontId="2" fillId="20" borderId="72">
      <alignment horizontal="center" vertical="center" wrapText="1"/>
      <protection locked="0"/>
    </xf>
    <xf numFmtId="0" fontId="2" fillId="0" borderId="0" applyFill="0" applyBorder="0">
      <alignment horizontal="left"/>
    </xf>
    <xf numFmtId="0" fontId="2" fillId="12" borderId="4">
      <alignment horizontal="left" vertical="center" wrapText="1" indent="1"/>
    </xf>
    <xf numFmtId="0" fontId="2" fillId="20" borderId="4">
      <alignment horizontal="center" vertical="center" wrapText="1"/>
      <protection locked="0"/>
    </xf>
    <xf numFmtId="170" fontId="2" fillId="20" borderId="4">
      <alignment horizontal="center" vertical="center" wrapText="1"/>
      <protection locked="0"/>
    </xf>
    <xf numFmtId="49" fontId="2" fillId="20" borderId="4">
      <alignment horizontal="center" vertical="center" wrapText="1"/>
      <protection locked="0"/>
    </xf>
    <xf numFmtId="0" fontId="2" fillId="20" borderId="4">
      <alignment horizontal="left" vertical="center" wrapText="1"/>
      <protection locked="0"/>
    </xf>
    <xf numFmtId="170" fontId="2" fillId="20" borderId="14">
      <alignment horizontal="left" vertical="center" wrapText="1"/>
      <protection locked="0"/>
    </xf>
    <xf numFmtId="1" fontId="2" fillId="0" borderId="0" applyFill="0" applyBorder="0">
      <alignment horizontal="left" vertical="top"/>
    </xf>
    <xf numFmtId="0" fontId="6" fillId="0" borderId="71" applyFill="0">
      <alignment horizontal="center" vertical="center"/>
    </xf>
    <xf numFmtId="1" fontId="2" fillId="20" borderId="71">
      <alignment horizontal="left" vertical="center" wrapText="1" indent="1"/>
      <protection locked="0"/>
    </xf>
    <xf numFmtId="49" fontId="2" fillId="20" borderId="71">
      <alignment horizontal="left" vertical="center" wrapText="1"/>
      <protection locked="0"/>
    </xf>
    <xf numFmtId="1" fontId="2" fillId="13" borderId="71">
      <alignment horizontal="left" vertical="center" wrapText="1"/>
      <protection locked="0"/>
    </xf>
    <xf numFmtId="4" fontId="6" fillId="13" borderId="71">
      <alignment vertical="center" wrapText="1"/>
      <protection locked="0"/>
    </xf>
    <xf numFmtId="167" fontId="6" fillId="12" borderId="71">
      <alignment vertical="center" wrapText="1"/>
    </xf>
    <xf numFmtId="167" fontId="6" fillId="13" borderId="71">
      <alignment vertical="center" wrapText="1"/>
      <protection locked="0"/>
    </xf>
    <xf numFmtId="49" fontId="2" fillId="13" borderId="71">
      <alignment horizontal="center" vertical="center" wrapText="1"/>
      <protection locked="0"/>
    </xf>
    <xf numFmtId="0" fontId="6" fillId="0" borderId="72" applyFill="0"/>
    <xf numFmtId="0" fontId="3" fillId="0" borderId="0" applyFill="0" applyBorder="0">
      <alignment horizontal="left"/>
    </xf>
    <xf numFmtId="49" fontId="2" fillId="20" borderId="4">
      <alignment horizontal="left" vertical="center" wrapText="1" indent="1"/>
      <protection locked="0"/>
    </xf>
    <xf numFmtId="4" fontId="2" fillId="0" borderId="14" applyFill="0">
      <alignment horizontal="right" vertical="center" wrapText="1"/>
    </xf>
    <xf numFmtId="4" fontId="2" fillId="0" borderId="27" applyFill="0">
      <alignment horizontal="right" vertical="center" wrapText="1"/>
    </xf>
    <xf numFmtId="4" fontId="2" fillId="0" borderId="123" applyFill="0">
      <alignment horizontal="right" vertical="center" wrapText="1"/>
    </xf>
    <xf numFmtId="0" fontId="18" fillId="0" borderId="0" applyFill="0" applyBorder="0">
      <alignment horizontal="left" vertical="top"/>
    </xf>
    <xf numFmtId="0" fontId="58" fillId="0" borderId="0" applyFill="0" applyBorder="0"/>
    <xf numFmtId="49" fontId="2" fillId="0" borderId="4" applyFill="0">
      <alignment horizontal="left" vertical="center" wrapText="1" indent="2"/>
    </xf>
    <xf numFmtId="49" fontId="2" fillId="0" borderId="4" applyFill="0">
      <alignment horizontal="left" vertical="center" wrapText="1" indent="3"/>
    </xf>
    <xf numFmtId="0" fontId="2" fillId="0" borderId="29" applyFill="0"/>
    <xf numFmtId="49" fontId="2" fillId="20" borderId="4">
      <alignment horizontal="left" vertical="center" wrapText="1" indent="2"/>
      <protection locked="0"/>
    </xf>
    <xf numFmtId="0" fontId="7" fillId="0" borderId="27" applyFill="0">
      <alignment horizontal="center" vertical="center" wrapText="1"/>
    </xf>
    <xf numFmtId="0" fontId="2" fillId="0" borderId="14" applyFill="0">
      <alignment horizontal="left" vertical="center" wrapText="1"/>
    </xf>
    <xf numFmtId="4" fontId="2" fillId="13" borderId="4">
      <alignment vertical="center" wrapText="1"/>
      <protection locked="0"/>
    </xf>
    <xf numFmtId="0" fontId="11" fillId="23" borderId="0" applyBorder="0">
      <alignment horizontal="right" vertical="center"/>
    </xf>
    <xf numFmtId="0" fontId="11" fillId="23" borderId="0" applyBorder="0">
      <alignment horizontal="right" vertical="center" wrapText="1"/>
    </xf>
    <xf numFmtId="0" fontId="7" fillId="23" borderId="27">
      <alignment horizontal="left" vertical="center" indent="1"/>
    </xf>
    <xf numFmtId="0" fontId="7" fillId="23" borderId="27">
      <alignment horizontal="center" vertical="center"/>
    </xf>
    <xf numFmtId="0" fontId="11" fillId="23" borderId="27">
      <alignment horizontal="right" vertical="center"/>
    </xf>
    <xf numFmtId="0" fontId="11" fillId="23" borderId="27">
      <alignment horizontal="right" vertical="center" wrapText="1"/>
    </xf>
    <xf numFmtId="0" fontId="2" fillId="20" borderId="71">
      <alignment vertical="center" wrapText="1"/>
      <protection locked="0"/>
    </xf>
    <xf numFmtId="0" fontId="41" fillId="0" borderId="72" applyFill="0">
      <alignment horizontal="center" vertical="center" wrapText="1"/>
    </xf>
    <xf numFmtId="49" fontId="2" fillId="0" borderId="71" applyFill="0">
      <alignment horizontal="left" vertical="center" wrapText="1" indent="2"/>
    </xf>
    <xf numFmtId="4" fontId="2" fillId="13" borderId="71">
      <alignment vertical="center" wrapText="1"/>
      <protection locked="0"/>
    </xf>
    <xf numFmtId="49" fontId="41" fillId="0" borderId="72" applyFill="0">
      <alignment horizontal="center" vertical="center" wrapText="1"/>
    </xf>
    <xf numFmtId="0" fontId="26" fillId="10" borderId="0" applyBorder="0">
      <alignment horizontal="left" vertical="top"/>
    </xf>
    <xf numFmtId="0" fontId="2" fillId="0" borderId="72" applyFill="0">
      <alignment horizontal="center" vertical="center"/>
    </xf>
    <xf numFmtId="49" fontId="2" fillId="17" borderId="4">
      <alignment horizontal="center" vertical="center"/>
    </xf>
    <xf numFmtId="49" fontId="2" fillId="12" borderId="14" quotePrefix="1">
      <alignment horizontal="center" vertical="center" textRotation="90" wrapText="1"/>
    </xf>
    <xf numFmtId="0" fontId="2" fillId="17" borderId="25">
      <alignment vertical="center" wrapText="1"/>
    </xf>
    <xf numFmtId="0" fontId="2" fillId="17" borderId="23">
      <alignment vertical="center" wrapText="1"/>
    </xf>
    <xf numFmtId="0" fontId="2" fillId="0" borderId="27" applyFill="0">
      <alignment horizontal="left" vertical="center" wrapText="1"/>
    </xf>
    <xf numFmtId="0" fontId="8" fillId="0" borderId="27" applyFill="0">
      <alignment horizontal="left" vertical="center" wrapText="1"/>
    </xf>
    <xf numFmtId="4" fontId="2" fillId="0" borderId="27" applyFill="0">
      <alignment horizontal="right" vertical="center"/>
    </xf>
    <xf numFmtId="0" fontId="2" fillId="0" borderId="72" applyFill="0">
      <alignment horizontal="right" vertical="center"/>
    </xf>
    <xf numFmtId="0" fontId="2" fillId="17" borderId="57">
      <alignment vertical="center" wrapText="1"/>
    </xf>
    <xf numFmtId="0" fontId="2" fillId="17" borderId="79">
      <alignment vertical="center" wrapText="1"/>
    </xf>
    <xf numFmtId="4" fontId="11" fillId="23" borderId="27">
      <alignment horizontal="right" vertical="center"/>
    </xf>
    <xf numFmtId="4" fontId="11" fillId="23" borderId="27">
      <alignment horizontal="right" vertical="center" wrapText="1"/>
    </xf>
    <xf numFmtId="49" fontId="2" fillId="17" borderId="26">
      <alignment horizontal="center" vertical="center"/>
    </xf>
    <xf numFmtId="49" fontId="2" fillId="12" borderId="71" quotePrefix="1">
      <alignment horizontal="center" vertical="center" textRotation="90" wrapText="1"/>
    </xf>
    <xf numFmtId="0" fontId="2" fillId="0" borderId="55" applyFill="0">
      <alignment wrapText="1"/>
    </xf>
    <xf numFmtId="0" fontId="26" fillId="0" borderId="55" applyFill="0"/>
    <xf numFmtId="0" fontId="58" fillId="0" borderId="0" applyFill="0" applyBorder="0">
      <alignment horizontal="center" vertical="center"/>
    </xf>
    <xf numFmtId="0" fontId="15" fillId="0" borderId="23" applyFill="0">
      <alignment horizontal="center" vertical="center"/>
    </xf>
    <xf numFmtId="0" fontId="2" fillId="17" borderId="27">
      <alignment horizontal="center" vertical="center" wrapText="1"/>
    </xf>
    <xf numFmtId="0" fontId="2" fillId="17" borderId="71">
      <alignment horizontal="left" vertical="center" wrapText="1"/>
    </xf>
    <xf numFmtId="0" fontId="2" fillId="17" borderId="71">
      <alignment horizontal="center" vertical="center" wrapText="1"/>
    </xf>
    <xf numFmtId="172" fontId="2" fillId="20" borderId="71">
      <alignment horizontal="left" vertical="center" indent="1"/>
      <protection locked="0"/>
    </xf>
    <xf numFmtId="4" fontId="2" fillId="12" borderId="71">
      <alignment horizontal="right" vertical="center"/>
    </xf>
    <xf numFmtId="0" fontId="41" fillId="17" borderId="79">
      <alignment horizontal="center" vertical="center"/>
    </xf>
    <xf numFmtId="0" fontId="2" fillId="17" borderId="0" applyBorder="0">
      <alignment horizontal="center" vertical="center" wrapText="1"/>
    </xf>
    <xf numFmtId="0" fontId="2" fillId="17" borderId="72">
      <alignment horizontal="left" vertical="center" wrapText="1"/>
    </xf>
    <xf numFmtId="0" fontId="41" fillId="17" borderId="72">
      <alignment horizontal="center" vertical="center" wrapText="1"/>
    </xf>
    <xf numFmtId="0" fontId="2" fillId="0" borderId="71" applyFill="0">
      <alignment horizontal="left" vertical="center" wrapText="1" indent="2"/>
    </xf>
    <xf numFmtId="0" fontId="6" fillId="0" borderId="71" applyFill="0">
      <alignment horizontal="left" vertical="center" wrapText="1"/>
    </xf>
    <xf numFmtId="0" fontId="6" fillId="0" borderId="27" applyFill="0">
      <alignment horizontal="left" vertical="center" wrapText="1"/>
    </xf>
    <xf numFmtId="169" fontId="2" fillId="12" borderId="71">
      <alignment horizontal="right" vertical="center"/>
    </xf>
    <xf numFmtId="169" fontId="2" fillId="12" borderId="71">
      <alignment horizontal="right" vertical="center" wrapText="1"/>
    </xf>
    <xf numFmtId="169" fontId="2" fillId="12" borderId="4">
      <alignment horizontal="right" vertical="center"/>
    </xf>
    <xf numFmtId="169" fontId="2" fillId="13" borderId="71">
      <alignment horizontal="right" vertical="center"/>
      <protection locked="0"/>
    </xf>
    <xf numFmtId="169" fontId="2" fillId="13" borderId="4">
      <alignment horizontal="right" vertical="center"/>
      <protection locked="0"/>
    </xf>
    <xf numFmtId="169" fontId="2" fillId="13" borderId="71">
      <alignment horizontal="right" vertical="center" wrapText="1"/>
      <protection locked="0"/>
    </xf>
    <xf numFmtId="167" fontId="2" fillId="12" borderId="71">
      <alignment horizontal="right" vertical="center"/>
    </xf>
    <xf numFmtId="167" fontId="2" fillId="12" borderId="71">
      <alignment horizontal="right" vertical="center" wrapText="1"/>
    </xf>
    <xf numFmtId="167" fontId="2" fillId="13" borderId="71">
      <alignment horizontal="right" vertical="center"/>
      <protection locked="0"/>
    </xf>
    <xf numFmtId="167" fontId="2" fillId="13" borderId="26">
      <alignment horizontal="right" vertical="center"/>
      <protection locked="0"/>
    </xf>
    <xf numFmtId="49" fontId="2" fillId="13" borderId="26">
      <alignment horizontal="right" vertical="center" wrapText="1"/>
      <protection locked="0"/>
    </xf>
    <xf numFmtId="0" fontId="2" fillId="13" borderId="26">
      <alignment horizontal="right" vertical="center" wrapText="1"/>
      <protection locked="0"/>
    </xf>
    <xf numFmtId="0" fontId="7" fillId="0" borderId="0" applyFill="0" applyBorder="0">
      <alignment horizontal="center" vertical="top"/>
    </xf>
    <xf numFmtId="0" fontId="2" fillId="17" borderId="28">
      <alignment horizontal="center" vertical="center" wrapText="1"/>
    </xf>
    <xf numFmtId="0" fontId="2" fillId="17" borderId="28">
      <alignment horizontal="left" vertical="center" wrapText="1"/>
    </xf>
    <xf numFmtId="0" fontId="15" fillId="0" borderId="4" applyFill="0">
      <alignment horizontal="center" vertical="center"/>
    </xf>
    <xf numFmtId="172" fontId="2" fillId="20" borderId="4">
      <alignment horizontal="left" vertical="center" indent="1"/>
      <protection locked="0"/>
    </xf>
    <xf numFmtId="0" fontId="2" fillId="13" borderId="4">
      <alignment horizontal="center" vertical="center" wrapText="1"/>
      <protection locked="0"/>
    </xf>
    <xf numFmtId="4" fontId="2" fillId="12" borderId="27">
      <alignment horizontal="right" vertical="center"/>
    </xf>
    <xf numFmtId="0" fontId="41" fillId="17" borderId="79">
      <alignment horizontal="center" vertical="center" wrapText="1"/>
    </xf>
    <xf numFmtId="0" fontId="41" fillId="17" borderId="4">
      <alignment horizontal="center" vertical="center" wrapText="1"/>
    </xf>
    <xf numFmtId="4" fontId="2" fillId="13" borderId="71">
      <alignment horizontal="right" vertical="center"/>
      <protection locked="0"/>
    </xf>
    <xf numFmtId="0" fontId="2" fillId="0" borderId="4" quotePrefix="1" applyFill="0">
      <alignment horizontal="center" vertical="center" wrapText="1"/>
    </xf>
    <xf numFmtId="169" fontId="2" fillId="12" borderId="27">
      <alignment horizontal="right" vertical="center"/>
    </xf>
    <xf numFmtId="169" fontId="2" fillId="13" borderId="27">
      <alignment horizontal="right" vertical="center"/>
      <protection locked="0"/>
    </xf>
    <xf numFmtId="167" fontId="2" fillId="12" borderId="27">
      <alignment horizontal="right" vertical="center"/>
    </xf>
    <xf numFmtId="167" fontId="2" fillId="13" borderId="27">
      <alignment horizontal="right" vertical="center"/>
      <protection locked="0"/>
    </xf>
    <xf numFmtId="173" fontId="2" fillId="12" borderId="4">
      <alignment horizontal="right" vertical="center"/>
    </xf>
    <xf numFmtId="173" fontId="2" fillId="12" borderId="27">
      <alignment horizontal="right" vertical="center"/>
    </xf>
    <xf numFmtId="173" fontId="2" fillId="12" borderId="71">
      <alignment horizontal="right" vertical="center"/>
    </xf>
    <xf numFmtId="173" fontId="2" fillId="12" borderId="71">
      <alignment horizontal="right" vertical="center" wrapText="1"/>
    </xf>
    <xf numFmtId="173" fontId="2" fillId="13" borderId="4">
      <alignment horizontal="right" vertical="center"/>
      <protection locked="0"/>
    </xf>
    <xf numFmtId="173" fontId="2" fillId="13" borderId="27">
      <alignment horizontal="right" vertical="center"/>
      <protection locked="0"/>
    </xf>
    <xf numFmtId="173" fontId="2" fillId="13" borderId="71">
      <alignment horizontal="right" vertical="center"/>
      <protection locked="0"/>
    </xf>
    <xf numFmtId="173" fontId="6" fillId="0" borderId="71" applyFill="0">
      <alignment horizontal="left" vertical="center" wrapText="1"/>
    </xf>
    <xf numFmtId="173" fontId="6" fillId="0" borderId="27" applyFill="0">
      <alignment horizontal="left" vertical="center" wrapText="1"/>
    </xf>
    <xf numFmtId="173" fontId="2" fillId="13" borderId="71">
      <alignment horizontal="right" vertical="center" wrapText="1"/>
      <protection locked="0"/>
    </xf>
    <xf numFmtId="166" fontId="2" fillId="12" borderId="4">
      <alignment horizontal="right" vertical="center"/>
    </xf>
    <xf numFmtId="166" fontId="2" fillId="12" borderId="27">
      <alignment horizontal="right" vertical="center"/>
    </xf>
    <xf numFmtId="166" fontId="2" fillId="12" borderId="71">
      <alignment horizontal="right" vertical="center"/>
    </xf>
    <xf numFmtId="166" fontId="2" fillId="12" borderId="71">
      <alignment horizontal="right" vertical="center" wrapText="1"/>
    </xf>
    <xf numFmtId="166" fontId="2" fillId="13" borderId="4">
      <alignment horizontal="right" vertical="center"/>
      <protection locked="0"/>
    </xf>
    <xf numFmtId="166" fontId="2" fillId="13" borderId="27">
      <alignment horizontal="right" vertical="center"/>
      <protection locked="0"/>
    </xf>
    <xf numFmtId="166" fontId="2" fillId="13" borderId="71">
      <alignment horizontal="right" vertical="center"/>
      <protection locked="0"/>
    </xf>
    <xf numFmtId="166" fontId="6" fillId="0" borderId="71" applyFill="0">
      <alignment horizontal="left" vertical="center" wrapText="1"/>
    </xf>
    <xf numFmtId="166" fontId="6" fillId="0" borderId="27" applyFill="0">
      <alignment horizontal="left" vertical="center" wrapText="1"/>
    </xf>
    <xf numFmtId="0" fontId="41" fillId="17" borderId="18">
      <alignment horizontal="center" vertical="center" wrapText="1"/>
    </xf>
    <xf numFmtId="0" fontId="2" fillId="17" borderId="123">
      <alignment horizontal="center" vertical="center" wrapText="1"/>
    </xf>
    <xf numFmtId="0" fontId="2" fillId="17" borderId="123">
      <alignment horizontal="left" vertical="center" wrapText="1"/>
    </xf>
    <xf numFmtId="0" fontId="41" fillId="17" borderId="26">
      <alignment horizontal="center" vertical="center" wrapText="1"/>
    </xf>
    <xf numFmtId="0" fontId="2" fillId="17" borderId="26">
      <alignment horizontal="center" vertical="center" wrapText="1"/>
    </xf>
    <xf numFmtId="0" fontId="2" fillId="0" borderId="26" applyFill="0">
      <alignment horizontal="left" vertical="center" wrapText="1" indent="3"/>
    </xf>
    <xf numFmtId="0" fontId="2" fillId="13" borderId="26">
      <alignment horizontal="center" vertical="center" wrapText="1"/>
      <protection locked="0"/>
    </xf>
    <xf numFmtId="166" fontId="2" fillId="13" borderId="26">
      <alignment horizontal="right" vertical="center"/>
      <protection locked="0"/>
    </xf>
    <xf numFmtId="166" fontId="2" fillId="12" borderId="26">
      <alignment horizontal="right" vertical="center"/>
    </xf>
    <xf numFmtId="166" fontId="2" fillId="13" borderId="71">
      <alignment horizontal="right" vertical="center" wrapText="1"/>
      <protection locked="0"/>
    </xf>
    <xf numFmtId="49" fontId="15" fillId="0" borderId="0" applyFill="0" applyBorder="0">
      <alignment horizontal="right" vertical="center" indent="1"/>
    </xf>
    <xf numFmtId="0" fontId="2" fillId="12" borderId="71">
      <alignment horizontal="left" vertical="center" wrapText="1" indent="2"/>
    </xf>
    <xf numFmtId="0" fontId="2" fillId="12" borderId="27">
      <alignment horizontal="left" vertical="center" wrapText="1" indent="2"/>
    </xf>
    <xf numFmtId="0" fontId="59" fillId="0" borderId="71" applyFill="0"/>
    <xf numFmtId="4" fontId="2" fillId="0" borderId="71" applyFill="0">
      <alignment horizontal="right" vertical="center" wrapText="1"/>
    </xf>
    <xf numFmtId="49" fontId="11" fillId="23" borderId="27">
      <alignment horizontal="center" vertical="center" wrapText="1"/>
    </xf>
    <xf numFmtId="49" fontId="11" fillId="23" borderId="27">
      <alignment horizontal="right" vertical="center"/>
    </xf>
    <xf numFmtId="49" fontId="2" fillId="20" borderId="71">
      <alignment horizontal="left" vertical="center" wrapText="1" indent="3"/>
      <protection locked="0"/>
    </xf>
    <xf numFmtId="49" fontId="2" fillId="0" borderId="27" applyFill="0"/>
    <xf numFmtId="167" fontId="2" fillId="0" borderId="71" applyFill="0">
      <alignment horizontal="right" vertical="center" wrapText="1"/>
    </xf>
    <xf numFmtId="167" fontId="11" fillId="23" borderId="27">
      <alignment horizontal="center" vertical="center"/>
    </xf>
    <xf numFmtId="167" fontId="2" fillId="0" borderId="27" applyFill="0"/>
    <xf numFmtId="0" fontId="60" fillId="0" borderId="0" applyFill="0" applyBorder="0">
      <alignment vertical="top"/>
    </xf>
    <xf numFmtId="4" fontId="2" fillId="13" borderId="71">
      <alignment horizontal="right" vertical="center" wrapText="1"/>
    </xf>
    <xf numFmtId="49" fontId="6" fillId="0" borderId="0" applyFill="0" applyBorder="0">
      <alignment horizontal="left" vertical="top"/>
    </xf>
    <xf numFmtId="49" fontId="18" fillId="0" borderId="0" applyFill="0" applyBorder="0">
      <alignment vertical="top"/>
    </xf>
    <xf numFmtId="49" fontId="2" fillId="12" borderId="4">
      <alignment horizontal="left" vertical="center" wrapText="1" indent="1"/>
    </xf>
    <xf numFmtId="49" fontId="2" fillId="13" borderId="4">
      <alignment horizontal="center" vertical="center" wrapText="1"/>
      <protection locked="0"/>
    </xf>
    <xf numFmtId="4" fontId="6" fillId="12" borderId="4">
      <alignment horizontal="right" vertical="center"/>
    </xf>
    <xf numFmtId="4" fontId="6" fillId="13" borderId="4">
      <alignment horizontal="right" vertical="center"/>
      <protection locked="0"/>
    </xf>
    <xf numFmtId="167" fontId="6" fillId="12" borderId="4">
      <alignment horizontal="right" vertical="center"/>
    </xf>
    <xf numFmtId="167" fontId="6" fillId="13" borderId="4">
      <alignment horizontal="right" vertical="center"/>
      <protection locked="0"/>
    </xf>
    <xf numFmtId="49" fontId="2" fillId="13" borderId="26">
      <alignment horizontal="center" vertical="center" wrapText="1"/>
      <protection locked="0"/>
    </xf>
    <xf numFmtId="167" fontId="6" fillId="13" borderId="26">
      <alignment horizontal="right" vertical="center"/>
      <protection locked="0"/>
    </xf>
    <xf numFmtId="49" fontId="2" fillId="12" borderId="4">
      <alignment horizontal="left" vertical="center" wrapText="1"/>
    </xf>
    <xf numFmtId="0" fontId="8" fillId="0" borderId="4" applyFill="0">
      <alignment horizontal="left" vertical="center" indent="3"/>
    </xf>
    <xf numFmtId="0" fontId="2" fillId="0" borderId="26" applyFill="0">
      <alignment horizontal="left" vertical="center" wrapText="1" indent="4"/>
    </xf>
    <xf numFmtId="4" fontId="6" fillId="13" borderId="26">
      <alignment horizontal="right" vertical="center"/>
      <protection locked="0"/>
    </xf>
    <xf numFmtId="0" fontId="2" fillId="0" borderId="0" applyFill="0" applyBorder="0">
      <alignment horizontal="left" vertical="top" wrapText="1"/>
    </xf>
    <xf numFmtId="172" fontId="6" fillId="0" borderId="0" applyFill="0" applyBorder="0">
      <alignment horizontal="left" vertical="top"/>
    </xf>
    <xf numFmtId="49" fontId="2" fillId="13" borderId="4">
      <alignment horizontal="center" vertical="center"/>
      <protection locked="0"/>
    </xf>
    <xf numFmtId="0" fontId="6" fillId="11" borderId="4">
      <alignment horizontal="center" vertical="center" wrapText="1"/>
    </xf>
    <xf numFmtId="0" fontId="6" fillId="0" borderId="4" applyFill="0">
      <alignment horizontal="left" vertical="center" indent="2"/>
    </xf>
    <xf numFmtId="0" fontId="6" fillId="0" borderId="4" applyFill="0">
      <alignment horizontal="left" vertical="center" wrapText="1" indent="2"/>
    </xf>
    <xf numFmtId="49" fontId="6" fillId="11" borderId="4">
      <alignment horizontal="center" vertical="center" wrapText="1"/>
    </xf>
    <xf numFmtId="49" fontId="2" fillId="13" borderId="26">
      <alignment horizontal="center" vertical="center"/>
      <protection locked="0"/>
    </xf>
    <xf numFmtId="49" fontId="6" fillId="11" borderId="26">
      <alignment horizontal="center" vertical="center" wrapText="1"/>
    </xf>
    <xf numFmtId="0" fontId="6" fillId="0" borderId="55" applyFill="0">
      <alignment horizontal="center" vertical="center"/>
    </xf>
    <xf numFmtId="0" fontId="2" fillId="0" borderId="55" applyFill="0">
      <alignment horizontal="left" vertical="center" wrapText="1" indent="2"/>
    </xf>
    <xf numFmtId="0" fontId="6" fillId="0" borderId="55" applyFill="0">
      <alignment horizontal="center" vertical="center" wrapText="1"/>
    </xf>
    <xf numFmtId="0" fontId="6" fillId="0" borderId="55" applyFill="0">
      <alignment horizontal="right" vertical="center"/>
    </xf>
    <xf numFmtId="0" fontId="6" fillId="0" borderId="55" applyFill="0">
      <alignment horizontal="right" vertical="center" wrapText="1"/>
    </xf>
    <xf numFmtId="0" fontId="6" fillId="0" borderId="26" applyFill="0">
      <alignment horizontal="left" vertical="center" wrapText="1" indent="2"/>
    </xf>
    <xf numFmtId="49" fontId="2" fillId="20" borderId="26">
      <alignment horizontal="center" vertical="center" wrapText="1"/>
      <protection locked="0"/>
    </xf>
    <xf numFmtId="0" fontId="2" fillId="0" borderId="26" applyFill="0">
      <alignment horizontal="left" vertical="center" wrapText="1" indent="2"/>
    </xf>
    <xf numFmtId="0" fontId="6" fillId="11" borderId="26">
      <alignment horizontal="center" vertical="center" wrapText="1"/>
    </xf>
    <xf numFmtId="0" fontId="6" fillId="17" borderId="0" applyBorder="0">
      <alignment horizontal="left" vertical="top"/>
    </xf>
    <xf numFmtId="49" fontId="2" fillId="17" borderId="71">
      <alignment horizontal="center" vertical="center" wrapText="1"/>
    </xf>
    <xf numFmtId="49" fontId="2" fillId="20" borderId="71">
      <alignment vertical="center" wrapText="1"/>
      <protection locked="0"/>
    </xf>
    <xf numFmtId="0" fontId="2" fillId="0" borderId="71" applyFill="0">
      <alignment horizontal="right" vertical="center" wrapText="1"/>
    </xf>
    <xf numFmtId="0" fontId="2" fillId="0" borderId="72" applyFill="0">
      <alignment wrapText="1"/>
    </xf>
    <xf numFmtId="0" fontId="18" fillId="19" borderId="0" applyBorder="0">
      <alignment vertical="top"/>
    </xf>
    <xf numFmtId="49" fontId="36" fillId="0" borderId="0" applyFill="0" applyBorder="0">
      <alignment horizontal="right" vertical="center" indent="1"/>
    </xf>
    <xf numFmtId="4" fontId="2" fillId="13" borderId="71">
      <alignment horizontal="right"/>
      <protection locked="0"/>
    </xf>
    <xf numFmtId="164" fontId="2" fillId="0" borderId="72" applyFill="0">
      <alignment wrapText="1"/>
    </xf>
    <xf numFmtId="0" fontId="2" fillId="20" borderId="71">
      <alignment horizontal="left" vertical="center" wrapText="1" indent="2"/>
      <protection locked="0"/>
    </xf>
    <xf numFmtId="0" fontId="2" fillId="0" borderId="71" applyFill="0">
      <alignment vertical="center"/>
    </xf>
    <xf numFmtId="0" fontId="2" fillId="0" borderId="71" applyFill="0">
      <alignment horizontal="left" vertical="center" indent="3"/>
    </xf>
    <xf numFmtId="10" fontId="2" fillId="13" borderId="71">
      <alignment horizontal="right" vertical="center" wrapText="1"/>
      <protection locked="0"/>
    </xf>
    <xf numFmtId="10" fontId="2" fillId="12" borderId="71">
      <alignment horizontal="right" vertical="center" wrapText="1"/>
    </xf>
    <xf numFmtId="2" fontId="2" fillId="0" borderId="72" applyFill="0">
      <alignment horizontal="center" vertical="center"/>
    </xf>
    <xf numFmtId="10" fontId="2" fillId="12" borderId="71">
      <alignment horizontal="right" vertical="center"/>
    </xf>
    <xf numFmtId="10" fontId="2" fillId="0" borderId="72" applyFill="0">
      <alignment horizontal="center" vertical="center" wrapText="1"/>
    </xf>
    <xf numFmtId="0" fontId="26" fillId="0" borderId="0" applyFill="0" applyBorder="0">
      <alignment horizontal="right" vertical="center" wrapText="1" indent="1"/>
    </xf>
    <xf numFmtId="16" fontId="2" fillId="0" borderId="2" applyFill="0">
      <alignment horizontal="center" vertical="center"/>
    </xf>
    <xf numFmtId="0" fontId="2" fillId="11" borderId="18">
      <alignment horizontal="left" vertical="center" wrapText="1" indent="1"/>
    </xf>
    <xf numFmtId="16" fontId="2" fillId="0" borderId="19" applyFill="0">
      <alignment horizontal="center" vertical="center"/>
    </xf>
    <xf numFmtId="0" fontId="8" fillId="0" borderId="0" applyFill="0" applyBorder="0">
      <alignment horizontal="left" vertical="top"/>
    </xf>
    <xf numFmtId="0" fontId="2" fillId="17" borderId="71">
      <alignment horizontal="center" vertical="center"/>
    </xf>
    <xf numFmtId="170" fontId="2" fillId="20" borderId="71">
      <alignment horizontal="center" vertical="center"/>
      <protection locked="0"/>
    </xf>
    <xf numFmtId="49" fontId="2" fillId="20" borderId="71">
      <alignment horizontal="left" vertical="center"/>
      <protection locked="0"/>
    </xf>
    <xf numFmtId="4" fontId="2" fillId="20" borderId="71">
      <alignment horizontal="right" vertical="center"/>
      <protection locked="0"/>
    </xf>
    <xf numFmtId="0" fontId="2" fillId="13" borderId="71">
      <alignment horizontal="center" vertical="center"/>
      <protection locked="0"/>
    </xf>
    <xf numFmtId="4" fontId="2" fillId="20" borderId="71">
      <alignment horizontal="right" vertical="center" wrapText="1"/>
      <protection locked="0"/>
    </xf>
    <xf numFmtId="0" fontId="31" fillId="13" borderId="71">
      <alignment horizontal="left" vertical="center"/>
      <protection locked="0"/>
    </xf>
    <xf numFmtId="0" fontId="2" fillId="17" borderId="4">
      <alignment horizontal="center" vertical="center"/>
    </xf>
    <xf numFmtId="49" fontId="2" fillId="20" borderId="4">
      <alignment horizontal="left" vertical="center"/>
      <protection locked="0"/>
    </xf>
    <xf numFmtId="4" fontId="2" fillId="20" borderId="4">
      <alignment horizontal="right" vertical="center"/>
      <protection locked="0"/>
    </xf>
    <xf numFmtId="4" fontId="2" fillId="20" borderId="14">
      <alignment horizontal="right" vertical="center"/>
      <protection locked="0"/>
    </xf>
    <xf numFmtId="4" fontId="2" fillId="13" borderId="97">
      <alignment horizontal="right" vertical="center"/>
      <protection locked="0"/>
    </xf>
    <xf numFmtId="4" fontId="2" fillId="13" borderId="28">
      <alignment horizontal="right" vertical="center"/>
      <protection locked="0"/>
    </xf>
    <xf numFmtId="0" fontId="31" fillId="13" borderId="4">
      <alignment horizontal="left" vertical="center"/>
      <protection locked="0"/>
    </xf>
    <xf numFmtId="0" fontId="61" fillId="0" borderId="0" applyFill="0" applyBorder="0">
      <alignment vertical="top"/>
    </xf>
    <xf numFmtId="49" fontId="2" fillId="0" borderId="71" applyFill="0">
      <alignment vertical="center" wrapText="1"/>
    </xf>
    <xf numFmtId="49" fontId="2" fillId="13" borderId="71">
      <alignment vertical="center" wrapText="1"/>
      <protection locked="0"/>
    </xf>
    <xf numFmtId="0" fontId="2" fillId="0" borderId="71" applyFill="0">
      <alignment vertical="center" wrapText="1"/>
    </xf>
    <xf numFmtId="170" fontId="2" fillId="13" borderId="71">
      <alignment horizontal="center" vertical="center" wrapText="1"/>
      <protection locked="0"/>
    </xf>
    <xf numFmtId="3" fontId="2" fillId="12" borderId="71">
      <alignment vertical="center" wrapText="1"/>
    </xf>
    <xf numFmtId="3" fontId="2" fillId="13" borderId="71">
      <alignment horizontal="right" vertical="center" wrapText="1"/>
      <protection locked="0"/>
    </xf>
    <xf numFmtId="3" fontId="2" fillId="13" borderId="71">
      <alignment vertical="center" wrapText="1"/>
      <protection locked="0"/>
    </xf>
    <xf numFmtId="0" fontId="2" fillId="0" borderId="27" applyFill="0">
      <alignment horizontal="right" vertical="center" indent="1"/>
    </xf>
    <xf numFmtId="170" fontId="2" fillId="0" borderId="27" applyFill="0"/>
    <xf numFmtId="168" fontId="2" fillId="0" borderId="27" applyFill="0"/>
    <xf numFmtId="49" fontId="15" fillId="0" borderId="4" applyFill="0">
      <alignment horizontal="center" vertical="center"/>
    </xf>
    <xf numFmtId="49" fontId="2" fillId="20" borderId="4">
      <alignment vertical="center" wrapText="1"/>
      <protection locked="0"/>
    </xf>
    <xf numFmtId="49" fontId="2" fillId="13" borderId="4">
      <alignment vertical="center" wrapText="1"/>
      <protection locked="0"/>
    </xf>
    <xf numFmtId="49" fontId="2" fillId="0" borderId="4" applyFill="0">
      <alignment vertical="center" wrapText="1"/>
    </xf>
    <xf numFmtId="49" fontId="2" fillId="13" borderId="4">
      <alignment horizontal="left" vertical="center" wrapText="1"/>
      <protection locked="0"/>
    </xf>
    <xf numFmtId="49" fontId="2" fillId="20" borderId="4">
      <alignment horizontal="left" vertical="center" wrapText="1"/>
      <protection locked="0"/>
    </xf>
    <xf numFmtId="170" fontId="2" fillId="13" borderId="4">
      <alignment horizontal="center" vertical="center" wrapText="1"/>
      <protection locked="0"/>
    </xf>
    <xf numFmtId="3" fontId="2" fillId="12" borderId="4">
      <alignment vertical="center" wrapText="1"/>
    </xf>
    <xf numFmtId="3" fontId="2" fillId="13" borderId="4">
      <alignment horizontal="right" vertical="center" wrapText="1"/>
      <protection locked="0"/>
    </xf>
    <xf numFmtId="3" fontId="2" fillId="13" borderId="4">
      <alignment vertical="center" wrapText="1"/>
      <protection locked="0"/>
    </xf>
    <xf numFmtId="14" fontId="2" fillId="13" borderId="4">
      <alignment horizontal="center" vertical="center" wrapText="1"/>
      <protection locked="0"/>
    </xf>
    <xf numFmtId="4" fontId="2" fillId="20" borderId="71">
      <alignment vertical="center" wrapText="1"/>
      <protection locked="0"/>
    </xf>
    <xf numFmtId="3" fontId="2" fillId="20" borderId="71">
      <alignment horizontal="right" vertical="center" wrapText="1"/>
      <protection locked="0"/>
    </xf>
    <xf numFmtId="0" fontId="2" fillId="13" borderId="71">
      <alignment vertical="center" wrapText="1"/>
      <protection locked="0"/>
    </xf>
    <xf numFmtId="4" fontId="2" fillId="0" borderId="72" applyFill="0"/>
    <xf numFmtId="170" fontId="2" fillId="13" borderId="27">
      <alignment horizontal="right" vertical="center" wrapText="1"/>
      <protection locked="0"/>
    </xf>
    <xf numFmtId="4" fontId="2" fillId="0" borderId="72" applyFill="0">
      <alignment horizontal="right" vertical="center"/>
    </xf>
    <xf numFmtId="170" fontId="2" fillId="13" borderId="71">
      <alignment horizontal="right" vertical="center" wrapText="1"/>
      <protection locked="0"/>
    </xf>
    <xf numFmtId="4" fontId="2" fillId="13" borderId="14">
      <alignment horizontal="right" vertical="center" wrapText="1"/>
      <protection locked="0"/>
    </xf>
    <xf numFmtId="0" fontId="18" fillId="0" borderId="0" applyFill="0" applyBorder="0">
      <alignment horizontal="right" vertical="top"/>
    </xf>
    <xf numFmtId="0" fontId="41" fillId="0" borderId="71" applyFill="0">
      <alignment horizontal="center" vertical="center"/>
    </xf>
    <xf numFmtId="0" fontId="6" fillId="0" borderId="71" applyFill="0"/>
    <xf numFmtId="0" fontId="7" fillId="0" borderId="71" applyFill="0">
      <alignment horizontal="center" vertical="center"/>
    </xf>
    <xf numFmtId="0" fontId="2" fillId="0" borderId="71" applyFill="0">
      <alignment horizontal="right" vertical="center"/>
    </xf>
    <xf numFmtId="2" fontId="2" fillId="12" borderId="71">
      <alignment horizontal="right" vertical="center"/>
    </xf>
    <xf numFmtId="0" fontId="6" fillId="0" borderId="27" applyFill="0"/>
    <xf numFmtId="0" fontId="2" fillId="13" borderId="27">
      <alignment horizontal="right" vertical="center" wrapText="1"/>
      <protection locked="0"/>
    </xf>
    <xf numFmtId="4" fontId="2" fillId="13" borderId="27">
      <alignment horizontal="right" vertical="center" wrapText="1"/>
      <protection locked="0"/>
    </xf>
    <xf numFmtId="0" fontId="37" fillId="23" borderId="71">
      <alignment horizontal="center" vertical="center"/>
    </xf>
    <xf numFmtId="0" fontId="2" fillId="0" borderId="71" applyFill="0">
      <alignment wrapText="1"/>
    </xf>
    <xf numFmtId="2" fontId="2" fillId="13" borderId="71">
      <alignment horizontal="right" vertical="center"/>
      <protection locked="0"/>
    </xf>
    <xf numFmtId="0" fontId="2" fillId="13" borderId="71">
      <alignment horizontal="left" vertical="center" wrapText="1"/>
      <protection locked="0"/>
    </xf>
    <xf numFmtId="49" fontId="2" fillId="0" borderId="71" applyFill="0">
      <alignment horizontal="right" vertical="center"/>
    </xf>
    <xf numFmtId="4" fontId="2" fillId="0" borderId="71" applyFill="0">
      <alignment horizontal="right" vertical="center"/>
    </xf>
    <xf numFmtId="0" fontId="41" fillId="0" borderId="71" applyFill="0"/>
    <xf numFmtId="49" fontId="11" fillId="23" borderId="71">
      <alignment horizontal="left" vertical="center"/>
    </xf>
    <xf numFmtId="0" fontId="48" fillId="0" borderId="0" applyFill="0" applyBorder="0">
      <alignment horizontal="right" vertical="top"/>
    </xf>
    <xf numFmtId="0" fontId="2" fillId="20" borderId="71">
      <alignment horizontal="left" vertical="center" wrapText="1" indent="1"/>
      <protection locked="0"/>
    </xf>
    <xf numFmtId="0" fontId="2" fillId="13" borderId="71">
      <alignment horizontal="right" vertical="center"/>
      <protection locked="0"/>
    </xf>
    <xf numFmtId="0" fontId="2" fillId="13" borderId="71">
      <alignment horizontal="left" vertical="center"/>
      <protection locked="0"/>
    </xf>
    <xf numFmtId="49" fontId="7" fillId="0" borderId="71" applyFill="0">
      <alignment horizontal="center" vertical="center" wrapText="1"/>
    </xf>
    <xf numFmtId="0" fontId="2" fillId="39" borderId="71">
      <alignment horizontal="left" vertical="center" wrapText="1" indent="1"/>
      <protection locked="0"/>
    </xf>
    <xf numFmtId="49" fontId="2" fillId="20" borderId="71">
      <alignment horizontal="left" vertical="center" indent="1"/>
      <protection locked="0"/>
    </xf>
    <xf numFmtId="49" fontId="2" fillId="13" borderId="71">
      <alignment horizontal="center" vertical="center"/>
      <protection locked="0"/>
    </xf>
    <xf numFmtId="0" fontId="36" fillId="0" borderId="71" applyFill="0">
      <alignment horizontal="center" vertical="center" wrapText="1"/>
    </xf>
    <xf numFmtId="49" fontId="2" fillId="13" borderId="71">
      <alignment horizontal="left" vertical="center" indent="1"/>
      <protection locked="0"/>
    </xf>
    <xf numFmtId="0" fontId="2" fillId="13" borderId="71">
      <alignment horizontal="right"/>
      <protection locked="0"/>
    </xf>
    <xf numFmtId="49" fontId="2" fillId="39" borderId="71">
      <alignment horizontal="left" vertical="center" wrapText="1" indent="1"/>
      <protection locked="0"/>
    </xf>
    <xf numFmtId="49" fontId="6" fillId="0" borderId="71" applyFill="0">
      <alignment horizontal="center" vertical="center"/>
    </xf>
    <xf numFmtId="4" fontId="6" fillId="13" borderId="71">
      <alignment horizontal="right" vertical="center"/>
      <protection locked="0"/>
    </xf>
    <xf numFmtId="0" fontId="4" fillId="0" borderId="72" applyFill="0"/>
    <xf numFmtId="4" fontId="11" fillId="12" borderId="71">
      <alignment horizontal="right" vertical="center"/>
    </xf>
    <xf numFmtId="4" fontId="2" fillId="0" borderId="4" applyFill="0">
      <alignment horizontal="right" vertical="center"/>
    </xf>
    <xf numFmtId="49" fontId="2" fillId="13" borderId="27">
      <alignment horizontal="right" vertical="center" wrapText="1"/>
      <protection locked="0"/>
    </xf>
    <xf numFmtId="0" fontId="2" fillId="14" borderId="71">
      <alignment horizontal="center" vertical="center" wrapText="1"/>
    </xf>
    <xf numFmtId="0" fontId="2" fillId="14" borderId="71">
      <alignment horizontal="left" vertical="center" wrapText="1" indent="1"/>
    </xf>
    <xf numFmtId="0" fontId="2" fillId="14" borderId="27">
      <alignment horizontal="center" vertical="center" wrapText="1"/>
    </xf>
    <xf numFmtId="4" fontId="6" fillId="12" borderId="71">
      <alignment horizontal="right" vertical="center"/>
    </xf>
    <xf numFmtId="0" fontId="2" fillId="14" borderId="72">
      <alignment horizontal="center" vertical="center" wrapText="1"/>
    </xf>
    <xf numFmtId="0" fontId="2" fillId="14" borderId="71">
      <alignment horizontal="left" vertical="center" wrapText="1" indent="2"/>
    </xf>
    <xf numFmtId="49" fontId="2" fillId="13" borderId="27">
      <alignment horizontal="center" vertical="center" wrapText="1"/>
      <protection locked="0"/>
    </xf>
    <xf numFmtId="49" fontId="4" fillId="0" borderId="0" applyFill="0" applyBorder="0">
      <alignment horizontal="left" vertical="top"/>
    </xf>
    <xf numFmtId="0" fontId="2" fillId="0" borderId="71" applyFill="0">
      <alignment horizontal="left" vertical="center" wrapText="1" indent="3"/>
    </xf>
    <xf numFmtId="0" fontId="2" fillId="0" borderId="71" applyFill="0">
      <alignment horizontal="left" vertical="center" wrapText="1" indent="4"/>
    </xf>
    <xf numFmtId="0" fontId="2" fillId="0" borderId="71" applyFill="0">
      <alignment horizontal="left" vertical="center" wrapText="1" indent="5"/>
    </xf>
    <xf numFmtId="0" fontId="6" fillId="0" borderId="71" applyFill="0">
      <alignment horizontal="left" vertical="center" wrapText="1" indent="3"/>
    </xf>
    <xf numFmtId="0" fontId="6" fillId="0" borderId="71" applyFill="0">
      <alignment horizontal="left" vertical="center" wrapText="1" indent="2"/>
    </xf>
    <xf numFmtId="0" fontId="2" fillId="0" borderId="71" applyFill="0">
      <alignment horizontal="left" vertical="center" wrapText="1" indent="6"/>
    </xf>
    <xf numFmtId="0" fontId="6" fillId="0" borderId="71" applyFill="0">
      <alignment horizontal="left" vertical="center" wrapText="1" indent="4"/>
    </xf>
    <xf numFmtId="0" fontId="15" fillId="0" borderId="0" applyFill="0" applyBorder="0">
      <alignment horizontal="center" vertical="center" wrapText="1"/>
    </xf>
    <xf numFmtId="0" fontId="2" fillId="34" borderId="71"/>
    <xf numFmtId="49" fontId="2" fillId="30" borderId="27">
      <alignment horizontal="center" vertical="center" wrapText="1"/>
    </xf>
    <xf numFmtId="0" fontId="2" fillId="30" borderId="27">
      <alignment horizontal="center" vertical="center" wrapText="1"/>
    </xf>
    <xf numFmtId="0" fontId="16" fillId="23" borderId="27">
      <alignment horizontal="left" vertical="center" wrapText="1"/>
    </xf>
    <xf numFmtId="0" fontId="26" fillId="0" borderId="0" applyFill="0" applyBorder="0">
      <alignment horizontal="center" vertical="top"/>
    </xf>
    <xf numFmtId="0" fontId="2" fillId="0" borderId="71" applyFill="0">
      <alignment horizontal="center" vertical="top" wrapText="1"/>
    </xf>
    <xf numFmtId="49" fontId="2" fillId="30" borderId="71">
      <alignment horizontal="center" vertical="top" wrapText="1"/>
    </xf>
    <xf numFmtId="0" fontId="2" fillId="0" borderId="72" applyFill="0">
      <alignment horizontal="center" vertical="top" wrapText="1"/>
    </xf>
    <xf numFmtId="49" fontId="50" fillId="0" borderId="0" applyFill="0" applyBorder="0">
      <alignment horizontal="center" vertical="top" wrapText="1"/>
    </xf>
    <xf numFmtId="49" fontId="2" fillId="30" borderId="72">
      <alignment horizontal="center" vertical="top" wrapText="1"/>
    </xf>
    <xf numFmtId="49" fontId="37" fillId="23" borderId="71">
      <alignment horizontal="left" vertical="center" indent="1"/>
    </xf>
    <xf numFmtId="49" fontId="11" fillId="23" borderId="27">
      <alignment horizontal="left" vertical="center" wrapText="1"/>
    </xf>
    <xf numFmtId="4" fontId="11" fillId="12" borderId="71">
      <alignment horizontal="right" vertical="center" wrapText="1"/>
    </xf>
    <xf numFmtId="49" fontId="26" fillId="23" borderId="27">
      <alignment horizontal="left" vertical="center" indent="1"/>
    </xf>
    <xf numFmtId="4" fontId="11" fillId="12" borderId="27">
      <alignment horizontal="right" vertical="center" wrapText="1"/>
    </xf>
    <xf numFmtId="0" fontId="11" fillId="23" borderId="27">
      <alignment horizontal="left" vertical="center"/>
    </xf>
    <xf numFmtId="0" fontId="2" fillId="12" borderId="71"/>
    <xf numFmtId="0" fontId="6" fillId="0" borderId="71" applyFill="0">
      <alignment horizontal="left" vertical="center" indent="1"/>
    </xf>
    <xf numFmtId="0" fontId="6" fillId="11" borderId="71">
      <alignment horizontal="center" vertical="center"/>
    </xf>
    <xf numFmtId="0" fontId="2" fillId="14" borderId="71">
      <alignment horizontal="center" vertical="top" wrapText="1"/>
    </xf>
    <xf numFmtId="0" fontId="2" fillId="13" borderId="71">
      <alignment horizontal="left" vertical="center" wrapText="1" indent="1"/>
      <protection locked="0"/>
    </xf>
    <xf numFmtId="49" fontId="2" fillId="30" borderId="71">
      <alignment horizontal="left" vertical="center" wrapText="1" indent="1"/>
    </xf>
    <xf numFmtId="170" fontId="2" fillId="13" borderId="71">
      <alignment horizontal="left" vertical="center" wrapText="1" indent="1"/>
      <protection locked="0"/>
    </xf>
    <xf numFmtId="49" fontId="2" fillId="0" borderId="72" applyFill="0">
      <alignment vertical="center" wrapText="1"/>
    </xf>
    <xf numFmtId="0" fontId="36" fillId="0" borderId="71" applyFill="0">
      <alignment horizontal="center" vertical="top"/>
    </xf>
    <xf numFmtId="0" fontId="2" fillId="30" borderId="71">
      <alignment horizontal="left" vertical="center" wrapText="1" indent="1"/>
    </xf>
    <xf numFmtId="0" fontId="3" fillId="0" borderId="72" applyFill="0">
      <alignment vertical="center"/>
    </xf>
    <xf numFmtId="0" fontId="26" fillId="0" borderId="0" applyFill="0" applyBorder="0">
      <alignment vertical="top"/>
    </xf>
    <xf numFmtId="4" fontId="2" fillId="12" borderId="71">
      <alignment vertical="center"/>
    </xf>
    <xf numFmtId="4" fontId="2" fillId="30" borderId="71">
      <alignment vertical="center" wrapText="1"/>
    </xf>
    <xf numFmtId="4" fontId="2" fillId="30" borderId="71">
      <alignment vertical="center"/>
    </xf>
    <xf numFmtId="0" fontId="30" fillId="0" borderId="71" applyFill="0">
      <alignment vertical="center"/>
    </xf>
    <xf numFmtId="0" fontId="26" fillId="0" borderId="72" applyFill="0">
      <alignment vertical="center"/>
    </xf>
    <xf numFmtId="49" fontId="2" fillId="0" borderId="72" applyFill="0">
      <alignment vertical="top"/>
    </xf>
    <xf numFmtId="0" fontId="2" fillId="0" borderId="72" applyFill="0">
      <alignment horizontal="right" vertical="center" wrapText="1"/>
    </xf>
    <xf numFmtId="49" fontId="2" fillId="0" borderId="71" applyFill="0">
      <alignment vertical="top"/>
    </xf>
    <xf numFmtId="4" fontId="2" fillId="12" borderId="71">
      <alignment vertical="center" wrapText="1"/>
    </xf>
    <xf numFmtId="4" fontId="2" fillId="13" borderId="71">
      <alignment vertical="center"/>
      <protection locked="0"/>
    </xf>
    <xf numFmtId="4" fontId="9" fillId="14" borderId="71">
      <alignment vertical="center"/>
    </xf>
    <xf numFmtId="4" fontId="9" fillId="12" borderId="71">
      <alignment vertical="center"/>
    </xf>
    <xf numFmtId="0" fontId="2" fillId="2" borderId="71">
      <alignment vertical="center"/>
    </xf>
    <xf numFmtId="4" fontId="2" fillId="0" borderId="71" applyFill="0">
      <alignment vertical="center"/>
    </xf>
    <xf numFmtId="0" fontId="2" fillId="0" borderId="72" applyFill="0">
      <alignment vertical="center"/>
    </xf>
    <xf numFmtId="0" fontId="26" fillId="12" borderId="0" applyBorder="0">
      <alignment vertical="center"/>
    </xf>
    <xf numFmtId="0" fontId="26" fillId="11" borderId="0" applyBorder="0">
      <alignment horizontal="center" vertical="center"/>
    </xf>
    <xf numFmtId="0" fontId="2" fillId="12" borderId="71">
      <alignment horizontal="center" vertical="center"/>
    </xf>
    <xf numFmtId="0" fontId="11" fillId="12" borderId="71">
      <alignment horizontal="left" vertical="center" indent="1"/>
    </xf>
    <xf numFmtId="0" fontId="2" fillId="30" borderId="71">
      <alignment horizontal="center" vertical="center"/>
    </xf>
    <xf numFmtId="0" fontId="2" fillId="30" borderId="71">
      <alignment horizontal="right" vertical="center"/>
    </xf>
    <xf numFmtId="4" fontId="2" fillId="30" borderId="71">
      <alignment horizontal="right" vertical="center"/>
    </xf>
    <xf numFmtId="4" fontId="2" fillId="30" borderId="71">
      <alignment horizontal="right" vertical="center" wrapText="1"/>
    </xf>
    <xf numFmtId="0" fontId="2" fillId="12" borderId="71">
      <alignment horizontal="left" vertical="center" indent="1"/>
    </xf>
    <xf numFmtId="4" fontId="2" fillId="14" borderId="71">
      <alignment horizontal="right" vertical="center"/>
    </xf>
    <xf numFmtId="4" fontId="2" fillId="13" borderId="71">
      <alignment horizontal="right" vertical="center"/>
    </xf>
    <xf numFmtId="4" fontId="7" fillId="0" borderId="0" applyFill="0" applyBorder="0">
      <alignment vertical="center"/>
    </xf>
    <xf numFmtId="0" fontId="2" fillId="30" borderId="71">
      <alignment horizontal="left" vertical="center" indent="1"/>
    </xf>
    <xf numFmtId="0" fontId="2" fillId="12" borderId="0" applyBorder="0">
      <alignment vertical="center"/>
    </xf>
    <xf numFmtId="0" fontId="26" fillId="30" borderId="71">
      <alignment horizontal="center" vertical="center"/>
    </xf>
    <xf numFmtId="0" fontId="26" fillId="30" borderId="71">
      <alignment horizontal="left" vertical="center"/>
    </xf>
    <xf numFmtId="4" fontId="26" fillId="30" borderId="71">
      <alignment horizontal="center" vertical="center"/>
    </xf>
    <xf numFmtId="4" fontId="26" fillId="30" borderId="71">
      <alignment horizontal="center" vertical="center" wrapText="1"/>
    </xf>
    <xf numFmtId="4" fontId="26" fillId="30" borderId="27">
      <alignment horizontal="center" vertical="center"/>
    </xf>
    <xf numFmtId="0" fontId="26" fillId="11" borderId="0" applyBorder="0">
      <alignment vertical="center"/>
    </xf>
    <xf numFmtId="0" fontId="26" fillId="30" borderId="27">
      <alignment horizontal="center" vertical="center"/>
    </xf>
    <xf numFmtId="0" fontId="26" fillId="30" borderId="27">
      <alignment horizontal="left" vertical="center"/>
    </xf>
    <xf numFmtId="4" fontId="26" fillId="30" borderId="27">
      <alignment horizontal="center" vertical="center" wrapText="1"/>
    </xf>
    <xf numFmtId="4" fontId="26" fillId="30" borderId="0" applyBorder="0">
      <alignment horizontal="center" vertical="center"/>
    </xf>
    <xf numFmtId="0" fontId="26" fillId="0" borderId="27" applyFill="0">
      <alignment horizontal="center" vertical="center"/>
    </xf>
    <xf numFmtId="0" fontId="26" fillId="0" borderId="27" applyFill="0">
      <alignment horizontal="left" vertical="center"/>
    </xf>
    <xf numFmtId="4" fontId="26" fillId="0" borderId="27" applyFill="0">
      <alignment horizontal="center" vertical="center"/>
    </xf>
    <xf numFmtId="4" fontId="26" fillId="0" borderId="27" applyFill="0">
      <alignment horizontal="center" vertical="center" wrapText="1"/>
    </xf>
    <xf numFmtId="0" fontId="2" fillId="12" borderId="71">
      <alignment horizontal="left" vertical="center" wrapText="1" indent="3"/>
    </xf>
    <xf numFmtId="167" fontId="2" fillId="20" borderId="71">
      <alignment horizontal="right" vertical="center" wrapText="1"/>
      <protection locked="0"/>
    </xf>
    <xf numFmtId="4" fontId="2" fillId="0" borderId="72" applyFill="0">
      <alignment horizontal="right" vertical="center" wrapText="1"/>
    </xf>
    <xf numFmtId="0" fontId="7" fillId="0" borderId="27" applyFill="0"/>
    <xf numFmtId="4" fontId="2" fillId="11" borderId="71">
      <alignment horizontal="left" vertical="center" wrapText="1" indent="3"/>
    </xf>
    <xf numFmtId="4" fontId="2" fillId="11" borderId="71">
      <alignment horizontal="center" vertical="center" wrapText="1"/>
    </xf>
    <xf numFmtId="4" fontId="7" fillId="0" borderId="71" applyFill="0">
      <alignment horizontal="center" vertical="center" wrapText="1"/>
    </xf>
    <xf numFmtId="4" fontId="2" fillId="0" borderId="71" applyFill="0">
      <alignment horizontal="center" vertical="center" wrapText="1"/>
    </xf>
    <xf numFmtId="49" fontId="2" fillId="0" borderId="71" applyFill="0">
      <alignment horizontal="right" vertical="center" wrapText="1"/>
    </xf>
    <xf numFmtId="49" fontId="2" fillId="42" borderId="0" applyBorder="0">
      <alignment vertical="center" wrapText="1"/>
    </xf>
    <xf numFmtId="49" fontId="2" fillId="19" borderId="0" applyBorder="0">
      <alignment wrapText="1"/>
    </xf>
    <xf numFmtId="0" fontId="2" fillId="19" borderId="0" applyBorder="0">
      <alignment wrapText="1"/>
    </xf>
    <xf numFmtId="0" fontId="2" fillId="19" borderId="0" applyBorder="0">
      <alignment horizontal="left" vertical="top" wrapText="1"/>
    </xf>
    <xf numFmtId="0" fontId="2" fillId="19" borderId="0" applyBorder="0">
      <alignment horizontal="left" vertical="center" wrapText="1"/>
    </xf>
    <xf numFmtId="0" fontId="2" fillId="2" borderId="0" applyBorder="0">
      <alignment horizontal="left" vertical="center" wrapText="1"/>
    </xf>
    <xf numFmtId="0" fontId="7" fillId="0" borderId="71" applyFill="0">
      <alignment vertical="center" wrapText="1"/>
    </xf>
    <xf numFmtId="0" fontId="7" fillId="0" borderId="72" applyFill="0">
      <alignment vertical="center" wrapText="1"/>
    </xf>
    <xf numFmtId="0" fontId="7" fillId="0" borderId="71" applyFill="0">
      <alignment horizontal="center" vertical="center" wrapText="1"/>
    </xf>
    <xf numFmtId="0" fontId="2" fillId="20" borderId="71">
      <alignment horizontal="left" vertical="center" indent="1"/>
      <protection locked="0"/>
    </xf>
    <xf numFmtId="49" fontId="36" fillId="0" borderId="0" applyFill="0" applyBorder="0">
      <alignment horizontal="center" vertical="center"/>
    </xf>
    <xf numFmtId="49" fontId="41" fillId="0" borderId="124" applyFill="0">
      <alignment horizontal="center" vertical="center"/>
    </xf>
    <xf numFmtId="4" fontId="2" fillId="0" borderId="4" applyFill="0">
      <alignment horizontal="right" vertical="center" wrapText="1"/>
    </xf>
    <xf numFmtId="0" fontId="7" fillId="0" borderId="72" applyFill="0"/>
    <xf numFmtId="49" fontId="41" fillId="0" borderId="124" applyFill="0">
      <alignment vertical="center"/>
    </xf>
    <xf numFmtId="10" fontId="2" fillId="13" borderId="4">
      <alignment horizontal="right" vertical="center" wrapText="1"/>
      <protection locked="0"/>
    </xf>
    <xf numFmtId="10" fontId="2" fillId="12" borderId="4">
      <alignment horizontal="right" vertical="center" wrapText="1"/>
    </xf>
    <xf numFmtId="10" fontId="2" fillId="12" borderId="27">
      <alignment horizontal="right" vertical="center" wrapText="1"/>
    </xf>
    <xf numFmtId="4" fontId="2" fillId="13" borderId="4">
      <alignment horizontal="right"/>
      <protection locked="0"/>
    </xf>
    <xf numFmtId="0" fontId="3" fillId="18" borderId="71">
      <alignment horizontal="center" vertical="center" wrapText="1"/>
    </xf>
    <xf numFmtId="49" fontId="3" fillId="20" borderId="71">
      <alignment horizontal="left" vertical="center" wrapText="1" indent="1"/>
      <protection locked="0"/>
    </xf>
    <xf numFmtId="0" fontId="3" fillId="18" borderId="71">
      <alignment horizontal="center" vertical="center"/>
    </xf>
    <xf numFmtId="0" fontId="3" fillId="18" borderId="71">
      <alignment horizontal="left" vertical="center" wrapText="1" indent="2"/>
    </xf>
    <xf numFmtId="4" fontId="2" fillId="12" borderId="71">
      <alignment horizontal="right" vertical="center"/>
      <protection locked="0"/>
    </xf>
    <xf numFmtId="0" fontId="3" fillId="18" borderId="71">
      <alignment horizontal="left" vertical="center" wrapText="1" indent="1"/>
    </xf>
    <xf numFmtId="0" fontId="3" fillId="18" borderId="14">
      <alignment horizontal="center" vertical="center" wrapText="1"/>
    </xf>
    <xf numFmtId="0" fontId="3" fillId="18" borderId="14">
      <alignment horizontal="left" vertical="center" wrapText="1" indent="2"/>
    </xf>
    <xf numFmtId="0" fontId="3" fillId="18" borderId="14">
      <alignment horizontal="center" vertical="center"/>
    </xf>
    <xf numFmtId="49" fontId="2" fillId="13" borderId="14">
      <alignment horizontal="center" vertical="center"/>
      <protection locked="0"/>
    </xf>
    <xf numFmtId="0" fontId="2" fillId="13" borderId="14">
      <alignment horizontal="right" vertical="center" wrapText="1"/>
      <protection locked="0"/>
    </xf>
    <xf numFmtId="0" fontId="62" fillId="17" borderId="0" applyBorder="0">
      <alignment horizontal="center" vertical="center"/>
    </xf>
    <xf numFmtId="0" fontId="8" fillId="0" borderId="57" applyFill="0">
      <alignment horizontal="center" vertical="center"/>
    </xf>
    <xf numFmtId="0" fontId="17" fillId="17" borderId="0" applyBorder="0">
      <alignment horizontal="center" vertical="center"/>
    </xf>
    <xf numFmtId="0" fontId="23" fillId="0" borderId="57" applyFill="0">
      <alignment horizontal="center" vertical="center"/>
    </xf>
    <xf numFmtId="0" fontId="3" fillId="17" borderId="0" applyBorder="0"/>
    <xf numFmtId="0" fontId="2" fillId="21" borderId="2">
      <alignment horizontal="center" vertical="center"/>
    </xf>
    <xf numFmtId="0" fontId="2" fillId="21" borderId="1">
      <alignment horizontal="left" vertical="center" wrapText="1" indent="1"/>
    </xf>
    <xf numFmtId="0" fontId="2" fillId="21" borderId="1">
      <alignment horizontal="left" vertical="center" indent="1"/>
    </xf>
    <xf numFmtId="0" fontId="62" fillId="0" borderId="0" applyFill="0" applyBorder="0">
      <alignment horizontal="left" vertical="top"/>
    </xf>
    <xf numFmtId="0" fontId="2" fillId="18" borderId="1">
      <alignment horizontal="left" vertical="center" indent="2"/>
    </xf>
    <xf numFmtId="0" fontId="2" fillId="45" borderId="2">
      <alignment horizontal="center" vertical="center"/>
    </xf>
    <xf numFmtId="0" fontId="2" fillId="45" borderId="1">
      <alignment horizontal="left" vertical="center" indent="2"/>
    </xf>
    <xf numFmtId="0" fontId="2" fillId="45" borderId="1">
      <alignment horizontal="left" vertical="center" indent="3"/>
    </xf>
    <xf numFmtId="2" fontId="10" fillId="13" borderId="19">
      <alignment horizontal="right" vertical="center"/>
      <protection locked="0"/>
    </xf>
    <xf numFmtId="0" fontId="2" fillId="0" borderId="22" applyFill="0">
      <alignment horizontal="left" vertical="center" indent="1"/>
    </xf>
    <xf numFmtId="0" fontId="2" fillId="0" borderId="17" applyFill="0">
      <alignment horizontal="left" vertical="center" indent="1"/>
    </xf>
    <xf numFmtId="4" fontId="3" fillId="17" borderId="0" applyBorder="0">
      <alignment horizontal="left" vertical="top"/>
    </xf>
    <xf numFmtId="4" fontId="4" fillId="17" borderId="0" applyBorder="0">
      <alignment horizontal="left" vertical="top"/>
    </xf>
    <xf numFmtId="0" fontId="7" fillId="15" borderId="125">
      <alignment horizontal="left" vertical="center" wrapText="1"/>
    </xf>
    <xf numFmtId="0" fontId="18" fillId="0" borderId="57" applyFill="0">
      <alignment vertical="top"/>
    </xf>
    <xf numFmtId="0" fontId="2" fillId="16" borderId="125">
      <alignment horizontal="left" vertical="center" wrapText="1"/>
    </xf>
    <xf numFmtId="0" fontId="63" fillId="0" borderId="0" applyFill="0" applyBorder="0">
      <alignment horizontal="left" vertical="top"/>
    </xf>
    <xf numFmtId="0" fontId="2" fillId="18" borderId="1">
      <alignment horizontal="left" vertical="center" indent="1"/>
    </xf>
    <xf numFmtId="0" fontId="2" fillId="18" borderId="1">
      <alignment horizontal="center" vertical="center"/>
    </xf>
    <xf numFmtId="0" fontId="2" fillId="18" borderId="3">
      <alignment horizontal="center" vertical="center"/>
    </xf>
    <xf numFmtId="0" fontId="2" fillId="45" borderId="2">
      <alignment horizontal="left" vertical="center" indent="2"/>
    </xf>
    <xf numFmtId="0" fontId="2" fillId="45" borderId="1">
      <alignment horizontal="center" vertical="center" wrapText="1"/>
    </xf>
    <xf numFmtId="0" fontId="2" fillId="45" borderId="1">
      <alignment horizontal="center" vertical="center"/>
    </xf>
    <xf numFmtId="4" fontId="2" fillId="12" borderId="65">
      <alignment horizontal="right" vertical="center"/>
    </xf>
    <xf numFmtId="4" fontId="2" fillId="13" borderId="65">
      <alignment horizontal="right" vertical="center"/>
      <protection locked="0"/>
    </xf>
    <xf numFmtId="0" fontId="2" fillId="45" borderId="3">
      <alignment horizontal="center" vertical="center"/>
    </xf>
    <xf numFmtId="0" fontId="2" fillId="0" borderId="19" applyFill="0">
      <alignment wrapText="1"/>
    </xf>
    <xf numFmtId="0" fontId="2" fillId="0" borderId="19" applyFill="0">
      <alignment horizontal="left" wrapText="1" indent="1"/>
    </xf>
    <xf numFmtId="4" fontId="11" fillId="23" borderId="2">
      <alignment horizontal="right" vertical="center"/>
    </xf>
    <xf numFmtId="0" fontId="11" fillId="23" borderId="1">
      <alignment horizontal="left" vertical="center" indent="2"/>
    </xf>
    <xf numFmtId="4" fontId="3" fillId="23" borderId="1">
      <alignment horizontal="right" vertical="center"/>
    </xf>
    <xf numFmtId="2" fontId="10" fillId="12" borderId="19">
      <alignment horizontal="right" vertical="center"/>
    </xf>
    <xf numFmtId="49" fontId="2" fillId="13" borderId="3">
      <alignment horizontal="right" vertical="center" wrapText="1"/>
      <protection locked="0"/>
    </xf>
    <xf numFmtId="0" fontId="2" fillId="13" borderId="2">
      <alignment horizontal="right" vertical="center" wrapText="1"/>
      <protection locked="0"/>
    </xf>
    <xf numFmtId="167" fontId="8" fillId="12" borderId="4">
      <alignment horizontal="right" vertical="center" wrapText="1"/>
    </xf>
    <xf numFmtId="4" fontId="8" fillId="12" borderId="4">
      <alignment horizontal="right" vertical="center" wrapText="1"/>
    </xf>
    <xf numFmtId="0" fontId="15" fillId="0" borderId="78" applyFill="0">
      <alignment vertical="center" wrapText="1"/>
    </xf>
    <xf numFmtId="49" fontId="2" fillId="30" borderId="25">
      <alignment vertical="center" wrapText="1"/>
    </xf>
    <xf numFmtId="0" fontId="2" fillId="30" borderId="0" applyBorder="0">
      <alignment horizontal="left" vertical="center" wrapText="1"/>
    </xf>
    <xf numFmtId="0" fontId="2" fillId="30" borderId="55">
      <alignment horizontal="left" vertical="center" wrapText="1"/>
    </xf>
    <xf numFmtId="0" fontId="2" fillId="30" borderId="1">
      <alignment horizontal="center" vertical="center" wrapText="1"/>
    </xf>
    <xf numFmtId="4" fontId="2" fillId="30" borderId="55">
      <alignment horizontal="right" vertical="center" wrapText="1"/>
    </xf>
    <xf numFmtId="0" fontId="2" fillId="30" borderId="55">
      <alignment horizontal="center" vertical="center" wrapText="1"/>
    </xf>
    <xf numFmtId="4" fontId="2" fillId="0" borderId="55" applyFill="0">
      <alignment horizontal="right" vertical="center" wrapText="1"/>
    </xf>
    <xf numFmtId="0" fontId="2" fillId="0" borderId="1" applyFill="0">
      <alignment horizontal="left" vertical="center" wrapText="1" indent="2"/>
    </xf>
    <xf numFmtId="0" fontId="3" fillId="0" borderId="0" applyFill="0" applyBorder="0">
      <alignment horizontal="right" vertical="center"/>
    </xf>
    <xf numFmtId="0" fontId="25" fillId="0" borderId="0" applyFill="0" applyBorder="0">
      <alignment horizontal="right" vertical="center"/>
    </xf>
    <xf numFmtId="49" fontId="2" fillId="0" borderId="56" applyFill="0">
      <alignment horizontal="center" vertical="center" wrapText="1"/>
    </xf>
    <xf numFmtId="49" fontId="2" fillId="0" borderId="57" applyFill="0">
      <alignment horizontal="center" vertical="center" wrapText="1"/>
    </xf>
    <xf numFmtId="49" fontId="2" fillId="0" borderId="78" applyFill="0">
      <alignment horizontal="center" vertical="center" wrapText="1"/>
    </xf>
    <xf numFmtId="0" fontId="2" fillId="0" borderId="78" applyFill="0">
      <alignment horizontal="center" vertical="center" wrapText="1"/>
    </xf>
    <xf numFmtId="49" fontId="2" fillId="0" borderId="25" applyFill="0">
      <alignment vertical="center" wrapText="1"/>
    </xf>
    <xf numFmtId="4" fontId="18" fillId="0" borderId="0" applyFill="0" applyBorder="0">
      <alignment vertical="top"/>
    </xf>
    <xf numFmtId="0" fontId="2" fillId="0" borderId="0" quotePrefix="1" applyFill="0" applyBorder="0">
      <alignment horizontal="left" vertical="top"/>
    </xf>
    <xf numFmtId="0" fontId="2" fillId="2" borderId="57">
      <alignment horizontal="left" vertical="center"/>
    </xf>
    <xf numFmtId="0" fontId="6" fillId="0" borderId="98" applyFill="0"/>
    <xf numFmtId="0" fontId="27" fillId="4" borderId="23">
      <alignment horizontal="center" vertical="center" wrapText="1"/>
    </xf>
    <xf numFmtId="0" fontId="27" fillId="4" borderId="2">
      <alignment horizontal="left" vertical="center" wrapText="1"/>
    </xf>
    <xf numFmtId="0" fontId="6" fillId="4" borderId="3">
      <alignment horizontal="left" vertical="center" wrapText="1"/>
    </xf>
    <xf numFmtId="0" fontId="6" fillId="4" borderId="19">
      <alignment horizontal="center" vertical="center" wrapText="1"/>
    </xf>
    <xf numFmtId="4" fontId="2" fillId="12" borderId="56">
      <alignment horizontal="right" vertical="center" wrapText="1"/>
    </xf>
    <xf numFmtId="4" fontId="2" fillId="13" borderId="56">
      <alignment horizontal="right" vertical="center" wrapText="1"/>
      <protection locked="0"/>
    </xf>
    <xf numFmtId="0" fontId="27" fillId="4" borderId="79">
      <alignment horizontal="center" vertical="center" wrapText="1"/>
    </xf>
    <xf numFmtId="0" fontId="2" fillId="0" borderId="3" applyFill="0">
      <alignment horizontal="left" vertical="center" wrapText="1" indent="2"/>
    </xf>
    <xf numFmtId="4" fontId="6" fillId="12" borderId="19">
      <alignment horizontal="right" vertical="center"/>
    </xf>
    <xf numFmtId="0" fontId="8" fillId="0" borderId="2" applyFill="0">
      <alignment horizontal="left" vertical="center" indent="2"/>
    </xf>
    <xf numFmtId="0" fontId="8" fillId="0" borderId="3" applyFill="0">
      <alignment horizontal="left" vertical="center" indent="2"/>
    </xf>
    <xf numFmtId="0" fontId="2" fillId="0" borderId="3" applyFill="0">
      <alignment horizontal="left" vertical="center" wrapText="1" indent="3"/>
    </xf>
    <xf numFmtId="0" fontId="8" fillId="0" borderId="2" applyFill="0">
      <alignment horizontal="left" vertical="center" indent="3"/>
    </xf>
    <xf numFmtId="0" fontId="8" fillId="0" borderId="3" applyFill="0">
      <alignment horizontal="left" vertical="center" indent="3"/>
    </xf>
    <xf numFmtId="0" fontId="2" fillId="0" borderId="2" applyFill="0">
      <alignment horizontal="left" vertical="center" wrapText="1" indent="4"/>
    </xf>
    <xf numFmtId="0" fontId="2" fillId="0" borderId="3" applyFill="0">
      <alignment horizontal="left" vertical="center" wrapText="1" indent="4"/>
    </xf>
    <xf numFmtId="0" fontId="27" fillId="4" borderId="18">
      <alignment horizontal="center" vertical="center" wrapText="1"/>
    </xf>
    <xf numFmtId="0" fontId="27" fillId="0" borderId="15" applyFill="0">
      <alignment horizontal="center" vertical="center"/>
    </xf>
    <xf numFmtId="0" fontId="27" fillId="0" borderId="64" applyFill="0">
      <alignment vertical="center"/>
    </xf>
    <xf numFmtId="0" fontId="6" fillId="0" borderId="55" applyFill="0"/>
    <xf numFmtId="0" fontId="6" fillId="0" borderId="78" applyFill="0"/>
    <xf numFmtId="0" fontId="27" fillId="0" borderId="5" applyFill="0">
      <alignment vertical="center"/>
    </xf>
    <xf numFmtId="0" fontId="4" fillId="0" borderId="57" applyFill="0"/>
    <xf numFmtId="0" fontId="6" fillId="0" borderId="57" applyFill="0"/>
    <xf numFmtId="0" fontId="6" fillId="4" borderId="23">
      <alignment horizontal="center" vertical="center" wrapText="1"/>
    </xf>
    <xf numFmtId="0" fontId="6" fillId="4" borderId="2">
      <alignment horizontal="left" vertical="center" wrapText="1"/>
    </xf>
    <xf numFmtId="4" fontId="6" fillId="13" borderId="19">
      <alignment horizontal="right" vertical="center"/>
      <protection locked="0"/>
    </xf>
    <xf numFmtId="0" fontId="6" fillId="4" borderId="79">
      <alignment horizontal="center" vertical="center" wrapText="1"/>
    </xf>
    <xf numFmtId="49" fontId="2" fillId="13" borderId="18">
      <alignment horizontal="right" vertical="center" wrapText="1"/>
      <protection locked="0"/>
    </xf>
    <xf numFmtId="167" fontId="6" fillId="12" borderId="19">
      <alignment horizontal="right" vertical="center"/>
    </xf>
    <xf numFmtId="0" fontId="6" fillId="4" borderId="18">
      <alignment horizontal="center" vertical="center" wrapText="1"/>
    </xf>
    <xf numFmtId="49" fontId="6" fillId="0" borderId="2" applyFill="0">
      <alignment horizontal="center" vertical="center"/>
    </xf>
    <xf numFmtId="49" fontId="2" fillId="0" borderId="1" applyFill="0">
      <alignment horizontal="left" vertical="center" wrapText="1"/>
    </xf>
    <xf numFmtId="0" fontId="2" fillId="14" borderId="57">
      <alignment horizontal="center" vertical="center" wrapText="1"/>
    </xf>
    <xf numFmtId="0" fontId="6" fillId="4" borderId="25">
      <alignment horizontal="center" vertical="center" wrapText="1"/>
    </xf>
    <xf numFmtId="4" fontId="2" fillId="13" borderId="19">
      <alignment vertical="center" wrapText="1"/>
      <protection locked="0"/>
    </xf>
    <xf numFmtId="4" fontId="2" fillId="13" borderId="23">
      <alignment vertical="center" wrapText="1"/>
      <protection locked="0"/>
    </xf>
    <xf numFmtId="4" fontId="2" fillId="13" borderId="2">
      <alignment vertical="center" wrapText="1"/>
      <protection locked="0"/>
    </xf>
    <xf numFmtId="4" fontId="6" fillId="12" borderId="9">
      <alignment horizontal="right" vertical="center"/>
    </xf>
    <xf numFmtId="4" fontId="2" fillId="12" borderId="19">
      <alignment vertical="center" wrapText="1"/>
    </xf>
    <xf numFmtId="4" fontId="6" fillId="12" borderId="79">
      <alignment horizontal="right" vertical="center"/>
    </xf>
    <xf numFmtId="4" fontId="6" fillId="13" borderId="79">
      <alignment horizontal="right" vertical="center"/>
      <protection locked="0"/>
    </xf>
    <xf numFmtId="0" fontId="6" fillId="4" borderId="1">
      <alignment horizontal="left" vertical="center" wrapText="1"/>
    </xf>
    <xf numFmtId="0" fontId="6" fillId="4" borderId="1">
      <alignment horizontal="center" vertical="center" wrapText="1"/>
    </xf>
    <xf numFmtId="4" fontId="2" fillId="13" borderId="1">
      <alignment vertical="center" wrapText="1"/>
      <protection locked="0"/>
    </xf>
    <xf numFmtId="4" fontId="6" fillId="12" borderId="0" applyBorder="0">
      <alignment horizontal="right" vertical="center"/>
    </xf>
    <xf numFmtId="4" fontId="6" fillId="13" borderId="0" applyBorder="0">
      <alignment horizontal="right" vertical="center"/>
      <protection locked="0"/>
    </xf>
    <xf numFmtId="49" fontId="2" fillId="13" borderId="22">
      <alignment horizontal="right" vertical="center" wrapText="1"/>
      <protection locked="0"/>
    </xf>
    <xf numFmtId="4" fontId="6" fillId="13" borderId="78">
      <alignment horizontal="right" vertical="center"/>
      <protection locked="0"/>
    </xf>
    <xf numFmtId="0" fontId="2" fillId="13" borderId="0" applyBorder="0">
      <alignment horizontal="right" vertical="center" wrapText="1"/>
      <protection locked="0"/>
    </xf>
    <xf numFmtId="0" fontId="64" fillId="0" borderId="0" applyFill="0" applyBorder="0">
      <alignment horizontal="left" vertical="top"/>
    </xf>
    <xf numFmtId="0" fontId="64" fillId="0" borderId="2" applyFill="0">
      <alignment horizontal="center" vertical="center"/>
    </xf>
    <xf numFmtId="0" fontId="64" fillId="0" borderId="1" applyFill="0">
      <alignment vertical="center"/>
    </xf>
    <xf numFmtId="0" fontId="64" fillId="0" borderId="1" applyFill="0">
      <alignment horizontal="center" vertical="center"/>
    </xf>
    <xf numFmtId="0" fontId="64" fillId="0" borderId="3" applyFill="0">
      <alignment horizontal="center" vertical="center"/>
    </xf>
    <xf numFmtId="0" fontId="64" fillId="0" borderId="57" applyFill="0"/>
    <xf numFmtId="0" fontId="2" fillId="14" borderId="19">
      <alignment vertical="center" wrapText="1"/>
    </xf>
    <xf numFmtId="0" fontId="6" fillId="0" borderId="2" applyFill="0">
      <alignment horizontal="left" vertical="center"/>
    </xf>
    <xf numFmtId="0" fontId="6" fillId="0" borderId="3" applyFill="0">
      <alignment horizontal="left" vertical="center" wrapText="1"/>
    </xf>
    <xf numFmtId="4" fontId="6" fillId="12" borderId="23">
      <alignment horizontal="right" vertical="center"/>
    </xf>
    <xf numFmtId="0" fontId="2" fillId="0" borderId="2" applyFill="0">
      <alignment horizontal="left" vertical="center" indent="3"/>
    </xf>
    <xf numFmtId="0" fontId="2" fillId="0" borderId="3" applyFill="0">
      <alignment horizontal="left" vertical="center" indent="3"/>
    </xf>
    <xf numFmtId="0" fontId="6" fillId="0" borderId="1" applyFill="0">
      <alignment horizontal="left" vertical="center"/>
    </xf>
    <xf numFmtId="4" fontId="6" fillId="0" borderId="1" applyFill="0">
      <alignment horizontal="right" vertical="center"/>
    </xf>
    <xf numFmtId="4" fontId="6" fillId="0" borderId="3" applyFill="0">
      <alignment horizontal="right" vertical="center"/>
    </xf>
    <xf numFmtId="0" fontId="2" fillId="13" borderId="31">
      <alignment horizontal="right" vertical="center" wrapText="1"/>
      <protection locked="0"/>
    </xf>
    <xf numFmtId="0" fontId="2" fillId="0" borderId="0" applyFill="0" applyBorder="0">
      <alignment horizontal="center" vertical="top"/>
    </xf>
    <xf numFmtId="0" fontId="6" fillId="0" borderId="31" applyFill="0">
      <alignment horizontal="center" vertical="center"/>
    </xf>
    <xf numFmtId="0" fontId="53" fillId="0" borderId="22" applyFill="0">
      <alignment vertical="center"/>
    </xf>
    <xf numFmtId="0" fontId="53" fillId="0" borderId="1" applyFill="0">
      <alignment horizontal="center" vertical="center"/>
    </xf>
    <xf numFmtId="0" fontId="2" fillId="17" borderId="0" applyBorder="0"/>
    <xf numFmtId="0" fontId="2" fillId="10" borderId="0" applyBorder="0"/>
    <xf numFmtId="0" fontId="2" fillId="17" borderId="0" applyBorder="0">
      <alignment horizontal="center"/>
    </xf>
    <xf numFmtId="0" fontId="3" fillId="0" borderId="27" applyFill="0">
      <alignment vertical="center"/>
    </xf>
    <xf numFmtId="49" fontId="3" fillId="0" borderId="27" applyFill="0">
      <alignment vertical="center" wrapText="1"/>
    </xf>
    <xf numFmtId="0" fontId="2" fillId="14" borderId="26">
      <alignment horizontal="center" vertical="center" wrapText="1"/>
    </xf>
    <xf numFmtId="0" fontId="2" fillId="0" borderId="14" applyFill="0">
      <alignment horizontal="center" vertical="center"/>
    </xf>
    <xf numFmtId="0" fontId="2" fillId="0" borderId="28" applyFill="0">
      <alignment horizontal="center" vertical="center"/>
    </xf>
    <xf numFmtId="0" fontId="6" fillId="0" borderId="71" applyFill="0">
      <alignment horizontal="center" vertical="center" wrapText="1"/>
    </xf>
    <xf numFmtId="0" fontId="6" fillId="0" borderId="27" applyFill="0">
      <alignment horizontal="center" vertical="center" wrapText="1"/>
    </xf>
    <xf numFmtId="0" fontId="6" fillId="14" borderId="71">
      <alignment horizontal="center" vertical="center" wrapText="1"/>
    </xf>
    <xf numFmtId="0" fontId="6" fillId="14" borderId="27">
      <alignment horizontal="center" vertical="center" wrapText="1"/>
    </xf>
    <xf numFmtId="0" fontId="2" fillId="17" borderId="74">
      <alignment horizontal="center" vertical="center" wrapText="1"/>
    </xf>
    <xf numFmtId="0" fontId="2" fillId="14" borderId="74">
      <alignment horizontal="center" vertical="center" wrapText="1"/>
    </xf>
    <xf numFmtId="0" fontId="2" fillId="17" borderId="73">
      <alignment horizontal="center" vertical="center" wrapText="1"/>
    </xf>
    <xf numFmtId="0" fontId="2" fillId="0" borderId="27" applyFill="0">
      <alignment horizontal="center" vertical="center"/>
    </xf>
    <xf numFmtId="0" fontId="2" fillId="14" borderId="71">
      <alignment horizontal="center" vertical="center"/>
    </xf>
    <xf numFmtId="1" fontId="2" fillId="17" borderId="71">
      <alignment horizontal="center" vertical="center" wrapText="1"/>
    </xf>
    <xf numFmtId="1" fontId="2" fillId="14" borderId="71">
      <alignment horizontal="center" vertical="center" wrapText="1"/>
    </xf>
    <xf numFmtId="1" fontId="2" fillId="14" borderId="27">
      <alignment horizontal="center" vertical="center" wrapText="1"/>
    </xf>
    <xf numFmtId="1" fontId="2" fillId="17" borderId="27">
      <alignment horizontal="center" vertical="center" wrapText="1"/>
    </xf>
    <xf numFmtId="1" fontId="2" fillId="0" borderId="71" applyFill="0">
      <alignment horizontal="center" vertical="center" wrapText="1"/>
    </xf>
    <xf numFmtId="0" fontId="2" fillId="14" borderId="73">
      <alignment horizontal="center" vertical="center" wrapText="1"/>
    </xf>
    <xf numFmtId="0" fontId="7" fillId="15" borderId="27">
      <alignment horizontal="left" vertical="center" wrapText="1"/>
    </xf>
    <xf numFmtId="0" fontId="7" fillId="0" borderId="27" applyFill="0">
      <alignment horizontal="left" vertical="center" wrapText="1"/>
    </xf>
    <xf numFmtId="0" fontId="2" fillId="16" borderId="27">
      <alignment horizontal="left" vertical="center" wrapText="1"/>
    </xf>
    <xf numFmtId="0" fontId="2" fillId="16" borderId="71">
      <alignment horizontal="left" vertical="center" wrapText="1"/>
    </xf>
    <xf numFmtId="0" fontId="2" fillId="21" borderId="71">
      <alignment horizontal="center" vertical="center"/>
    </xf>
    <xf numFmtId="0" fontId="2" fillId="21" borderId="27">
      <alignment horizontal="left" vertical="center" wrapText="1" indent="1"/>
    </xf>
    <xf numFmtId="0" fontId="2" fillId="21" borderId="27">
      <alignment horizontal="left" vertical="center" indent="1"/>
    </xf>
    <xf numFmtId="0" fontId="2" fillId="21" borderId="71">
      <alignment horizontal="left" vertical="center" indent="1"/>
    </xf>
    <xf numFmtId="0" fontId="2" fillId="18" borderId="71">
      <alignment horizontal="center" vertical="center"/>
    </xf>
    <xf numFmtId="0" fontId="2" fillId="18" borderId="27">
      <alignment horizontal="left" vertical="center" indent="2"/>
    </xf>
    <xf numFmtId="0" fontId="2" fillId="18" borderId="27">
      <alignment horizontal="center" vertical="center"/>
    </xf>
    <xf numFmtId="49" fontId="7" fillId="0" borderId="71" applyFill="0">
      <alignment horizontal="left" vertical="center" wrapText="1" indent="2"/>
    </xf>
    <xf numFmtId="49" fontId="7" fillId="0" borderId="71" applyFill="0">
      <alignment horizontal="left" vertical="center" wrapText="1"/>
    </xf>
    <xf numFmtId="4" fontId="7" fillId="0" borderId="71" applyFill="0">
      <alignment horizontal="right" vertical="center"/>
    </xf>
    <xf numFmtId="4" fontId="7" fillId="0" borderId="72" applyFill="0">
      <alignment horizontal="right" vertical="center"/>
    </xf>
    <xf numFmtId="4" fontId="7" fillId="0" borderId="71" applyFill="0">
      <alignment horizontal="right" vertical="center" wrapText="1"/>
    </xf>
    <xf numFmtId="4" fontId="11" fillId="23" borderId="27">
      <alignment horizontal="left" vertical="center" indent="1"/>
    </xf>
    <xf numFmtId="0" fontId="2" fillId="18" borderId="0" applyBorder="0">
      <alignment horizontal="center" vertical="center"/>
    </xf>
    <xf numFmtId="4" fontId="10" fillId="12" borderId="71">
      <alignment horizontal="right" vertical="center"/>
    </xf>
    <xf numFmtId="4" fontId="2" fillId="0" borderId="27" applyFill="0"/>
    <xf numFmtId="0" fontId="2" fillId="0" borderId="97" applyFill="0">
      <alignment vertical="center"/>
    </xf>
    <xf numFmtId="0" fontId="8" fillId="11" borderId="0" applyBorder="0">
      <alignment horizontal="center" vertical="center"/>
    </xf>
    <xf numFmtId="0" fontId="62" fillId="17" borderId="0" applyBorder="0"/>
    <xf numFmtId="0" fontId="8" fillId="0" borderId="1" applyFill="0">
      <alignment vertical="center"/>
    </xf>
    <xf numFmtId="0" fontId="3" fillId="0" borderId="22" applyFill="0">
      <alignment vertical="center"/>
    </xf>
    <xf numFmtId="0" fontId="62" fillId="17" borderId="0" applyBorder="0">
      <alignment vertical="center"/>
    </xf>
    <xf numFmtId="0" fontId="2" fillId="0" borderId="23" applyFill="0">
      <alignment horizontal="center" vertical="center" textRotation="90" wrapText="1"/>
    </xf>
    <xf numFmtId="0" fontId="2" fillId="0" borderId="2" applyFill="0">
      <alignment horizontal="center" vertical="center" textRotation="90" wrapText="1"/>
    </xf>
    <xf numFmtId="0" fontId="8" fillId="0" borderId="25" applyFill="0">
      <alignment horizontal="center" vertical="center" wrapText="1"/>
    </xf>
    <xf numFmtId="0" fontId="8" fillId="0" borderId="55" applyFill="0">
      <alignment horizontal="center" vertical="center" wrapText="1"/>
    </xf>
    <xf numFmtId="0" fontId="8" fillId="0" borderId="56" applyFill="0">
      <alignment horizontal="center" vertical="center" wrapText="1"/>
    </xf>
    <xf numFmtId="0" fontId="8" fillId="14" borderId="2">
      <alignment horizontal="center" vertical="center" wrapText="1"/>
    </xf>
    <xf numFmtId="0" fontId="8" fillId="14" borderId="1">
      <alignment horizontal="center" vertical="center" wrapText="1"/>
    </xf>
    <xf numFmtId="0" fontId="8" fillId="14" borderId="3">
      <alignment horizontal="center" vertical="center" wrapText="1"/>
    </xf>
    <xf numFmtId="0" fontId="8" fillId="0" borderId="57" applyFill="0">
      <alignment vertical="center"/>
    </xf>
    <xf numFmtId="0" fontId="2" fillId="0" borderId="79" applyFill="0">
      <alignment horizontal="center" vertical="center" textRotation="90" wrapText="1"/>
    </xf>
    <xf numFmtId="0" fontId="2" fillId="17" borderId="23">
      <alignment horizontal="center" vertical="center" textRotation="90" wrapText="1"/>
    </xf>
    <xf numFmtId="0" fontId="2" fillId="17" borderId="2">
      <alignment horizontal="center" vertical="center" wrapText="1"/>
    </xf>
    <xf numFmtId="0" fontId="2" fillId="0" borderId="57" applyFill="0">
      <alignment horizontal="center" vertical="center" textRotation="90" wrapText="1"/>
    </xf>
    <xf numFmtId="0" fontId="2" fillId="0" borderId="126" applyFill="0">
      <alignment horizontal="center" vertical="center" wrapText="1"/>
    </xf>
    <xf numFmtId="0" fontId="2" fillId="14" borderId="23">
      <alignment horizontal="center" vertical="center" textRotation="90" wrapText="1"/>
    </xf>
    <xf numFmtId="0" fontId="2" fillId="17" borderId="79">
      <alignment horizontal="center" vertical="center" textRotation="90" wrapText="1"/>
    </xf>
    <xf numFmtId="0" fontId="2" fillId="14" borderId="79">
      <alignment horizontal="center" vertical="center" textRotation="90" wrapText="1"/>
    </xf>
    <xf numFmtId="0" fontId="8" fillId="0" borderId="19" applyFill="0">
      <alignment horizontal="center" vertical="center" wrapText="1"/>
    </xf>
    <xf numFmtId="0" fontId="8" fillId="14" borderId="19">
      <alignment horizontal="center" vertical="center" wrapText="1"/>
    </xf>
    <xf numFmtId="0" fontId="2" fillId="0" borderId="18" applyFill="0">
      <alignment horizontal="center" vertical="center" textRotation="90" wrapText="1"/>
    </xf>
    <xf numFmtId="0" fontId="2" fillId="14" borderId="79">
      <alignment horizontal="center" vertical="center" wrapText="1"/>
    </xf>
    <xf numFmtId="0" fontId="2" fillId="17" borderId="18">
      <alignment horizontal="center" vertical="center" textRotation="90" wrapText="1"/>
    </xf>
    <xf numFmtId="0" fontId="2" fillId="0" borderId="31" applyFill="0">
      <alignment horizontal="center" vertical="center" textRotation="90" wrapText="1"/>
    </xf>
    <xf numFmtId="0" fontId="2" fillId="14" borderId="18">
      <alignment horizontal="center" vertical="center" textRotation="90" wrapText="1"/>
    </xf>
    <xf numFmtId="0" fontId="2" fillId="0" borderId="22" applyFill="0">
      <alignment horizontal="center" vertical="center" textRotation="90" wrapText="1"/>
    </xf>
    <xf numFmtId="4" fontId="2" fillId="0" borderId="22" applyFill="0">
      <alignment horizontal="center" vertical="center" wrapText="1"/>
    </xf>
    <xf numFmtId="0" fontId="2" fillId="17" borderId="22">
      <alignment horizontal="center" vertical="center" textRotation="90" wrapText="1"/>
    </xf>
    <xf numFmtId="0" fontId="2" fillId="17" borderId="22">
      <alignment horizontal="center" vertical="center" wrapText="1"/>
    </xf>
    <xf numFmtId="2" fontId="2" fillId="0" borderId="22" applyFill="0">
      <alignment horizontal="center" vertical="center" textRotation="90" wrapText="1"/>
    </xf>
    <xf numFmtId="4" fontId="2" fillId="0" borderId="22" applyFill="0">
      <alignment horizontal="center" vertical="center" textRotation="90" wrapText="1"/>
    </xf>
    <xf numFmtId="1" fontId="2" fillId="0" borderId="22" applyFill="0">
      <alignment horizontal="center" vertical="center" textRotation="90" wrapText="1"/>
    </xf>
    <xf numFmtId="0" fontId="2" fillId="14" borderId="22">
      <alignment horizontal="center" vertical="center" textRotation="90" wrapText="1"/>
    </xf>
    <xf numFmtId="2" fontId="2" fillId="14" borderId="0" applyBorder="0">
      <alignment horizontal="center" vertical="center" wrapText="1"/>
    </xf>
    <xf numFmtId="14" fontId="8" fillId="14" borderId="22">
      <alignment horizontal="center" vertical="center" wrapText="1"/>
    </xf>
    <xf numFmtId="2" fontId="2" fillId="14" borderId="22">
      <alignment horizontal="center" vertical="center" wrapText="1"/>
    </xf>
    <xf numFmtId="4" fontId="2" fillId="14" borderId="22">
      <alignment horizontal="center" vertical="center" wrapText="1"/>
    </xf>
    <xf numFmtId="1" fontId="8" fillId="14" borderId="22">
      <alignment horizontal="center" vertical="center" wrapText="1"/>
    </xf>
    <xf numFmtId="49" fontId="2" fillId="0" borderId="0" applyFill="0" applyBorder="0">
      <alignment horizontal="left" vertical="center"/>
    </xf>
    <xf numFmtId="4" fontId="2" fillId="12" borderId="9">
      <alignment horizontal="right" vertical="center" wrapText="1"/>
      <protection locked="0"/>
    </xf>
    <xf numFmtId="4" fontId="2" fillId="12" borderId="8">
      <alignment horizontal="right" vertical="center" wrapText="1"/>
    </xf>
    <xf numFmtId="4" fontId="10" fillId="12" borderId="3">
      <alignment horizontal="right" vertical="center"/>
    </xf>
    <xf numFmtId="0" fontId="7" fillId="17" borderId="0" applyBorder="0">
      <alignment horizontal="center" vertical="center"/>
    </xf>
    <xf numFmtId="2" fontId="2" fillId="0" borderId="1" applyFill="0">
      <alignment vertical="center"/>
    </xf>
    <xf numFmtId="0" fontId="3" fillId="19" borderId="0" applyBorder="0">
      <alignment horizontal="left" vertical="center"/>
    </xf>
    <xf numFmtId="0" fontId="65" fillId="0" borderId="22" applyFill="0">
      <alignment horizontal="center"/>
    </xf>
    <xf numFmtId="0" fontId="2" fillId="0" borderId="1" applyFill="0">
      <alignment horizontal="center" wrapText="1"/>
    </xf>
    <xf numFmtId="0" fontId="2" fillId="14" borderId="23">
      <alignment horizontal="center" vertical="center" textRotation="180" wrapText="1"/>
    </xf>
    <xf numFmtId="0" fontId="2" fillId="14" borderId="79">
      <alignment horizontal="center" vertical="center" textRotation="180" wrapText="1"/>
    </xf>
    <xf numFmtId="0" fontId="2" fillId="14" borderId="127">
      <alignment horizontal="center" vertical="center" wrapText="1"/>
    </xf>
    <xf numFmtId="49" fontId="2" fillId="0" borderId="68" applyFill="0">
      <alignment horizontal="center" vertical="center" wrapText="1"/>
    </xf>
    <xf numFmtId="0" fontId="2" fillId="14" borderId="18">
      <alignment horizontal="center" vertical="center" textRotation="180" wrapText="1"/>
    </xf>
    <xf numFmtId="0" fontId="2" fillId="14" borderId="31">
      <alignment horizontal="center" vertical="center" textRotation="180" wrapText="1"/>
    </xf>
    <xf numFmtId="0" fontId="2" fillId="0" borderId="78" applyFill="0">
      <alignment horizontal="center" vertical="center" textRotation="90" wrapText="1"/>
    </xf>
    <xf numFmtId="0" fontId="2" fillId="11" borderId="0" applyBorder="0">
      <alignment wrapText="1"/>
    </xf>
    <xf numFmtId="0" fontId="6" fillId="0" borderId="0" applyFill="0" applyBorder="0">
      <alignment horizontal="left" vertical="center"/>
    </xf>
    <xf numFmtId="0" fontId="8" fillId="0" borderId="1" applyFill="0">
      <alignment horizontal="left" vertical="center" indent="1"/>
    </xf>
    <xf numFmtId="0" fontId="2" fillId="0" borderId="97" applyFill="0">
      <alignment horizontal="center" vertical="center" wrapText="1"/>
    </xf>
    <xf numFmtId="4" fontId="8" fillId="12" borderId="14">
      <alignment vertical="center" wrapText="1"/>
    </xf>
    <xf numFmtId="0" fontId="6" fillId="0" borderId="57" applyFill="0">
      <alignment vertical="top"/>
    </xf>
    <xf numFmtId="0" fontId="8" fillId="0" borderId="104" applyFill="0">
      <alignment vertical="center"/>
    </xf>
    <xf numFmtId="0" fontId="2" fillId="0" borderId="4" applyFill="0">
      <alignment vertical="center"/>
    </xf>
    <xf numFmtId="4" fontId="2" fillId="20" borderId="74">
      <alignment vertical="center" wrapText="1"/>
      <protection locked="0"/>
    </xf>
    <xf numFmtId="4" fontId="2" fillId="13" borderId="74">
      <alignment vertical="center" wrapText="1"/>
      <protection locked="0"/>
    </xf>
    <xf numFmtId="4" fontId="2" fillId="12" borderId="30">
      <alignment vertical="center" wrapText="1"/>
    </xf>
    <xf numFmtId="4" fontId="2" fillId="20" borderId="4">
      <alignment vertical="center" wrapText="1"/>
      <protection locked="0"/>
    </xf>
    <xf numFmtId="4" fontId="2" fillId="12" borderId="28">
      <alignment vertical="center" wrapText="1"/>
    </xf>
    <xf numFmtId="4" fontId="2" fillId="12" borderId="28">
      <alignment horizontal="right" vertical="center" wrapText="1"/>
    </xf>
    <xf numFmtId="4" fontId="2" fillId="20" borderId="4">
      <alignment vertical="center" wrapText="1"/>
    </xf>
    <xf numFmtId="4" fontId="2" fillId="13" borderId="4">
      <alignment vertical="center" wrapText="1"/>
    </xf>
    <xf numFmtId="0" fontId="7" fillId="15" borderId="72">
      <alignment vertical="center" wrapText="1"/>
    </xf>
    <xf numFmtId="0" fontId="7" fillId="15" borderId="0" applyBorder="0">
      <alignment horizontal="left" vertical="center" wrapText="1"/>
    </xf>
    <xf numFmtId="0" fontId="2" fillId="15" borderId="0" applyBorder="0">
      <alignment vertical="center" wrapText="1"/>
    </xf>
    <xf numFmtId="4" fontId="8" fillId="12" borderId="4">
      <alignment vertical="center" wrapText="1"/>
    </xf>
    <xf numFmtId="0" fontId="2" fillId="0" borderId="4" applyFill="0">
      <alignment horizontal="left" vertical="center"/>
    </xf>
    <xf numFmtId="0" fontId="2" fillId="20" borderId="4">
      <alignment vertical="center"/>
    </xf>
    <xf numFmtId="4" fontId="2" fillId="13" borderId="4">
      <alignment vertical="center"/>
    </xf>
    <xf numFmtId="4" fontId="2" fillId="12" borderId="102">
      <alignment horizontal="right" vertical="center" wrapText="1"/>
    </xf>
    <xf numFmtId="4" fontId="2" fillId="20" borderId="19">
      <alignment vertical="center" wrapText="1"/>
      <protection locked="0"/>
    </xf>
    <xf numFmtId="0" fontId="66" fillId="11" borderId="0" applyBorder="0">
      <alignment horizontal="left" vertical="top"/>
    </xf>
    <xf numFmtId="0" fontId="2" fillId="0" borderId="20" applyFill="0">
      <alignment horizontal="center" vertical="center" wrapText="1"/>
    </xf>
    <xf numFmtId="0" fontId="2" fillId="0" borderId="20" applyFill="0">
      <alignment horizontal="left" vertical="center" wrapText="1"/>
    </xf>
    <xf numFmtId="4" fontId="2" fillId="13" borderId="20">
      <alignment horizontal="right" vertical="center" wrapText="1"/>
      <protection locked="0"/>
    </xf>
    <xf numFmtId="4" fontId="2" fillId="12" borderId="9">
      <alignment vertical="center"/>
    </xf>
    <xf numFmtId="4" fontId="2" fillId="12" borderId="6">
      <alignment vertical="center"/>
    </xf>
    <xf numFmtId="16" fontId="2" fillId="0" borderId="20" quotePrefix="1" applyFill="0">
      <alignment horizontal="center" vertical="center" wrapText="1"/>
    </xf>
    <xf numFmtId="0" fontId="2" fillId="0" borderId="20" quotePrefix="1" applyFill="0">
      <alignment horizontal="center" vertical="center" wrapText="1"/>
    </xf>
    <xf numFmtId="4" fontId="2" fillId="12" borderId="2">
      <alignment vertical="center"/>
    </xf>
    <xf numFmtId="1" fontId="3" fillId="0" borderId="0" applyFill="0" applyBorder="0">
      <alignment horizontal="left" vertical="top"/>
    </xf>
    <xf numFmtId="0" fontId="2" fillId="0" borderId="5" applyFill="0">
      <alignment horizontal="left" vertical="center" indent="1"/>
    </xf>
    <xf numFmtId="0" fontId="8" fillId="0" borderId="5" applyFill="0">
      <alignment horizontal="left" vertical="center" indent="1"/>
    </xf>
    <xf numFmtId="0" fontId="8" fillId="0" borderId="5" applyFill="0">
      <alignment vertical="center"/>
    </xf>
    <xf numFmtId="0" fontId="27" fillId="0" borderId="5" applyFill="0">
      <alignment horizontal="center" vertical="center" wrapText="1"/>
    </xf>
    <xf numFmtId="0" fontId="6" fillId="0" borderId="9" applyFill="0">
      <alignment horizontal="center" vertical="center" wrapText="1"/>
    </xf>
    <xf numFmtId="0" fontId="6" fillId="14" borderId="9">
      <alignment horizontal="center" vertical="center" wrapText="1"/>
    </xf>
    <xf numFmtId="0" fontId="2" fillId="14" borderId="20">
      <alignment horizontal="center" vertical="center" wrapText="1"/>
    </xf>
    <xf numFmtId="0" fontId="2" fillId="14" borderId="63">
      <alignment horizontal="center" vertical="center" wrapText="1"/>
    </xf>
    <xf numFmtId="0" fontId="2" fillId="14" borderId="128">
      <alignment horizontal="center" vertical="center" wrapText="1"/>
    </xf>
    <xf numFmtId="0" fontId="2" fillId="0" borderId="57" applyFill="0">
      <alignment wrapText="1"/>
    </xf>
    <xf numFmtId="0" fontId="2" fillId="14" borderId="61">
      <alignment horizontal="center" vertical="center" wrapText="1"/>
    </xf>
    <xf numFmtId="0" fontId="2" fillId="14" borderId="15">
      <alignment horizontal="center" vertical="center" wrapText="1"/>
    </xf>
    <xf numFmtId="0" fontId="2" fillId="14" borderId="16">
      <alignment horizontal="center" vertical="center" wrapText="1"/>
    </xf>
    <xf numFmtId="0" fontId="2" fillId="14" borderId="64">
      <alignment horizontal="center" vertical="center" wrapText="1"/>
    </xf>
    <xf numFmtId="0" fontId="2" fillId="14" borderId="91">
      <alignment horizontal="center" vertical="center" wrapText="1"/>
    </xf>
    <xf numFmtId="0" fontId="23" fillId="26" borderId="1">
      <alignment vertical="center" wrapText="1"/>
    </xf>
    <xf numFmtId="49" fontId="23" fillId="26" borderId="1">
      <alignment vertical="center"/>
    </xf>
    <xf numFmtId="0" fontId="23" fillId="26" borderId="1">
      <alignment vertical="center"/>
    </xf>
    <xf numFmtId="4" fontId="2" fillId="12" borderId="26">
      <alignment horizontal="right" vertical="center" wrapText="1"/>
    </xf>
    <xf numFmtId="4" fontId="2" fillId="12" borderId="129">
      <alignment horizontal="right" vertical="center" wrapText="1"/>
    </xf>
    <xf numFmtId="169" fontId="2" fillId="12" borderId="129">
      <alignment horizontal="right" vertical="center" wrapText="1"/>
    </xf>
    <xf numFmtId="0" fontId="7" fillId="15" borderId="22">
      <alignment horizontal="left" vertical="center" indent="1"/>
    </xf>
    <xf numFmtId="4" fontId="2" fillId="12" borderId="50">
      <alignment horizontal="right" vertical="center" wrapText="1"/>
    </xf>
    <xf numFmtId="4" fontId="2" fillId="12" borderId="130">
      <alignment horizontal="right" vertical="center" wrapText="1"/>
    </xf>
    <xf numFmtId="4" fontId="2" fillId="0" borderId="18" applyFill="0">
      <alignment wrapText="1"/>
    </xf>
    <xf numFmtId="4" fontId="2" fillId="0" borderId="19" applyFill="0">
      <alignment wrapText="1"/>
    </xf>
    <xf numFmtId="4" fontId="2" fillId="0" borderId="1" applyFill="0">
      <alignment wrapText="1"/>
    </xf>
    <xf numFmtId="0" fontId="2" fillId="0" borderId="1" applyFill="0">
      <alignment wrapText="1"/>
    </xf>
    <xf numFmtId="49" fontId="2" fillId="0" borderId="19" applyFill="0">
      <alignment horizontal="left" wrapText="1"/>
    </xf>
    <xf numFmtId="4" fontId="2" fillId="13" borderId="130">
      <alignment horizontal="right" vertical="center" wrapText="1"/>
      <protection locked="0"/>
    </xf>
    <xf numFmtId="0" fontId="7" fillId="15" borderId="22">
      <alignment horizontal="left" vertical="center" wrapText="1" indent="1"/>
    </xf>
    <xf numFmtId="0" fontId="17" fillId="26" borderId="1">
      <alignment vertical="center"/>
    </xf>
    <xf numFmtId="0" fontId="3" fillId="0" borderId="2" applyFill="0">
      <alignment vertical="center" wrapText="1"/>
    </xf>
    <xf numFmtId="49" fontId="3" fillId="23" borderId="1">
      <alignment horizontal="left" vertical="center" indent="1"/>
    </xf>
    <xf numFmtId="0" fontId="67" fillId="0" borderId="55" applyFill="0">
      <alignment horizontal="center" vertical="center" wrapText="1"/>
    </xf>
    <xf numFmtId="0" fontId="2" fillId="0" borderId="56" applyFill="0">
      <alignment wrapText="1"/>
    </xf>
    <xf numFmtId="0" fontId="23" fillId="26" borderId="57">
      <alignment vertical="center"/>
    </xf>
    <xf numFmtId="49" fontId="23" fillId="26" borderId="0" applyBorder="0">
      <alignment vertical="center" wrapText="1"/>
    </xf>
    <xf numFmtId="0" fontId="23" fillId="26" borderId="0" applyBorder="0">
      <alignment vertical="center" wrapText="1"/>
    </xf>
    <xf numFmtId="0" fontId="2" fillId="0" borderId="23" applyFill="0"/>
    <xf numFmtId="4" fontId="8" fillId="12" borderId="6">
      <alignment vertical="center" wrapText="1"/>
    </xf>
    <xf numFmtId="4" fontId="8" fillId="12" borderId="131">
      <alignment vertical="center" wrapText="1"/>
    </xf>
    <xf numFmtId="4" fontId="8" fillId="12" borderId="5">
      <alignment vertical="center" wrapText="1"/>
    </xf>
    <xf numFmtId="0" fontId="2" fillId="0" borderId="6" applyFill="0">
      <alignment horizontal="left" vertical="center" indent="1"/>
    </xf>
    <xf numFmtId="0" fontId="2" fillId="0" borderId="7" applyFill="0">
      <alignment horizontal="left" vertical="center" wrapText="1"/>
    </xf>
    <xf numFmtId="0" fontId="2" fillId="0" borderId="79" applyFill="0">
      <alignment wrapText="1"/>
    </xf>
    <xf numFmtId="4" fontId="2" fillId="12" borderId="6">
      <alignment vertical="center" wrapText="1"/>
    </xf>
    <xf numFmtId="4" fontId="2" fillId="12" borderId="131">
      <alignment vertical="center" wrapText="1"/>
    </xf>
    <xf numFmtId="4" fontId="2" fillId="12" borderId="5">
      <alignment vertical="center" wrapText="1"/>
    </xf>
    <xf numFmtId="0" fontId="2" fillId="0" borderId="79" applyFill="0"/>
    <xf numFmtId="49" fontId="2" fillId="0" borderId="57" applyFill="0">
      <alignment wrapText="1"/>
    </xf>
    <xf numFmtId="49" fontId="67" fillId="0" borderId="57" applyFill="0">
      <alignment horizontal="center" vertical="center" wrapText="1"/>
    </xf>
    <xf numFmtId="4" fontId="2" fillId="13" borderId="0" applyBorder="0">
      <alignment vertical="center" wrapText="1"/>
      <protection locked="0"/>
    </xf>
    <xf numFmtId="4" fontId="2" fillId="13" borderId="132">
      <alignment vertical="center" wrapText="1"/>
      <protection locked="0"/>
    </xf>
    <xf numFmtId="4" fontId="2" fillId="13" borderId="64">
      <alignment vertical="center" wrapText="1"/>
      <protection locked="0"/>
    </xf>
    <xf numFmtId="4" fontId="2" fillId="13" borderId="133">
      <alignment vertical="center" wrapText="1"/>
      <protection locked="0"/>
    </xf>
    <xf numFmtId="4" fontId="2" fillId="13" borderId="5">
      <alignment vertical="center" wrapText="1"/>
      <protection locked="0"/>
    </xf>
    <xf numFmtId="4" fontId="2" fillId="13" borderId="131">
      <alignment vertical="center" wrapText="1"/>
      <protection locked="0"/>
    </xf>
    <xf numFmtId="4" fontId="2" fillId="13" borderId="63">
      <alignment vertical="center" wrapText="1"/>
      <protection locked="0"/>
    </xf>
    <xf numFmtId="4" fontId="2" fillId="13" borderId="134">
      <alignment vertical="center" wrapText="1"/>
      <protection locked="0"/>
    </xf>
    <xf numFmtId="0" fontId="2" fillId="0" borderId="18" applyFill="0">
      <alignment wrapText="1"/>
    </xf>
    <xf numFmtId="0" fontId="2" fillId="20" borderId="135">
      <alignment horizontal="center" vertical="center" wrapText="1"/>
      <protection locked="0"/>
    </xf>
    <xf numFmtId="0" fontId="2" fillId="0" borderId="136" applyFill="0">
      <alignment wrapText="1"/>
    </xf>
    <xf numFmtId="4" fontId="2" fillId="12" borderId="137">
      <alignment vertical="center" wrapText="1"/>
    </xf>
    <xf numFmtId="49" fontId="2" fillId="13" borderId="138">
      <alignment horizontal="right" vertical="center" wrapText="1"/>
      <protection locked="0"/>
    </xf>
    <xf numFmtId="4" fontId="2" fillId="13" borderId="139">
      <alignment vertical="center" wrapText="1"/>
      <protection locked="0"/>
    </xf>
    <xf numFmtId="0" fontId="2" fillId="13" borderId="138">
      <alignment horizontal="right" vertical="center" wrapText="1"/>
      <protection locked="0"/>
    </xf>
    <xf numFmtId="0" fontId="43" fillId="0" borderId="0" applyFill="0" applyBorder="0">
      <alignment vertical="top"/>
    </xf>
    <xf numFmtId="49" fontId="3" fillId="0" borderId="0" applyFill="0" applyBorder="0">
      <alignment horizontal="center" vertical="center"/>
    </xf>
    <xf numFmtId="0" fontId="11" fillId="0" borderId="22" quotePrefix="1" applyFill="0">
      <alignment horizontal="right" vertical="center"/>
    </xf>
    <xf numFmtId="166" fontId="2" fillId="12" borderId="31"/>
    <xf numFmtId="0" fontId="2" fillId="0" borderId="18" applyFill="0">
      <alignment vertical="center" wrapText="1"/>
    </xf>
    <xf numFmtId="0" fontId="2" fillId="0" borderId="31" applyFill="0">
      <alignment vertical="center" wrapText="1"/>
    </xf>
    <xf numFmtId="0" fontId="2" fillId="0" borderId="17" applyFill="0">
      <alignment vertical="center" wrapText="1"/>
    </xf>
    <xf numFmtId="166" fontId="2" fillId="12" borderId="0" applyBorder="0"/>
    <xf numFmtId="0" fontId="2" fillId="4" borderId="2">
      <alignment horizontal="center" vertical="center"/>
    </xf>
    <xf numFmtId="0" fontId="2" fillId="4" borderId="1">
      <alignment vertical="center"/>
    </xf>
    <xf numFmtId="0" fontId="2" fillId="4" borderId="0" applyBorder="0">
      <alignment vertical="center"/>
    </xf>
    <xf numFmtId="0" fontId="2" fillId="4" borderId="3">
      <alignment vertical="center"/>
    </xf>
    <xf numFmtId="0" fontId="2" fillId="0" borderId="19" quotePrefix="1" applyFill="0">
      <alignment horizontal="center" vertical="center"/>
    </xf>
    <xf numFmtId="0" fontId="2" fillId="0" borderId="140" quotePrefix="1" applyFill="0">
      <alignment horizontal="center" vertical="center"/>
    </xf>
    <xf numFmtId="0" fontId="2" fillId="0" borderId="1" applyFill="0">
      <alignment horizontal="left" wrapText="1" indent="1"/>
    </xf>
    <xf numFmtId="4" fontId="11" fillId="0" borderId="1" applyFill="0">
      <alignment horizontal="right" vertical="center"/>
    </xf>
    <xf numFmtId="4" fontId="11" fillId="23" borderId="0" applyBorder="0">
      <alignment horizontal="right" vertical="center"/>
    </xf>
    <xf numFmtId="0" fontId="2" fillId="46" borderId="19">
      <alignment horizontal="center" vertical="center" wrapText="1"/>
    </xf>
    <xf numFmtId="0" fontId="2" fillId="46" borderId="19">
      <alignment horizontal="left" vertical="center" wrapText="1" indent="1"/>
    </xf>
    <xf numFmtId="4" fontId="2" fillId="34" borderId="19">
      <alignment horizontal="right" vertical="center" wrapText="1"/>
    </xf>
    <xf numFmtId="4" fontId="2" fillId="0" borderId="56" applyFill="0">
      <alignment horizontal="right" vertical="center" wrapText="1"/>
    </xf>
    <xf numFmtId="0" fontId="2" fillId="4" borderId="1">
      <alignment horizontal="left" vertical="center"/>
    </xf>
    <xf numFmtId="0" fontId="2" fillId="4" borderId="4">
      <alignment vertical="center"/>
    </xf>
    <xf numFmtId="49" fontId="2" fillId="12" borderId="19">
      <alignment horizontal="center" vertical="center" wrapText="1"/>
    </xf>
    <xf numFmtId="0" fontId="2" fillId="13" borderId="18">
      <alignment horizontal="center" vertical="center" wrapText="1"/>
      <protection locked="0"/>
    </xf>
    <xf numFmtId="49" fontId="2" fillId="13" borderId="31">
      <alignment horizontal="center" vertical="center" wrapText="1"/>
      <protection locked="0"/>
    </xf>
    <xf numFmtId="0" fontId="7" fillId="15" borderId="21">
      <alignment horizontal="left" vertical="center" wrapText="1" indent="2"/>
    </xf>
    <xf numFmtId="0" fontId="2" fillId="0" borderId="19" applyFill="0">
      <alignment horizontal="left" vertical="center" indent="3"/>
    </xf>
    <xf numFmtId="10" fontId="2" fillId="13" borderId="18">
      <alignment horizontal="right" vertical="center" wrapText="1"/>
      <protection locked="0"/>
    </xf>
    <xf numFmtId="10" fontId="2" fillId="12" borderId="18">
      <alignment horizontal="right" vertical="center" wrapText="1"/>
    </xf>
    <xf numFmtId="0" fontId="6" fillId="11" borderId="0" applyBorder="0">
      <alignment vertical="top"/>
    </xf>
    <xf numFmtId="4" fontId="2" fillId="11" borderId="0" applyBorder="0">
      <alignment horizontal="left" vertical="top"/>
    </xf>
    <xf numFmtId="0" fontId="7" fillId="11" borderId="21">
      <alignment horizontal="left" vertical="center" wrapText="1" indent="2"/>
    </xf>
    <xf numFmtId="0" fontId="2" fillId="11" borderId="1">
      <alignment vertical="center"/>
    </xf>
    <xf numFmtId="4" fontId="2" fillId="11" borderId="19">
      <alignment horizontal="right" vertical="center" wrapText="1"/>
    </xf>
    <xf numFmtId="4" fontId="2" fillId="11" borderId="18">
      <alignment horizontal="right" vertical="center" wrapText="1"/>
    </xf>
    <xf numFmtId="4" fontId="2" fillId="11" borderId="19">
      <alignment horizontal="right" vertical="center" wrapText="1"/>
      <protection locked="0"/>
    </xf>
    <xf numFmtId="4" fontId="2" fillId="11" borderId="18">
      <alignment horizontal="right" vertical="center" wrapText="1"/>
      <protection locked="0"/>
    </xf>
    <xf numFmtId="49" fontId="2" fillId="11" borderId="19">
      <alignment horizontal="right" vertical="center" wrapText="1"/>
      <protection locked="0"/>
    </xf>
    <xf numFmtId="0" fontId="2" fillId="11" borderId="19">
      <alignment horizontal="right" vertical="center" wrapText="1"/>
      <protection locked="0"/>
    </xf>
    <xf numFmtId="0" fontId="7" fillId="11" borderId="0" applyBorder="0"/>
    <xf numFmtId="0" fontId="2" fillId="11" borderId="19">
      <alignment horizontal="left" vertical="center" indent="3"/>
    </xf>
    <xf numFmtId="10" fontId="2" fillId="11" borderId="18">
      <alignment horizontal="right" vertical="center" wrapText="1"/>
      <protection locked="0"/>
    </xf>
    <xf numFmtId="10" fontId="2" fillId="11" borderId="18">
      <alignment horizontal="right" vertical="center" wrapText="1"/>
    </xf>
    <xf numFmtId="4" fontId="11" fillId="23" borderId="55">
      <alignment horizontal="right" vertical="center"/>
    </xf>
    <xf numFmtId="4" fontId="11" fillId="23" borderId="141">
      <alignment horizontal="right" vertical="center"/>
    </xf>
    <xf numFmtId="0" fontId="2" fillId="4" borderId="4"/>
    <xf numFmtId="4" fontId="2" fillId="0" borderId="79" applyFill="0">
      <alignment horizontal="right" vertical="center" wrapText="1"/>
    </xf>
    <xf numFmtId="10" fontId="2" fillId="12" borderId="79">
      <alignment horizontal="right" vertical="center" wrapText="1"/>
    </xf>
    <xf numFmtId="49" fontId="2" fillId="13" borderId="79">
      <alignment horizontal="right" vertical="center" wrapText="1"/>
      <protection locked="0"/>
    </xf>
    <xf numFmtId="0" fontId="2" fillId="13" borderId="79">
      <alignment horizontal="right" vertical="center" wrapText="1"/>
      <protection locked="0"/>
    </xf>
    <xf numFmtId="0" fontId="2" fillId="46" borderId="19">
      <alignment horizontal="center" vertical="center"/>
    </xf>
    <xf numFmtId="0" fontId="2" fillId="46" borderId="2">
      <alignment horizontal="left" vertical="center" wrapText="1" indent="1"/>
    </xf>
    <xf numFmtId="0" fontId="2" fillId="46" borderId="3">
      <alignment horizontal="center" vertical="center" wrapText="1"/>
    </xf>
    <xf numFmtId="0" fontId="2" fillId="46" borderId="1">
      <alignment horizontal="left" vertical="center"/>
    </xf>
    <xf numFmtId="0" fontId="2" fillId="46" borderId="4">
      <alignment horizontal="left" vertical="center"/>
    </xf>
    <xf numFmtId="0" fontId="2" fillId="46" borderId="4">
      <alignment vertical="center"/>
    </xf>
    <xf numFmtId="0" fontId="2" fillId="46" borderId="0" applyBorder="0">
      <alignment vertical="center"/>
    </xf>
    <xf numFmtId="16" fontId="2" fillId="4" borderId="2" quotePrefix="1">
      <alignment horizontal="center" vertical="center"/>
    </xf>
    <xf numFmtId="0" fontId="53" fillId="0" borderId="1" applyFill="0">
      <alignment horizontal="center" vertical="center" wrapText="1"/>
    </xf>
    <xf numFmtId="0" fontId="2" fillId="4" borderId="55">
      <alignment vertical="center"/>
    </xf>
    <xf numFmtId="0" fontId="2" fillId="0" borderId="14" applyFill="0"/>
    <xf numFmtId="0" fontId="2" fillId="12" borderId="19">
      <alignment horizontal="right" vertical="center" wrapText="1"/>
    </xf>
    <xf numFmtId="0" fontId="2" fillId="0" borderId="6" applyFill="0">
      <alignment horizontal="left" vertical="center" wrapText="1"/>
    </xf>
    <xf numFmtId="0" fontId="2" fillId="13" borderId="23">
      <alignment horizontal="right" vertical="center" wrapText="1"/>
      <protection locked="0"/>
    </xf>
    <xf numFmtId="4" fontId="68" fillId="0" borderId="9" applyFill="0">
      <alignment horizontal="right"/>
    </xf>
    <xf numFmtId="0" fontId="2" fillId="0" borderId="129" quotePrefix="1" applyFill="0">
      <alignment horizontal="center" vertical="center"/>
    </xf>
    <xf numFmtId="0" fontId="2" fillId="0" borderId="22" applyFill="0">
      <alignment horizontal="left" wrapText="1" indent="1"/>
    </xf>
    <xf numFmtId="0" fontId="2" fillId="4" borderId="55">
      <alignment horizontal="left" vertical="center"/>
    </xf>
    <xf numFmtId="0" fontId="2" fillId="4" borderId="9">
      <alignment vertical="center"/>
    </xf>
    <xf numFmtId="49" fontId="2" fillId="13" borderId="3">
      <alignment horizontal="center" vertical="center" wrapText="1"/>
      <protection locked="0"/>
    </xf>
    <xf numFmtId="0" fontId="2" fillId="0" borderId="31" applyFill="0">
      <alignment horizontal="center" vertical="center"/>
    </xf>
    <xf numFmtId="4" fontId="2" fillId="13" borderId="31">
      <alignment horizontal="right" vertical="center" wrapText="1"/>
      <protection locked="0"/>
    </xf>
    <xf numFmtId="4" fontId="2" fillId="12" borderId="17">
      <alignment horizontal="right" vertical="center" wrapText="1"/>
    </xf>
    <xf numFmtId="4" fontId="2" fillId="12" borderId="7">
      <alignment vertical="center"/>
    </xf>
    <xf numFmtId="10" fontId="2" fillId="13" borderId="17">
      <alignment horizontal="right" vertical="center" wrapText="1"/>
      <protection locked="0"/>
    </xf>
    <xf numFmtId="10" fontId="2" fillId="13" borderId="31">
      <alignment horizontal="right" vertical="center" wrapText="1"/>
      <protection locked="0"/>
    </xf>
    <xf numFmtId="10" fontId="2" fillId="12" borderId="17">
      <alignment horizontal="right" vertical="center" wrapText="1"/>
    </xf>
    <xf numFmtId="10" fontId="2" fillId="12" borderId="19">
      <alignment horizontal="right" vertical="center" wrapText="1"/>
    </xf>
    <xf numFmtId="0" fontId="2" fillId="11" borderId="2">
      <alignment horizontal="center" vertical="center"/>
    </xf>
    <xf numFmtId="0" fontId="2" fillId="11" borderId="4">
      <alignment vertical="center"/>
    </xf>
    <xf numFmtId="0" fontId="2" fillId="11" borderId="4"/>
    <xf numFmtId="4" fontId="2" fillId="11" borderId="17">
      <alignment horizontal="right" vertical="center" wrapText="1"/>
    </xf>
    <xf numFmtId="4" fontId="2" fillId="11" borderId="31">
      <alignment horizontal="right" vertical="center" wrapText="1"/>
    </xf>
    <xf numFmtId="4" fontId="2" fillId="11" borderId="3">
      <alignment horizontal="right" vertical="center" wrapText="1"/>
      <protection locked="0"/>
    </xf>
    <xf numFmtId="10" fontId="2" fillId="11" borderId="17">
      <alignment horizontal="right" vertical="center" wrapText="1"/>
      <protection locked="0"/>
    </xf>
    <xf numFmtId="10" fontId="2" fillId="11" borderId="31">
      <alignment horizontal="right" vertical="center" wrapText="1"/>
      <protection locked="0"/>
    </xf>
    <xf numFmtId="10" fontId="2" fillId="11" borderId="17">
      <alignment horizontal="right" vertical="center" wrapText="1"/>
    </xf>
    <xf numFmtId="10" fontId="2" fillId="11" borderId="19">
      <alignment horizontal="right" vertical="center" wrapText="1"/>
    </xf>
    <xf numFmtId="4" fontId="11" fillId="23" borderId="54">
      <alignment horizontal="right" vertical="center"/>
    </xf>
    <xf numFmtId="0" fontId="2" fillId="4" borderId="9"/>
    <xf numFmtId="0" fontId="2" fillId="46" borderId="9">
      <alignment horizontal="left" vertical="center"/>
    </xf>
    <xf numFmtId="0" fontId="2" fillId="46" borderId="9">
      <alignment vertical="center"/>
    </xf>
    <xf numFmtId="0" fontId="64" fillId="0" borderId="4" applyFill="0">
      <alignment vertical="center"/>
    </xf>
    <xf numFmtId="0" fontId="2" fillId="0" borderId="2" applyFill="0">
      <alignment horizontal="left" wrapText="1" indent="1"/>
    </xf>
    <xf numFmtId="0" fontId="2" fillId="2" borderId="9">
      <alignment horizontal="center" vertical="center"/>
    </xf>
    <xf numFmtId="0" fontId="2" fillId="2" borderId="22">
      <alignment horizontal="left" vertical="center" wrapText="1"/>
    </xf>
    <xf numFmtId="0" fontId="2" fillId="2" borderId="9">
      <alignment horizontal="center" vertical="center" wrapText="1"/>
    </xf>
    <xf numFmtId="164" fontId="2" fillId="12" borderId="7">
      <alignment horizontal="right" vertical="center"/>
    </xf>
    <xf numFmtId="4" fontId="10" fillId="12" borderId="19">
      <alignment horizontal="right" vertical="center" wrapText="1"/>
    </xf>
    <xf numFmtId="4" fontId="10" fillId="13" borderId="19">
      <alignment horizontal="right" vertical="center" wrapText="1"/>
      <protection locked="0"/>
    </xf>
    <xf numFmtId="0" fontId="2" fillId="0" borderId="55" applyFill="0">
      <alignment vertical="center"/>
    </xf>
    <xf numFmtId="0" fontId="2" fillId="12" borderId="4">
      <alignment horizontal="center" vertical="center" wrapText="1"/>
    </xf>
    <xf numFmtId="4" fontId="2" fillId="0" borderId="28" applyFill="0">
      <alignment horizontal="right" vertical="center" wrapText="1"/>
    </xf>
    <xf numFmtId="4" fontId="10" fillId="12" borderId="3">
      <alignment horizontal="right" vertical="center" wrapText="1"/>
    </xf>
    <xf numFmtId="0" fontId="2" fillId="12" borderId="2">
      <alignment horizontal="center" vertical="center" wrapText="1"/>
    </xf>
    <xf numFmtId="4" fontId="2" fillId="0" borderId="2" applyFill="0">
      <alignment horizontal="right"/>
    </xf>
    <xf numFmtId="4" fontId="2" fillId="0" borderId="57" applyFill="0">
      <alignment horizontal="right"/>
    </xf>
    <xf numFmtId="0" fontId="2" fillId="4" borderId="19">
      <alignment vertical="center"/>
    </xf>
    <xf numFmtId="0" fontId="2" fillId="4" borderId="142">
      <alignment vertical="center"/>
    </xf>
    <xf numFmtId="0" fontId="2" fillId="13" borderId="2">
      <alignment horizontal="center" vertical="center" wrapText="1"/>
      <protection locked="0"/>
    </xf>
    <xf numFmtId="4" fontId="2" fillId="11" borderId="9">
      <alignment horizontal="right" vertical="center" wrapText="1"/>
    </xf>
    <xf numFmtId="0" fontId="2" fillId="11" borderId="57"/>
    <xf numFmtId="10" fontId="2" fillId="11" borderId="9">
      <alignment horizontal="right" vertical="center" wrapText="1"/>
      <protection locked="0"/>
    </xf>
    <xf numFmtId="0" fontId="3" fillId="0" borderId="57" applyFill="0">
      <alignment horizontal="left" vertical="top"/>
    </xf>
    <xf numFmtId="0" fontId="2" fillId="0" borderId="57" applyFill="0">
      <alignment horizontal="left" vertical="top"/>
    </xf>
    <xf numFmtId="0" fontId="2" fillId="4" borderId="143"/>
    <xf numFmtId="0" fontId="2" fillId="4" borderId="0" applyBorder="0"/>
    <xf numFmtId="0" fontId="2" fillId="46" borderId="1">
      <alignment vertical="center"/>
    </xf>
    <xf numFmtId="0" fontId="2" fillId="46" borderId="19">
      <alignment vertical="center"/>
    </xf>
    <xf numFmtId="0" fontId="2" fillId="46" borderId="142">
      <alignment vertical="center"/>
    </xf>
    <xf numFmtId="0" fontId="2" fillId="0" borderId="1" applyFill="0">
      <alignment horizontal="left" vertical="center"/>
    </xf>
    <xf numFmtId="0" fontId="59" fillId="0" borderId="2" applyFill="0">
      <alignment horizontal="center" vertical="center" wrapText="1"/>
    </xf>
    <xf numFmtId="0" fontId="2" fillId="2" borderId="9">
      <alignment horizontal="left" vertical="center" wrapText="1"/>
    </xf>
    <xf numFmtId="0" fontId="2" fillId="4" borderId="55">
      <alignment horizontal="right" vertical="center"/>
    </xf>
    <xf numFmtId="0" fontId="2" fillId="4" borderId="1">
      <alignment horizontal="right" vertical="center"/>
    </xf>
    <xf numFmtId="0" fontId="2" fillId="0" borderId="144" applyFill="0">
      <alignment horizontal="center" vertical="center"/>
    </xf>
    <xf numFmtId="0" fontId="2" fillId="0" borderId="145" applyFill="0">
      <alignment horizontal="center" vertical="center" wrapText="1"/>
    </xf>
    <xf numFmtId="4" fontId="2" fillId="0" borderId="146" applyFill="0">
      <alignment horizontal="right" vertical="center"/>
    </xf>
    <xf numFmtId="4" fontId="2" fillId="0" borderId="19" applyFill="0">
      <alignment horizontal="right" vertical="center"/>
    </xf>
    <xf numFmtId="4" fontId="2" fillId="0" borderId="146" applyFill="0">
      <alignment horizontal="right" vertical="center" wrapText="1"/>
    </xf>
    <xf numFmtId="49" fontId="2" fillId="10" borderId="0" applyBorder="0">
      <alignment horizontal="left" vertical="top"/>
    </xf>
    <xf numFmtId="0" fontId="2" fillId="30" borderId="2">
      <alignment horizontal="left" vertical="center" wrapText="1" indent="2"/>
    </xf>
    <xf numFmtId="0" fontId="2" fillId="30" borderId="144">
      <alignment horizontal="center" vertical="center"/>
    </xf>
    <xf numFmtId="4" fontId="2" fillId="30" borderId="19">
      <alignment horizontal="right" vertical="center"/>
    </xf>
    <xf numFmtId="4" fontId="2" fillId="0" borderId="18" applyFill="0">
      <alignment horizontal="right" vertical="center"/>
    </xf>
    <xf numFmtId="4" fontId="2" fillId="0" borderId="2" applyFill="0">
      <alignment horizontal="right" vertical="center"/>
    </xf>
    <xf numFmtId="0" fontId="2" fillId="0" borderId="3" applyFill="0">
      <alignment vertical="center" wrapText="1"/>
    </xf>
    <xf numFmtId="4" fontId="2" fillId="11" borderId="0" applyBorder="0">
      <alignment horizontal="center"/>
    </xf>
    <xf numFmtId="0" fontId="2" fillId="11" borderId="2">
      <alignment horizontal="center" vertical="center" wrapText="1"/>
    </xf>
    <xf numFmtId="10" fontId="2" fillId="11" borderId="19">
      <alignment horizontal="right" vertical="center"/>
    </xf>
    <xf numFmtId="10" fontId="2" fillId="12" borderId="3">
      <alignment horizontal="right" vertical="center" wrapText="1"/>
    </xf>
    <xf numFmtId="10" fontId="2" fillId="12" borderId="2">
      <alignment horizontal="right" vertical="center" wrapText="1"/>
    </xf>
    <xf numFmtId="0" fontId="2" fillId="46" borderId="1">
      <alignment horizontal="left" vertical="center" indent="1"/>
    </xf>
    <xf numFmtId="0" fontId="2" fillId="46" borderId="22">
      <alignment horizontal="left" vertical="center"/>
    </xf>
    <xf numFmtId="0" fontId="2" fillId="46" borderId="22">
      <alignment vertical="center"/>
    </xf>
    <xf numFmtId="0" fontId="2" fillId="46" borderId="3">
      <alignment vertical="center"/>
    </xf>
    <xf numFmtId="0" fontId="2" fillId="0" borderId="19" applyFill="0">
      <alignment horizontal="left" vertical="center" indent="4"/>
    </xf>
    <xf numFmtId="0" fontId="2" fillId="30" borderId="19">
      <alignment vertical="center" wrapText="1"/>
    </xf>
    <xf numFmtId="0" fontId="2" fillId="30" borderId="19">
      <alignment horizontal="center" vertical="center"/>
    </xf>
    <xf numFmtId="0" fontId="3" fillId="11" borderId="0" applyBorder="0"/>
    <xf numFmtId="10" fontId="2" fillId="0" borderId="22" applyFill="0">
      <alignment vertical="center"/>
    </xf>
    <xf numFmtId="0" fontId="6" fillId="0" borderId="22" applyFill="0">
      <alignment horizontal="center" vertical="center" wrapText="1"/>
    </xf>
    <xf numFmtId="0" fontId="2" fillId="2" borderId="79">
      <alignment horizontal="left" vertical="center" wrapText="1"/>
    </xf>
    <xf numFmtId="0" fontId="7" fillId="15" borderId="21">
      <alignment horizontal="left" vertical="center" wrapText="1" indent="1"/>
    </xf>
    <xf numFmtId="0" fontId="2" fillId="11" borderId="23">
      <alignment horizontal="center" vertical="center"/>
    </xf>
    <xf numFmtId="0" fontId="2" fillId="11" borderId="23">
      <alignment horizontal="left" vertical="center" wrapText="1" indent="2"/>
    </xf>
    <xf numFmtId="0" fontId="6" fillId="0" borderId="4" applyFill="0">
      <alignment horizontal="left" vertical="center" wrapText="1" indent="1"/>
    </xf>
    <xf numFmtId="0" fontId="2" fillId="0" borderId="18" applyFill="0">
      <alignment horizontal="left" vertical="center" wrapText="1" indent="2"/>
    </xf>
    <xf numFmtId="0" fontId="2" fillId="0" borderId="22" applyFill="0">
      <alignment horizontal="left" vertical="center" wrapText="1" indent="2"/>
    </xf>
    <xf numFmtId="0" fontId="18" fillId="11" borderId="0" applyBorder="0">
      <alignment vertical="top"/>
    </xf>
    <xf numFmtId="0" fontId="26" fillId="11" borderId="0" applyBorder="0">
      <alignment horizontal="right" vertical="center" wrapText="1" indent="1"/>
    </xf>
    <xf numFmtId="16" fontId="2" fillId="11" borderId="19">
      <alignment horizontal="center" vertical="center"/>
    </xf>
    <xf numFmtId="0" fontId="7" fillId="11" borderId="21">
      <alignment horizontal="left" vertical="center" wrapText="1" indent="1"/>
    </xf>
    <xf numFmtId="0" fontId="11" fillId="11" borderId="2">
      <alignment horizontal="center" vertical="center"/>
    </xf>
    <xf numFmtId="0" fontId="11" fillId="11" borderId="33">
      <alignment horizontal="left" vertical="center" indent="1"/>
    </xf>
    <xf numFmtId="0" fontId="11" fillId="11" borderId="1">
      <alignment horizontal="left" vertical="center" indent="1"/>
    </xf>
    <xf numFmtId="4" fontId="11" fillId="11" borderId="1">
      <alignment horizontal="left" vertical="center" indent="1"/>
    </xf>
    <xf numFmtId="4" fontId="11" fillId="11" borderId="1">
      <alignment horizontal="right" vertical="center"/>
    </xf>
    <xf numFmtId="0" fontId="3" fillId="0" borderId="22" applyFill="0">
      <alignment horizontal="left" vertical="center" wrapText="1" indent="2"/>
    </xf>
    <xf numFmtId="0" fontId="2" fillId="11" borderId="1">
      <alignment horizontal="left" vertical="center" indent="1"/>
    </xf>
    <xf numFmtId="0" fontId="2" fillId="14" borderId="2">
      <alignment horizontal="center" vertical="center"/>
    </xf>
    <xf numFmtId="0" fontId="51" fillId="0" borderId="22" applyFill="0"/>
    <xf numFmtId="1" fontId="2" fillId="0" borderId="0" applyFill="0" applyBorder="0">
      <alignment horizontal="center" vertical="top"/>
    </xf>
    <xf numFmtId="49" fontId="2" fillId="0" borderId="0" applyFill="0" applyBorder="0">
      <alignment horizontal="center" vertical="top"/>
    </xf>
    <xf numFmtId="1" fontId="2" fillId="0" borderId="22" applyFill="0">
      <alignment horizontal="center" vertical="center" wrapText="1"/>
    </xf>
    <xf numFmtId="1" fontId="2" fillId="0" borderId="23" applyFill="0">
      <alignment horizontal="center" vertical="center" wrapText="1"/>
    </xf>
    <xf numFmtId="49" fontId="2" fillId="0" borderId="23" applyFill="0">
      <alignment horizontal="left" vertical="center" wrapText="1"/>
    </xf>
    <xf numFmtId="166" fontId="2" fillId="34" borderId="31"/>
    <xf numFmtId="166" fontId="2" fillId="34" borderId="17"/>
    <xf numFmtId="49" fontId="27" fillId="14" borderId="147">
      <alignment horizontal="left" vertical="center" indent="1"/>
    </xf>
    <xf numFmtId="49" fontId="27" fillId="14" borderId="21">
      <alignment horizontal="left" vertical="center" indent="1"/>
    </xf>
    <xf numFmtId="0" fontId="6" fillId="14" borderId="22">
      <alignment horizontal="left" vertical="center" wrapText="1"/>
    </xf>
    <xf numFmtId="0" fontId="27" fillId="14" borderId="22">
      <alignment horizontal="left" vertical="center" wrapText="1"/>
    </xf>
    <xf numFmtId="0" fontId="27" fillId="14" borderId="0" applyBorder="0">
      <alignment horizontal="left" vertical="center" wrapText="1"/>
    </xf>
    <xf numFmtId="0" fontId="27" fillId="14" borderId="17">
      <alignment horizontal="left" vertical="center" wrapText="1"/>
    </xf>
    <xf numFmtId="0" fontId="8" fillId="0" borderId="18" applyFill="0">
      <alignment horizontal="left" vertical="center" wrapText="1"/>
    </xf>
    <xf numFmtId="4" fontId="8" fillId="12" borderId="19">
      <alignment horizontal="right" vertical="center" wrapText="1"/>
    </xf>
    <xf numFmtId="4" fontId="8" fillId="12" borderId="148">
      <alignment horizontal="right" vertical="center" wrapText="1"/>
    </xf>
    <xf numFmtId="4" fontId="8" fillId="12" borderId="149">
      <alignment horizontal="right" vertical="center" wrapText="1"/>
    </xf>
    <xf numFmtId="4" fontId="8" fillId="13" borderId="148">
      <alignment horizontal="right" vertical="center"/>
      <protection locked="0"/>
    </xf>
    <xf numFmtId="4" fontId="8" fillId="12" borderId="3">
      <alignment horizontal="right" vertical="center" wrapText="1"/>
    </xf>
    <xf numFmtId="4" fontId="2" fillId="0" borderId="14" applyFill="0">
      <alignment horizontal="right" vertical="center"/>
    </xf>
    <xf numFmtId="4" fontId="2" fillId="0" borderId="57" applyFill="0">
      <alignment horizontal="right" vertical="center"/>
    </xf>
    <xf numFmtId="4" fontId="2" fillId="0" borderId="78" applyFill="0">
      <alignment horizontal="right" vertical="center"/>
    </xf>
    <xf numFmtId="4" fontId="2" fillId="0" borderId="150" applyFill="0">
      <alignment horizontal="right" vertical="center"/>
    </xf>
    <xf numFmtId="4" fontId="2" fillId="0" borderId="151" applyFill="0">
      <alignment horizontal="right" vertical="center"/>
    </xf>
    <xf numFmtId="4" fontId="2" fillId="13" borderId="146">
      <alignment horizontal="right" vertical="center"/>
      <protection locked="0"/>
    </xf>
    <xf numFmtId="4" fontId="2" fillId="13" borderId="144">
      <alignment horizontal="right" vertical="center"/>
      <protection locked="0"/>
    </xf>
    <xf numFmtId="167" fontId="2" fillId="13" borderId="146">
      <alignment horizontal="right" vertical="center"/>
      <protection locked="0"/>
    </xf>
    <xf numFmtId="167" fontId="2" fillId="13" borderId="144">
      <alignment horizontal="right" vertical="center"/>
      <protection locked="0"/>
    </xf>
    <xf numFmtId="4" fontId="2" fillId="12" borderId="146">
      <alignment horizontal="right" vertical="center" wrapText="1"/>
    </xf>
    <xf numFmtId="4" fontId="2" fillId="12" borderId="144">
      <alignment horizontal="right" vertical="center" wrapText="1"/>
    </xf>
    <xf numFmtId="169" fontId="2" fillId="13" borderId="146">
      <alignment horizontal="right" vertical="center"/>
      <protection locked="0"/>
    </xf>
    <xf numFmtId="169" fontId="2" fillId="13" borderId="144">
      <alignment horizontal="right" vertical="center"/>
      <protection locked="0"/>
    </xf>
    <xf numFmtId="4" fontId="2" fillId="13" borderId="56">
      <alignment horizontal="right" vertical="center"/>
      <protection locked="0"/>
    </xf>
    <xf numFmtId="4" fontId="2" fillId="13" borderId="23">
      <alignment horizontal="right" vertical="center"/>
      <protection locked="0"/>
    </xf>
    <xf numFmtId="49" fontId="2" fillId="13" borderId="23">
      <alignment horizontal="right" vertical="center" wrapText="1"/>
      <protection locked="0"/>
    </xf>
    <xf numFmtId="0" fontId="2" fillId="0" borderId="31" applyFill="0">
      <alignment horizontal="left" vertical="center" wrapText="1" indent="2"/>
    </xf>
    <xf numFmtId="4" fontId="2" fillId="13" borderId="146">
      <alignment horizontal="right" vertical="center" wrapText="1"/>
      <protection locked="0"/>
    </xf>
    <xf numFmtId="4" fontId="2" fillId="13" borderId="144">
      <alignment horizontal="right" vertical="center" wrapText="1"/>
      <protection locked="0"/>
    </xf>
    <xf numFmtId="4" fontId="2" fillId="0" borderId="31" applyFill="0">
      <alignment horizontal="right" vertical="center"/>
    </xf>
    <xf numFmtId="4" fontId="2" fillId="0" borderId="17" applyFill="0">
      <alignment horizontal="right" vertical="center"/>
    </xf>
    <xf numFmtId="4" fontId="8" fillId="12" borderId="18">
      <alignment horizontal="right" vertical="center" wrapText="1"/>
    </xf>
    <xf numFmtId="0" fontId="8" fillId="17" borderId="19">
      <alignment horizontal="center" vertical="center" wrapText="1"/>
    </xf>
    <xf numFmtId="0" fontId="8" fillId="17" borderId="2">
      <alignment horizontal="left" vertical="center" indent="1"/>
    </xf>
    <xf numFmtId="49" fontId="27" fillId="17" borderId="14">
      <alignment horizontal="center" vertical="center"/>
    </xf>
    <xf numFmtId="4" fontId="69" fillId="12" borderId="19">
      <alignment horizontal="right" vertical="center"/>
    </xf>
    <xf numFmtId="0" fontId="2" fillId="11" borderId="2">
      <alignment horizontal="left" vertical="center" wrapText="1"/>
    </xf>
    <xf numFmtId="0" fontId="2" fillId="11" borderId="14">
      <alignment horizontal="center" vertical="center"/>
    </xf>
    <xf numFmtId="4" fontId="2" fillId="0" borderId="25" applyFill="0">
      <alignment horizontal="right" vertical="center"/>
    </xf>
    <xf numFmtId="4" fontId="2" fillId="0" borderId="56" applyFill="0">
      <alignment horizontal="right" vertical="center"/>
    </xf>
    <xf numFmtId="0" fontId="8" fillId="17" borderId="2">
      <alignment horizontal="left" vertical="center" wrapText="1" indent="1"/>
    </xf>
    <xf numFmtId="0" fontId="8" fillId="17" borderId="14">
      <alignment horizontal="center" vertical="center"/>
    </xf>
    <xf numFmtId="4" fontId="8" fillId="12" borderId="146">
      <alignment horizontal="right" vertical="center" wrapText="1"/>
    </xf>
    <xf numFmtId="0" fontId="8" fillId="11" borderId="19">
      <alignment horizontal="center" vertical="center" wrapText="1"/>
    </xf>
    <xf numFmtId="0" fontId="8" fillId="11" borderId="2">
      <alignment horizontal="left" vertical="center" wrapText="1" indent="1"/>
    </xf>
    <xf numFmtId="0" fontId="8" fillId="11" borderId="14">
      <alignment horizontal="center" vertical="center"/>
    </xf>
    <xf numFmtId="4" fontId="69" fillId="12" borderId="146">
      <alignment horizontal="right" vertical="center"/>
    </xf>
    <xf numFmtId="4" fontId="69" fillId="12" borderId="144">
      <alignment horizontal="right" vertical="center"/>
    </xf>
    <xf numFmtId="4" fontId="69" fillId="12" borderId="4">
      <alignment horizontal="right" vertical="center"/>
    </xf>
    <xf numFmtId="4" fontId="2" fillId="12" borderId="152">
      <alignment horizontal="right" vertical="center" wrapText="1"/>
    </xf>
    <xf numFmtId="4" fontId="2" fillId="12" borderId="153">
      <alignment horizontal="right" vertical="center" wrapText="1"/>
    </xf>
    <xf numFmtId="0" fontId="6" fillId="14" borderId="17">
      <alignment horizontal="left" vertical="center" wrapText="1"/>
    </xf>
    <xf numFmtId="0" fontId="8" fillId="0" borderId="31" applyFill="0">
      <alignment horizontal="left" vertical="center" wrapText="1"/>
    </xf>
    <xf numFmtId="0" fontId="8" fillId="0" borderId="14" applyFill="0">
      <alignment horizontal="center" vertical="center"/>
    </xf>
    <xf numFmtId="4" fontId="8" fillId="13" borderId="19">
      <alignment horizontal="right" vertical="center"/>
      <protection locked="0"/>
    </xf>
    <xf numFmtId="0" fontId="8" fillId="0" borderId="2" applyFill="0">
      <alignment horizontal="center" vertical="center"/>
    </xf>
    <xf numFmtId="0" fontId="8" fillId="11" borderId="19">
      <alignment horizontal="left" vertical="center" wrapText="1" indent="1"/>
    </xf>
    <xf numFmtId="0" fontId="8" fillId="11" borderId="2">
      <alignment horizontal="center" vertical="center"/>
    </xf>
    <xf numFmtId="0" fontId="2" fillId="0" borderId="78" applyFill="0">
      <alignment horizontal="left" vertical="top"/>
    </xf>
    <xf numFmtId="0" fontId="8" fillId="0" borderId="22" applyFill="0">
      <alignment horizontal="left" vertical="center" wrapText="1"/>
    </xf>
    <xf numFmtId="0" fontId="8" fillId="0" borderId="3" applyFill="0">
      <alignment horizontal="left" vertical="center" wrapText="1"/>
    </xf>
    <xf numFmtId="49" fontId="27" fillId="14" borderId="113">
      <alignment horizontal="left" vertical="center" indent="1"/>
    </xf>
    <xf numFmtId="49" fontId="27" fillId="14" borderId="1">
      <alignment horizontal="left" vertical="center" indent="1"/>
    </xf>
    <xf numFmtId="0" fontId="8" fillId="0" borderId="31" applyFill="0">
      <alignment horizontal="center" vertical="center"/>
    </xf>
    <xf numFmtId="4" fontId="69" fillId="12" borderId="19">
      <alignment vertical="top"/>
    </xf>
    <xf numFmtId="0" fontId="2" fillId="0" borderId="23" applyFill="0">
      <alignment horizontal="left" vertical="center" wrapText="1" indent="2"/>
    </xf>
    <xf numFmtId="0" fontId="2" fillId="0" borderId="25" applyFill="0">
      <alignment horizontal="center" vertical="center"/>
    </xf>
    <xf numFmtId="49" fontId="27" fillId="14" borderId="2">
      <alignment horizontal="left" vertical="center" indent="1"/>
    </xf>
    <xf numFmtId="4" fontId="10" fillId="12" borderId="19">
      <alignment vertical="top"/>
    </xf>
    <xf numFmtId="49" fontId="8" fillId="14" borderId="2">
      <alignment horizontal="left" vertical="center" indent="1"/>
    </xf>
    <xf numFmtId="49" fontId="8" fillId="14" borderId="1">
      <alignment horizontal="left" vertical="center" indent="1"/>
    </xf>
    <xf numFmtId="0" fontId="2" fillId="14" borderId="1">
      <alignment horizontal="left" vertical="center" wrapText="1"/>
    </xf>
    <xf numFmtId="0" fontId="27" fillId="14" borderId="2">
      <alignment horizontal="left" vertical="center" indent="1"/>
    </xf>
    <xf numFmtId="0" fontId="27" fillId="14" borderId="1">
      <alignment horizontal="left" vertical="center" indent="1"/>
    </xf>
    <xf numFmtId="0" fontId="27" fillId="14" borderId="154">
      <alignment horizontal="center" vertical="center"/>
    </xf>
    <xf numFmtId="0" fontId="27" fillId="14" borderId="154">
      <alignment horizontal="left" vertical="center"/>
    </xf>
    <xf numFmtId="49" fontId="27" fillId="14" borderId="154">
      <alignment horizontal="center" vertical="center"/>
    </xf>
    <xf numFmtId="0" fontId="8" fillId="0" borderId="19" applyFill="0">
      <alignment horizontal="center" vertical="center"/>
    </xf>
    <xf numFmtId="49" fontId="2" fillId="0" borderId="22" applyFill="0">
      <alignment horizontal="center"/>
    </xf>
    <xf numFmtId="0" fontId="2" fillId="0" borderId="22" applyFill="0">
      <alignment horizontal="center"/>
    </xf>
    <xf numFmtId="0" fontId="7" fillId="15" borderId="24">
      <alignment horizontal="left" vertical="center"/>
    </xf>
    <xf numFmtId="0" fontId="8" fillId="17" borderId="4">
      <alignment horizontal="left" vertical="center"/>
    </xf>
    <xf numFmtId="0" fontId="2" fillId="17" borderId="4">
      <alignment horizontal="left" vertical="center" indent="1"/>
    </xf>
    <xf numFmtId="4" fontId="2" fillId="13" borderId="1">
      <alignment horizontal="right" vertical="center" wrapText="1"/>
      <protection locked="0"/>
    </xf>
    <xf numFmtId="167" fontId="2" fillId="13" borderId="2">
      <alignment horizontal="right" vertical="center"/>
      <protection locked="0"/>
    </xf>
    <xf numFmtId="169" fontId="2" fillId="13" borderId="2">
      <alignment horizontal="right" vertical="center"/>
      <protection locked="0"/>
    </xf>
    <xf numFmtId="169" fontId="2" fillId="13" borderId="3">
      <alignment horizontal="right" vertical="center"/>
      <protection locked="0"/>
    </xf>
    <xf numFmtId="4" fontId="2" fillId="13" borderId="25">
      <alignment horizontal="right" vertical="center"/>
      <protection locked="0"/>
    </xf>
    <xf numFmtId="0" fontId="2" fillId="17" borderId="4">
      <alignment horizontal="left" vertical="center" wrapText="1" indent="1" shrinkToFit="1"/>
    </xf>
    <xf numFmtId="4" fontId="10" fillId="12" borderId="2">
      <alignment horizontal="right" vertical="center"/>
    </xf>
    <xf numFmtId="0" fontId="70" fillId="0" borderId="0" applyFill="0" applyBorder="0">
      <alignment vertical="top"/>
    </xf>
    <xf numFmtId="0" fontId="71" fillId="0" borderId="0" applyFill="0" applyBorder="0">
      <alignment vertical="top"/>
    </xf>
    <xf numFmtId="0" fontId="70" fillId="0" borderId="0" applyFill="0" applyBorder="0">
      <alignment horizontal="left" vertical="center" wrapText="1"/>
    </xf>
    <xf numFmtId="0" fontId="71" fillId="0" borderId="0" applyFill="0" applyBorder="0">
      <alignment horizontal="left" vertical="center" wrapText="1"/>
    </xf>
    <xf numFmtId="0" fontId="31" fillId="0" borderId="0" applyFill="0" applyBorder="0">
      <alignment horizontal="left" vertical="top"/>
    </xf>
    <xf numFmtId="172" fontId="2" fillId="14" borderId="2">
      <alignment horizontal="left" vertical="center" indent="1"/>
    </xf>
    <xf numFmtId="172" fontId="2" fillId="14" borderId="1">
      <alignment horizontal="left" vertical="center" indent="1"/>
    </xf>
    <xf numFmtId="172" fontId="2" fillId="14" borderId="55">
      <alignment horizontal="left" vertical="center" indent="1"/>
    </xf>
    <xf numFmtId="172" fontId="2" fillId="14" borderId="1">
      <alignment vertical="center"/>
    </xf>
    <xf numFmtId="172" fontId="2" fillId="14" borderId="3">
      <alignment vertical="center"/>
    </xf>
    <xf numFmtId="49" fontId="2" fillId="0" borderId="79" applyFill="0">
      <alignment horizontal="center" vertical="center"/>
    </xf>
    <xf numFmtId="0" fontId="3" fillId="0" borderId="0" applyFill="0" applyBorder="0">
      <alignment horizontal="center" vertical="top"/>
    </xf>
    <xf numFmtId="0" fontId="2" fillId="14" borderId="113">
      <alignment horizontal="center" vertical="center"/>
    </xf>
    <xf numFmtId="4" fontId="2" fillId="14" borderId="1">
      <alignment horizontal="center" vertical="center" wrapText="1"/>
    </xf>
    <xf numFmtId="49" fontId="2" fillId="13" borderId="2">
      <alignment horizontal="left" vertical="center" wrapText="1"/>
      <protection locked="0"/>
    </xf>
    <xf numFmtId="49" fontId="2" fillId="14" borderId="2">
      <alignment horizontal="left" vertical="center"/>
    </xf>
    <xf numFmtId="49" fontId="2" fillId="14" borderId="1">
      <alignment horizontal="left" vertical="center"/>
    </xf>
    <xf numFmtId="0" fontId="7" fillId="0" borderId="113" applyFill="0">
      <alignment horizontal="center" vertical="center"/>
    </xf>
    <xf numFmtId="2" fontId="2" fillId="0" borderId="1" applyFill="0">
      <alignment horizontal="center"/>
    </xf>
    <xf numFmtId="2" fontId="2" fillId="0" borderId="1" applyFill="0">
      <alignment horizontal="center" vertical="center"/>
    </xf>
    <xf numFmtId="2" fontId="2" fillId="0" borderId="1" applyFill="0">
      <alignment horizontal="right" vertical="center"/>
    </xf>
    <xf numFmtId="0" fontId="51" fillId="0" borderId="1" applyFill="0">
      <alignment horizontal="left" vertical="center"/>
    </xf>
    <xf numFmtId="0" fontId="51" fillId="0" borderId="114" applyFill="0">
      <alignment horizontal="left" vertical="center"/>
    </xf>
    <xf numFmtId="49" fontId="11" fillId="23" borderId="113">
      <alignment horizontal="left" vertical="center"/>
    </xf>
    <xf numFmtId="4" fontId="11" fillId="23" borderId="114">
      <alignment horizontal="right" vertical="center"/>
    </xf>
    <xf numFmtId="0" fontId="2" fillId="14" borderId="2">
      <alignment horizontal="left" vertical="center"/>
    </xf>
    <xf numFmtId="0" fontId="2" fillId="13" borderId="155">
      <alignment horizontal="right" vertical="center" wrapText="1"/>
      <protection locked="0"/>
    </xf>
    <xf numFmtId="0" fontId="2" fillId="0" borderId="22" applyFill="0">
      <alignment horizontal="center" vertical="center"/>
    </xf>
    <xf numFmtId="172" fontId="2" fillId="14" borderId="0" applyBorder="0">
      <alignment horizontal="left" vertical="center" indent="1"/>
    </xf>
    <xf numFmtId="49" fontId="2" fillId="0" borderId="19" applyFill="0"/>
    <xf numFmtId="0" fontId="2" fillId="0" borderId="2" applyFill="0"/>
    <xf numFmtId="0" fontId="2" fillId="11" borderId="4">
      <alignment horizontal="center" vertical="center" wrapText="1"/>
    </xf>
    <xf numFmtId="49" fontId="2" fillId="14" borderId="2">
      <alignment horizontal="center" vertical="center" wrapText="1"/>
    </xf>
    <xf numFmtId="49" fontId="2" fillId="14" borderId="1">
      <alignment horizontal="center" vertical="center" wrapText="1"/>
    </xf>
    <xf numFmtId="49" fontId="2" fillId="14" borderId="22">
      <alignment horizontal="center" vertical="center" wrapText="1"/>
    </xf>
    <xf numFmtId="49" fontId="2" fillId="13" borderId="31">
      <alignment horizontal="left" vertical="center" wrapText="1"/>
      <protection locked="0"/>
    </xf>
    <xf numFmtId="0" fontId="51" fillId="0" borderId="22" applyFill="0">
      <alignment horizontal="left" vertical="center"/>
    </xf>
    <xf numFmtId="0" fontId="51" fillId="0" borderId="17" applyFill="0">
      <alignment horizontal="left" vertical="center"/>
    </xf>
    <xf numFmtId="0" fontId="2" fillId="34" borderId="19">
      <alignment vertical="center" wrapText="1"/>
    </xf>
    <xf numFmtId="0" fontId="2" fillId="34" borderId="2">
      <alignment vertical="center" wrapText="1"/>
    </xf>
    <xf numFmtId="2" fontId="2" fillId="0" borderId="18" applyFill="0">
      <alignment vertical="center" wrapText="1"/>
    </xf>
    <xf numFmtId="0" fontId="2" fillId="2" borderId="25">
      <alignment vertical="center" wrapText="1"/>
    </xf>
    <xf numFmtId="0" fontId="2" fillId="34" borderId="18">
      <alignment horizontal="center" vertical="center" wrapText="1"/>
    </xf>
    <xf numFmtId="0" fontId="2" fillId="0" borderId="23" applyFill="0">
      <alignment vertical="center" wrapText="1"/>
    </xf>
    <xf numFmtId="0" fontId="2" fillId="34" borderId="31">
      <alignment horizontal="center" vertical="center" wrapText="1"/>
    </xf>
    <xf numFmtId="0" fontId="2" fillId="0" borderId="0" quotePrefix="1" applyFill="0" applyBorder="0"/>
    <xf numFmtId="0" fontId="2" fillId="13" borderId="4">
      <alignment horizontal="left" vertical="center" wrapText="1" indent="1"/>
      <protection locked="0"/>
    </xf>
    <xf numFmtId="0" fontId="3" fillId="0" borderId="22" applyFill="0">
      <alignment horizontal="center" vertical="center"/>
    </xf>
    <xf numFmtId="49" fontId="7" fillId="15" borderId="21">
      <alignment horizontal="left" vertical="center" wrapText="1"/>
    </xf>
    <xf numFmtId="0" fontId="8" fillId="14" borderId="1">
      <alignment horizontal="left" vertical="center" wrapText="1"/>
    </xf>
    <xf numFmtId="49" fontId="65" fillId="11" borderId="0" applyBorder="0">
      <alignment horizontal="center" vertical="center"/>
    </xf>
    <xf numFmtId="0" fontId="2" fillId="14" borderId="1">
      <alignment horizontal="left" vertical="center" wrapText="1" indent="1"/>
    </xf>
    <xf numFmtId="4" fontId="6" fillId="13" borderId="23">
      <alignment horizontal="right" vertical="center"/>
      <protection locked="0"/>
    </xf>
    <xf numFmtId="0" fontId="2" fillId="14" borderId="1">
      <alignment horizontal="left" vertical="center" wrapText="1" indent="2"/>
    </xf>
    <xf numFmtId="49" fontId="2" fillId="13" borderId="1">
      <alignment horizontal="center" vertical="center" wrapText="1"/>
      <protection locked="0"/>
    </xf>
    <xf numFmtId="0" fontId="2" fillId="13" borderId="1">
      <alignment horizontal="center" vertical="center" wrapText="1"/>
      <protection locked="0"/>
    </xf>
    <xf numFmtId="0" fontId="2" fillId="13" borderId="3">
      <alignment horizontal="center" vertical="center" wrapText="1"/>
      <protection locked="0"/>
    </xf>
    <xf numFmtId="4" fontId="6" fillId="12" borderId="18">
      <alignment horizontal="right" vertical="center"/>
    </xf>
    <xf numFmtId="0" fontId="4" fillId="0" borderId="0" applyFill="0" applyBorder="0">
      <alignment horizontal="center" vertical="top"/>
    </xf>
    <xf numFmtId="0" fontId="2" fillId="0" borderId="2" applyFill="0">
      <alignment horizontal="left" vertical="center" wrapText="1" indent="5"/>
    </xf>
    <xf numFmtId="0" fontId="6" fillId="0" borderId="2" applyFill="0">
      <alignment horizontal="left" vertical="center" wrapText="1" indent="3"/>
    </xf>
    <xf numFmtId="0" fontId="6" fillId="0" borderId="2" applyFill="0">
      <alignment horizontal="left" vertical="center" wrapText="1" indent="2"/>
    </xf>
    <xf numFmtId="0" fontId="2" fillId="0" borderId="2" applyFill="0">
      <alignment horizontal="left" vertical="center" wrapText="1" indent="6"/>
    </xf>
    <xf numFmtId="0" fontId="6" fillId="0" borderId="2" applyFill="0">
      <alignment horizontal="left" vertical="center" wrapText="1" indent="4"/>
    </xf>
    <xf numFmtId="0" fontId="6" fillId="0" borderId="2" applyFill="0">
      <alignment horizontal="left" vertical="center" wrapText="1" indent="1"/>
    </xf>
    <xf numFmtId="0" fontId="2" fillId="34" borderId="19">
      <alignment horizontal="left" vertical="center" wrapText="1"/>
    </xf>
    <xf numFmtId="0" fontId="6" fillId="0" borderId="23" applyFill="0">
      <alignment horizontal="center" vertical="center"/>
    </xf>
    <xf numFmtId="0" fontId="6" fillId="0" borderId="25" applyFill="0">
      <alignment horizontal="left" vertical="center" wrapText="1" indent="2"/>
    </xf>
    <xf numFmtId="49" fontId="2" fillId="13" borderId="2">
      <alignment horizontal="left" vertical="center" wrapText="1" indent="1"/>
      <protection locked="0"/>
    </xf>
    <xf numFmtId="49" fontId="6" fillId="0" borderId="1" applyFill="0"/>
    <xf numFmtId="4" fontId="6" fillId="0" borderId="1" applyFill="0"/>
    <xf numFmtId="4" fontId="6" fillId="0" borderId="0" applyFill="0" applyBorder="0">
      <alignment vertical="top"/>
    </xf>
    <xf numFmtId="0" fontId="4" fillId="0" borderId="22" applyFill="0"/>
    <xf numFmtId="0" fontId="2" fillId="0" borderId="1" applyFill="0">
      <alignment horizontal="left" vertical="top"/>
    </xf>
    <xf numFmtId="0" fontId="3" fillId="0" borderId="22" applyFill="0">
      <alignment horizontal="left" vertical="center"/>
    </xf>
    <xf numFmtId="166" fontId="2" fillId="0" borderId="0" applyFill="0" applyBorder="0">
      <alignment horizontal="center" vertical="center" wrapText="1"/>
    </xf>
    <xf numFmtId="49" fontId="6" fillId="0" borderId="19" applyFill="0">
      <alignment horizontal="center" vertical="center"/>
    </xf>
    <xf numFmtId="4" fontId="2" fillId="0" borderId="9" applyFill="0">
      <alignment horizontal="right" vertical="center"/>
    </xf>
    <xf numFmtId="0" fontId="6" fillId="0" borderId="1" applyFill="0">
      <alignment horizontal="left" vertical="center" wrapText="1" indent="2"/>
    </xf>
    <xf numFmtId="49" fontId="2" fillId="0" borderId="0" applyFill="0" applyBorder="0">
      <alignment vertical="top"/>
    </xf>
    <xf numFmtId="49" fontId="2" fillId="14" borderId="2">
      <alignment horizontal="left" vertical="center" indent="1"/>
    </xf>
    <xf numFmtId="49" fontId="2" fillId="14" borderId="1">
      <alignment horizontal="left" vertical="center" indent="1"/>
    </xf>
    <xf numFmtId="49" fontId="2" fillId="14" borderId="22">
      <alignment horizontal="left" vertical="center" indent="1"/>
    </xf>
    <xf numFmtId="0" fontId="2" fillId="14" borderId="22">
      <alignment horizontal="center" vertical="center"/>
    </xf>
    <xf numFmtId="0" fontId="2" fillId="14" borderId="1">
      <alignment horizontal="center" vertical="center"/>
    </xf>
    <xf numFmtId="0" fontId="2" fillId="14" borderId="0" applyBorder="0">
      <alignment horizontal="center" vertical="center"/>
    </xf>
    <xf numFmtId="174" fontId="2" fillId="13" borderId="19">
      <alignment horizontal="right" vertical="center" wrapText="1"/>
      <protection locked="0"/>
    </xf>
    <xf numFmtId="174" fontId="2" fillId="12" borderId="19">
      <alignment horizontal="right" vertical="center" wrapText="1"/>
    </xf>
    <xf numFmtId="174" fontId="2" fillId="12" borderId="19">
      <alignment horizontal="right" vertical="center"/>
    </xf>
    <xf numFmtId="174" fontId="7" fillId="0" borderId="3" applyFill="0">
      <alignment horizontal="right" vertical="center" wrapText="1"/>
    </xf>
    <xf numFmtId="174" fontId="2" fillId="12" borderId="9">
      <alignment horizontal="right" vertical="center"/>
    </xf>
    <xf numFmtId="174" fontId="26" fillId="0" borderId="9" applyFill="0">
      <alignment horizontal="right"/>
    </xf>
    <xf numFmtId="169" fontId="2" fillId="12" borderId="9">
      <alignment horizontal="right" vertical="center"/>
    </xf>
    <xf numFmtId="169" fontId="26" fillId="0" borderId="9" applyFill="0">
      <alignment horizontal="right"/>
    </xf>
    <xf numFmtId="49" fontId="8" fillId="0" borderId="15" applyFill="0">
      <alignment horizontal="center" vertical="center" wrapText="1"/>
    </xf>
    <xf numFmtId="0" fontId="8" fillId="0" borderId="15" applyFill="0">
      <alignment horizontal="center" vertical="center" wrapText="1"/>
    </xf>
    <xf numFmtId="0" fontId="2" fillId="0" borderId="15" applyFill="0">
      <alignment vertical="center" wrapText="1"/>
    </xf>
    <xf numFmtId="49" fontId="8" fillId="0" borderId="9" applyFill="0">
      <alignment horizontal="center" vertical="center" wrapText="1"/>
    </xf>
    <xf numFmtId="0" fontId="8" fillId="0" borderId="9" applyFill="0">
      <alignment horizontal="center" vertical="center" wrapText="1"/>
    </xf>
    <xf numFmtId="0" fontId="6" fillId="0" borderId="9" applyFill="0"/>
    <xf numFmtId="0" fontId="4" fillId="0" borderId="9" applyFill="0"/>
    <xf numFmtId="49" fontId="2" fillId="0" borderId="0" applyFill="0" applyBorder="0">
      <alignment horizontal="left"/>
    </xf>
    <xf numFmtId="49" fontId="2" fillId="0" borderId="18" applyFill="0">
      <alignment horizontal="left" vertical="center" wrapText="1"/>
    </xf>
    <xf numFmtId="49" fontId="2" fillId="0" borderId="19" applyFill="0">
      <alignment horizontal="left" vertical="center" wrapText="1" indent="1"/>
    </xf>
    <xf numFmtId="169" fontId="7" fillId="0" borderId="19" applyFill="0">
      <alignment horizontal="right"/>
    </xf>
    <xf numFmtId="4" fontId="2" fillId="12" borderId="47">
      <alignment horizontal="right" vertical="center"/>
    </xf>
    <xf numFmtId="0" fontId="4" fillId="0" borderId="55" applyFill="0"/>
    <xf numFmtId="0" fontId="6" fillId="0" borderId="9" applyFill="0">
      <alignment horizontal="center" vertical="center"/>
    </xf>
    <xf numFmtId="0" fontId="6" fillId="0" borderId="15" applyFill="0">
      <alignment horizontal="center" vertical="center" wrapText="1"/>
    </xf>
    <xf numFmtId="0" fontId="6" fillId="0" borderId="15" applyFill="0">
      <alignment horizontal="center" vertical="center"/>
    </xf>
    <xf numFmtId="49" fontId="6" fillId="0" borderId="18" applyFill="0">
      <alignment horizontal="center" vertical="center"/>
    </xf>
    <xf numFmtId="0" fontId="6" fillId="0" borderId="18" applyFill="0">
      <alignment horizontal="left" vertical="center" wrapText="1"/>
    </xf>
    <xf numFmtId="4" fontId="2" fillId="12" borderId="18">
      <alignment horizontal="right" vertical="center"/>
    </xf>
    <xf numFmtId="169" fontId="7" fillId="0" borderId="3" applyFill="0">
      <alignment horizontal="left" vertical="center" wrapText="1" indent="1"/>
    </xf>
    <xf numFmtId="4" fontId="2" fillId="12" borderId="23">
      <alignment horizontal="right" vertical="center"/>
    </xf>
    <xf numFmtId="0" fontId="72" fillId="0" borderId="0" applyFill="0" applyBorder="0">
      <alignment horizontal="left" vertical="top"/>
    </xf>
    <xf numFmtId="1" fontId="8" fillId="0" borderId="19" applyFill="0">
      <alignment horizontal="center" vertical="center" wrapText="1"/>
    </xf>
    <xf numFmtId="49" fontId="8" fillId="0" borderId="19" applyFill="0">
      <alignment horizontal="center" vertical="center" wrapText="1"/>
    </xf>
    <xf numFmtId="4" fontId="8" fillId="12" borderId="7">
      <alignment horizontal="right" vertical="center"/>
    </xf>
    <xf numFmtId="49" fontId="2" fillId="0" borderId="9" applyFill="0">
      <alignment horizontal="left" vertical="center" wrapText="1"/>
    </xf>
    <xf numFmtId="4" fontId="4" fillId="13" borderId="9">
      <alignment horizontal="right" vertical="center" wrapText="1"/>
      <protection locked="0"/>
    </xf>
    <xf numFmtId="4" fontId="6" fillId="13" borderId="9">
      <alignment horizontal="right" vertical="center" wrapText="1"/>
      <protection locked="0"/>
    </xf>
    <xf numFmtId="0" fontId="6" fillId="0" borderId="9" applyFill="0">
      <alignment horizontal="right" vertical="center" wrapText="1"/>
    </xf>
    <xf numFmtId="0" fontId="6" fillId="0" borderId="9" applyFill="0">
      <alignment vertical="center"/>
    </xf>
    <xf numFmtId="49" fontId="2" fillId="13" borderId="9">
      <alignment horizontal="left" vertical="top" wrapText="1"/>
      <protection locked="0"/>
    </xf>
    <xf numFmtId="49" fontId="2" fillId="17" borderId="4">
      <alignment horizontal="center" vertical="center" wrapText="1"/>
    </xf>
    <xf numFmtId="0" fontId="2" fillId="0" borderId="26" applyFill="0">
      <alignment horizontal="center" vertical="center"/>
    </xf>
    <xf numFmtId="0" fontId="2" fillId="0" borderId="73" applyFill="0">
      <alignment horizontal="center" vertical="center"/>
    </xf>
    <xf numFmtId="0" fontId="2" fillId="0" borderId="74" applyFill="0">
      <alignment horizontal="center" vertical="center"/>
    </xf>
    <xf numFmtId="0" fontId="2" fillId="0" borderId="19" applyFill="0">
      <alignment vertical="center"/>
    </xf>
    <xf numFmtId="4" fontId="6" fillId="12" borderId="19">
      <alignment horizontal="right" vertical="center" wrapText="1"/>
    </xf>
    <xf numFmtId="4" fontId="6" fillId="13" borderId="19">
      <alignment horizontal="right" vertical="center" wrapText="1"/>
      <protection locked="0"/>
    </xf>
    <xf numFmtId="167" fontId="6" fillId="12" borderId="19">
      <alignment horizontal="right" vertical="center" wrapText="1"/>
    </xf>
    <xf numFmtId="167" fontId="6" fillId="13" borderId="19">
      <alignment horizontal="right" vertical="center" wrapText="1"/>
      <protection locked="0"/>
    </xf>
    <xf numFmtId="0" fontId="6" fillId="2" borderId="0" applyBorder="0">
      <alignment horizontal="left" vertical="top"/>
    </xf>
    <xf numFmtId="0" fontId="18" fillId="2" borderId="0" applyBorder="0">
      <alignment vertical="top"/>
    </xf>
    <xf numFmtId="0" fontId="6" fillId="2" borderId="0" applyBorder="0">
      <alignment vertical="top"/>
    </xf>
    <xf numFmtId="4" fontId="27" fillId="13" borderId="19">
      <alignment horizontal="right" vertical="center" wrapText="1"/>
      <protection locked="0"/>
    </xf>
    <xf numFmtId="0" fontId="8" fillId="0" borderId="19" applyFill="0">
      <alignment horizontal="left" vertical="center"/>
    </xf>
    <xf numFmtId="4" fontId="27" fillId="12" borderId="19">
      <alignment horizontal="right" vertical="center" wrapText="1"/>
    </xf>
    <xf numFmtId="0" fontId="4" fillId="0" borderId="4" applyFill="0">
      <alignment horizontal="center" vertical="center" wrapText="1"/>
    </xf>
    <xf numFmtId="0" fontId="4" fillId="0" borderId="14" applyFill="0">
      <alignment horizontal="center" vertical="center" wrapText="1"/>
    </xf>
    <xf numFmtId="0" fontId="4" fillId="0" borderId="74" applyFill="0">
      <alignment horizontal="center" vertical="center" wrapText="1"/>
    </xf>
    <xf numFmtId="0" fontId="4" fillId="0" borderId="102" applyFill="0">
      <alignment horizontal="center" vertical="center" wrapText="1"/>
    </xf>
    <xf numFmtId="0" fontId="7" fillId="15" borderId="71">
      <alignment horizontal="left" vertical="center" wrapText="1"/>
    </xf>
    <xf numFmtId="0" fontId="7" fillId="15" borderId="27">
      <alignment horizontal="left" vertical="center"/>
    </xf>
    <xf numFmtId="4" fontId="4" fillId="13" borderId="4">
      <alignment horizontal="right" vertical="center"/>
      <protection locked="0"/>
    </xf>
    <xf numFmtId="0" fontId="6" fillId="34" borderId="19">
      <alignment horizontal="center" vertical="center" wrapText="1"/>
    </xf>
    <xf numFmtId="4" fontId="2" fillId="0" borderId="23" applyFill="0">
      <alignment horizontal="right" vertical="center" wrapText="1"/>
    </xf>
    <xf numFmtId="49" fontId="2" fillId="0" borderId="19" applyFill="0">
      <alignment horizontal="left" vertical="center" wrapText="1" indent="2"/>
    </xf>
    <xf numFmtId="4" fontId="2" fillId="13" borderId="31">
      <alignment horizontal="right" vertical="center"/>
      <protection locked="0"/>
    </xf>
    <xf numFmtId="4" fontId="2" fillId="13" borderId="18">
      <alignment horizontal="right" vertical="center"/>
      <protection locked="0"/>
    </xf>
    <xf numFmtId="49" fontId="2" fillId="13" borderId="56">
      <alignment horizontal="left" vertical="center" wrapText="1"/>
      <protection locked="0"/>
    </xf>
    <xf numFmtId="49" fontId="2" fillId="13" borderId="17">
      <alignment horizontal="left" vertical="center" wrapText="1"/>
      <protection locked="0"/>
    </xf>
    <xf numFmtId="10" fontId="2" fillId="12" borderId="14">
      <alignment horizontal="right" vertical="center" wrapText="1"/>
    </xf>
    <xf numFmtId="10" fontId="2" fillId="12" borderId="56">
      <alignment horizontal="right" vertical="center" wrapText="1"/>
    </xf>
    <xf numFmtId="10" fontId="2" fillId="12" borderId="23">
      <alignment horizontal="right" vertical="center" wrapText="1"/>
    </xf>
    <xf numFmtId="0" fontId="8" fillId="0" borderId="1" applyFill="0">
      <alignment horizontal="center" vertical="center"/>
    </xf>
    <xf numFmtId="0" fontId="8" fillId="0" borderId="19" applyFill="0">
      <alignment horizontal="right" vertical="center" wrapText="1" indent="1"/>
    </xf>
    <xf numFmtId="0" fontId="8" fillId="0" borderId="2" applyFill="0">
      <alignment horizontal="right" vertical="center" wrapText="1" indent="1"/>
    </xf>
    <xf numFmtId="2" fontId="2" fillId="20" borderId="18">
      <alignment horizontal="center" vertical="center" wrapText="1"/>
      <protection locked="0"/>
    </xf>
    <xf numFmtId="2" fontId="2" fillId="20" borderId="14">
      <alignment horizontal="center" vertical="center" wrapText="1"/>
      <protection locked="0"/>
    </xf>
    <xf numFmtId="2" fontId="2" fillId="20" borderId="97">
      <alignment horizontal="center" vertical="center" wrapText="1"/>
      <protection locked="0"/>
    </xf>
    <xf numFmtId="2" fontId="2" fillId="20" borderId="28">
      <alignment horizontal="center" vertical="center" wrapText="1"/>
      <protection locked="0"/>
    </xf>
    <xf numFmtId="0" fontId="2" fillId="0" borderId="57" applyFill="0">
      <alignment vertical="center"/>
    </xf>
    <xf numFmtId="0" fontId="2" fillId="0" borderId="55" applyFill="0">
      <alignment horizontal="center" vertical="center"/>
    </xf>
    <xf numFmtId="0" fontId="2" fillId="0" borderId="56" applyFill="0">
      <alignment horizontal="center" vertical="center"/>
    </xf>
    <xf numFmtId="0" fontId="2" fillId="0" borderId="17" applyFill="0">
      <alignment horizontal="center" vertical="center"/>
    </xf>
    <xf numFmtId="49" fontId="7" fillId="0" borderId="0" applyFill="0" applyBorder="0"/>
    <xf numFmtId="0" fontId="4" fillId="0" borderId="19" applyFill="0">
      <alignment horizontal="center"/>
    </xf>
    <xf numFmtId="167" fontId="2" fillId="0" borderId="19" applyFill="0">
      <alignment horizontal="center" vertical="center" wrapText="1"/>
    </xf>
    <xf numFmtId="0" fontId="8" fillId="0" borderId="57" applyFill="0">
      <alignment horizontal="left" vertical="center" indent="1"/>
    </xf>
    <xf numFmtId="49" fontId="11" fillId="43" borderId="22">
      <alignment horizontal="center" vertical="center"/>
    </xf>
    <xf numFmtId="175" fontId="2" fillId="0" borderId="18" applyFill="0">
      <alignment horizontal="center" vertical="center"/>
    </xf>
    <xf numFmtId="175" fontId="2" fillId="0" borderId="19" applyFill="0">
      <alignment horizontal="center" vertical="center"/>
    </xf>
    <xf numFmtId="2" fontId="2" fillId="0" borderId="57" applyFill="0">
      <alignment vertical="center"/>
    </xf>
    <xf numFmtId="164" fontId="2" fillId="0" borderId="57" applyFill="0">
      <alignment vertical="center"/>
    </xf>
    <xf numFmtId="176" fontId="2" fillId="0" borderId="57" applyFill="0">
      <alignment vertical="center" wrapText="1"/>
    </xf>
    <xf numFmtId="177" fontId="2" fillId="0" borderId="57" applyFill="0">
      <alignment vertical="center" wrapText="1"/>
    </xf>
    <xf numFmtId="0" fontId="7" fillId="0" borderId="78" applyFill="0"/>
    <xf numFmtId="0" fontId="2" fillId="0" borderId="3" applyFill="0">
      <alignment horizontal="left" vertical="center"/>
    </xf>
    <xf numFmtId="0" fontId="2" fillId="0" borderId="3" applyFill="0">
      <alignment horizontal="left" wrapText="1" indent="1"/>
    </xf>
    <xf numFmtId="0" fontId="62" fillId="0" borderId="78" applyFill="0">
      <alignment wrapText="1"/>
    </xf>
    <xf numFmtId="49" fontId="2" fillId="13" borderId="2">
      <alignment horizontal="left" vertical="center" indent="3"/>
      <protection locked="0"/>
    </xf>
    <xf numFmtId="49" fontId="2" fillId="13" borderId="1">
      <alignment horizontal="left" vertical="center" indent="3"/>
      <protection locked="0"/>
    </xf>
    <xf numFmtId="49" fontId="2" fillId="13" borderId="3">
      <alignment horizontal="left" vertical="center" indent="3"/>
      <protection locked="0"/>
    </xf>
    <xf numFmtId="0" fontId="11" fillId="43" borderId="22">
      <alignment horizontal="left" vertical="center" indent="1"/>
    </xf>
    <xf numFmtId="49" fontId="11" fillId="43" borderId="17">
      <alignment horizontal="center" vertical="center"/>
    </xf>
    <xf numFmtId="3" fontId="2" fillId="13" borderId="4">
      <alignment horizontal="center" vertical="center"/>
      <protection locked="0"/>
    </xf>
    <xf numFmtId="4" fontId="8" fillId="0" borderId="4" applyFill="0">
      <alignment horizontal="center" vertical="center"/>
    </xf>
    <xf numFmtId="49" fontId="8" fillId="47" borderId="4">
      <alignment horizontal="center" vertical="center"/>
    </xf>
    <xf numFmtId="0" fontId="8" fillId="47" borderId="4">
      <alignment horizontal="left" vertical="center"/>
    </xf>
    <xf numFmtId="49" fontId="8" fillId="47" borderId="4">
      <alignment horizontal="center" vertical="center" wrapText="1"/>
    </xf>
    <xf numFmtId="0" fontId="2" fillId="0" borderId="4" applyFill="0">
      <alignment horizontal="right" vertical="center" wrapText="1"/>
    </xf>
    <xf numFmtId="0" fontId="8" fillId="17" borderId="4">
      <alignment horizontal="center" vertical="center" wrapText="1"/>
    </xf>
    <xf numFmtId="49" fontId="8" fillId="0" borderId="4" applyFill="0">
      <alignment horizontal="left" vertical="center" wrapText="1"/>
    </xf>
    <xf numFmtId="49" fontId="8" fillId="0" borderId="4" applyFill="0">
      <alignment horizontal="center" vertical="center" wrapText="1"/>
    </xf>
    <xf numFmtId="167" fontId="8" fillId="13" borderId="4">
      <alignment horizontal="right" vertical="center"/>
      <protection locked="0"/>
    </xf>
    <xf numFmtId="0" fontId="8" fillId="0" borderId="4" applyFill="0">
      <alignment horizontal="left" vertical="center" wrapText="1"/>
    </xf>
    <xf numFmtId="0" fontId="31" fillId="47" borderId="4">
      <alignment vertical="center"/>
    </xf>
    <xf numFmtId="0" fontId="31" fillId="47" borderId="4">
      <alignment horizontal="center" vertical="center"/>
    </xf>
    <xf numFmtId="4" fontId="8" fillId="12" borderId="4">
      <alignment horizontal="right" vertical="center"/>
    </xf>
    <xf numFmtId="0" fontId="8" fillId="0" borderId="4" applyFill="0">
      <alignment horizontal="right" vertical="center"/>
    </xf>
    <xf numFmtId="0" fontId="31" fillId="0" borderId="4" applyFill="0">
      <alignment horizontal="left" vertical="center"/>
    </xf>
    <xf numFmtId="0" fontId="31" fillId="0" borderId="4" applyFill="0">
      <alignment horizontal="center" vertical="center"/>
    </xf>
    <xf numFmtId="167" fontId="2" fillId="0" borderId="4" applyFill="0">
      <alignment vertical="center"/>
    </xf>
    <xf numFmtId="16" fontId="2" fillId="17" borderId="4" quotePrefix="1">
      <alignment horizontal="center" vertical="center" wrapText="1"/>
    </xf>
    <xf numFmtId="0" fontId="4" fillId="0" borderId="4" applyFill="0">
      <alignment horizontal="left" vertical="center" indent="1"/>
    </xf>
    <xf numFmtId="0" fontId="4" fillId="0" borderId="4" applyFill="0">
      <alignment horizontal="center" vertical="center"/>
    </xf>
    <xf numFmtId="0" fontId="4" fillId="0" borderId="4" applyFill="0">
      <alignment horizontal="left" vertical="center" wrapText="1" indent="1"/>
    </xf>
    <xf numFmtId="14" fontId="2" fillId="17" borderId="4" quotePrefix="1">
      <alignment horizontal="center" vertical="center" wrapText="1"/>
    </xf>
    <xf numFmtId="0" fontId="8" fillId="36" borderId="4">
      <alignment vertical="center"/>
    </xf>
    <xf numFmtId="0" fontId="8" fillId="36" borderId="4">
      <alignment horizontal="center" vertical="center"/>
    </xf>
    <xf numFmtId="49" fontId="30" fillId="0" borderId="0" applyFill="0" applyBorder="0">
      <alignment vertical="center"/>
    </xf>
    <xf numFmtId="0" fontId="3" fillId="34" borderId="71">
      <alignment horizontal="center" vertical="center" wrapText="1"/>
    </xf>
    <xf numFmtId="0" fontId="6" fillId="34" borderId="71">
      <alignment horizontal="center" vertical="center" wrapText="1"/>
    </xf>
    <xf numFmtId="0" fontId="2" fillId="34" borderId="71">
      <alignment horizontal="center" vertical="center" wrapText="1"/>
    </xf>
    <xf numFmtId="2" fontId="2" fillId="0" borderId="71" applyFill="0">
      <alignment horizontal="center" vertical="center" wrapText="1"/>
    </xf>
    <xf numFmtId="167" fontId="2" fillId="0" borderId="71" applyFill="0"/>
    <xf numFmtId="1" fontId="8" fillId="0" borderId="71" applyFill="0">
      <alignment horizontal="center" vertical="center" wrapText="1"/>
    </xf>
    <xf numFmtId="0" fontId="8" fillId="0" borderId="71" applyFill="0">
      <alignment horizontal="left" vertical="center" wrapText="1"/>
    </xf>
    <xf numFmtId="49" fontId="8" fillId="0" borderId="71" applyFill="0">
      <alignment horizontal="center" vertical="center" wrapText="1"/>
    </xf>
    <xf numFmtId="4" fontId="8" fillId="12" borderId="71">
      <alignment horizontal="right" vertical="center" wrapText="1"/>
    </xf>
    <xf numFmtId="4" fontId="8" fillId="0" borderId="71" applyFill="0">
      <alignment horizontal="right" vertical="center"/>
    </xf>
    <xf numFmtId="49" fontId="2" fillId="0" borderId="71" applyFill="0">
      <alignment horizontal="left" vertical="center" wrapText="1"/>
    </xf>
    <xf numFmtId="1" fontId="2" fillId="0" borderId="14" applyFill="0">
      <alignment horizontal="center" vertical="center" wrapText="1"/>
    </xf>
    <xf numFmtId="49" fontId="2" fillId="0" borderId="14" applyFill="0">
      <alignment horizontal="left" vertical="center" wrapText="1"/>
    </xf>
    <xf numFmtId="49" fontId="2" fillId="0" borderId="14" applyFill="0">
      <alignment horizontal="center" vertical="center" wrapText="1"/>
    </xf>
    <xf numFmtId="2" fontId="3" fillId="0" borderId="0" applyFill="0" applyBorder="0">
      <alignment horizontal="center" vertical="center"/>
    </xf>
    <xf numFmtId="0" fontId="3" fillId="0" borderId="19" applyFill="0">
      <alignment horizontal="center" vertical="center" wrapText="1"/>
    </xf>
    <xf numFmtId="0" fontId="3" fillId="14" borderId="9">
      <alignment horizontal="center" vertical="center" wrapText="1"/>
    </xf>
    <xf numFmtId="0" fontId="6" fillId="34" borderId="9">
      <alignment horizontal="center" vertical="center" wrapText="1"/>
    </xf>
    <xf numFmtId="0" fontId="6" fillId="34" borderId="2">
      <alignment horizontal="center" vertical="center" wrapText="1"/>
    </xf>
    <xf numFmtId="0" fontId="3" fillId="0" borderId="3" applyFill="0">
      <alignment horizontal="center" vertical="center" wrapText="1"/>
    </xf>
    <xf numFmtId="49" fontId="8" fillId="0" borderId="19" applyFill="0">
      <alignment horizontal="left" vertical="center" wrapText="1"/>
    </xf>
    <xf numFmtId="2" fontId="7" fillId="0" borderId="57" applyFill="0">
      <alignment horizontal="center" vertical="center" wrapText="1"/>
    </xf>
    <xf numFmtId="0" fontId="7" fillId="0" borderId="57" applyFill="0">
      <alignment horizontal="center" vertical="center" wrapText="1"/>
    </xf>
    <xf numFmtId="0" fontId="2" fillId="0" borderId="19" applyFill="0">
      <alignment horizontal="left" vertical="center" wrapText="1" indent="2" shrinkToFit="1"/>
    </xf>
    <xf numFmtId="0" fontId="7" fillId="11" borderId="57">
      <alignment horizontal="center" vertical="center"/>
    </xf>
    <xf numFmtId="0" fontId="2" fillId="0" borderId="19" applyFill="0">
      <alignment horizontal="left" vertical="center" wrapText="1" indent="3" shrinkToFit="1"/>
    </xf>
    <xf numFmtId="167" fontId="2" fillId="0" borderId="79" applyFill="0">
      <alignment horizontal="right" vertical="center" wrapText="1"/>
    </xf>
    <xf numFmtId="172" fontId="7" fillId="11" borderId="57">
      <alignment horizontal="center" vertical="center" wrapText="1"/>
    </xf>
    <xf numFmtId="49" fontId="2" fillId="0" borderId="19" applyFill="0">
      <alignment horizontal="left" vertical="center" wrapText="1" shrinkToFit="1"/>
    </xf>
    <xf numFmtId="0" fontId="2" fillId="0" borderId="19" applyFill="0">
      <alignment horizontal="left" vertical="center" wrapText="1" indent="1" shrinkToFit="1"/>
    </xf>
    <xf numFmtId="10" fontId="7" fillId="0" borderId="57" applyFill="0">
      <alignment horizontal="center" vertical="center" wrapText="1"/>
    </xf>
    <xf numFmtId="49" fontId="2" fillId="0" borderId="19" applyFill="0">
      <alignment horizontal="left" vertical="center" wrapText="1" indent="1" shrinkToFit="1"/>
    </xf>
    <xf numFmtId="0" fontId="7" fillId="0" borderId="57" applyFill="0">
      <alignment horizontal="center" vertical="center"/>
    </xf>
    <xf numFmtId="49" fontId="2" fillId="0" borderId="1" applyFill="0">
      <alignment horizontal="left" vertical="center" wrapText="1" shrinkToFit="1"/>
    </xf>
    <xf numFmtId="49" fontId="8" fillId="0" borderId="1" applyFill="0">
      <alignment vertical="center" wrapText="1"/>
    </xf>
    <xf numFmtId="2" fontId="3" fillId="0" borderId="0" applyFill="0" applyBorder="0">
      <alignment horizontal="left" vertical="top"/>
    </xf>
    <xf numFmtId="0" fontId="2" fillId="11" borderId="0" applyBorder="0">
      <alignment horizontal="left" vertical="center" wrapText="1" shrinkToFit="1"/>
    </xf>
    <xf numFmtId="0" fontId="7" fillId="11" borderId="0" applyBorder="0">
      <alignment horizontal="center" vertical="center"/>
    </xf>
    <xf numFmtId="171" fontId="7" fillId="11" borderId="0" applyBorder="0"/>
    <xf numFmtId="0" fontId="11" fillId="0" borderId="22" quotePrefix="1" applyFill="0">
      <alignment horizontal="right" vertical="center" wrapText="1"/>
    </xf>
    <xf numFmtId="0" fontId="2" fillId="11" borderId="22">
      <alignment horizontal="center" vertical="center"/>
    </xf>
    <xf numFmtId="171" fontId="2" fillId="34" borderId="23">
      <alignment horizontal="center" vertical="center" wrapText="1"/>
    </xf>
    <xf numFmtId="171" fontId="2" fillId="34" borderId="79">
      <alignment horizontal="center" vertical="center" wrapText="1"/>
    </xf>
    <xf numFmtId="171" fontId="2" fillId="34" borderId="31">
      <alignment horizontal="center" vertical="center" wrapText="1"/>
    </xf>
    <xf numFmtId="171" fontId="2" fillId="34" borderId="9">
      <alignment horizontal="center" vertical="center" wrapText="1"/>
    </xf>
    <xf numFmtId="0" fontId="2" fillId="11" borderId="156">
      <alignment horizontal="center" vertical="center" wrapText="1"/>
    </xf>
    <xf numFmtId="171" fontId="2" fillId="11" borderId="157">
      <alignment horizontal="center" vertical="center" wrapText="1"/>
    </xf>
    <xf numFmtId="171" fontId="2" fillId="11" borderId="0" applyBorder="0">
      <alignment horizontal="center" vertical="center" wrapText="1"/>
    </xf>
    <xf numFmtId="166" fontId="2" fillId="12" borderId="19"/>
    <xf numFmtId="0" fontId="41" fillId="0" borderId="78" applyFill="0">
      <alignment vertical="top" textRotation="90"/>
    </xf>
    <xf numFmtId="49" fontId="8" fillId="14" borderId="19">
      <alignment horizontal="center" vertical="center" wrapText="1"/>
    </xf>
    <xf numFmtId="0" fontId="8" fillId="14" borderId="19">
      <alignment horizontal="left" vertical="center" wrapText="1"/>
    </xf>
    <xf numFmtId="0" fontId="8" fillId="14" borderId="19">
      <alignment horizontal="center" vertical="center"/>
    </xf>
    <xf numFmtId="4" fontId="2" fillId="34" borderId="0" applyBorder="0"/>
    <xf numFmtId="49" fontId="2" fillId="0" borderId="19" quotePrefix="1" applyFill="0">
      <alignment horizontal="center" vertical="center"/>
    </xf>
    <xf numFmtId="49" fontId="2" fillId="11" borderId="19">
      <alignment horizontal="center" vertical="center"/>
    </xf>
    <xf numFmtId="49" fontId="8" fillId="14" borderId="19">
      <alignment horizontal="center" vertical="center"/>
    </xf>
    <xf numFmtId="1" fontId="8" fillId="14" borderId="19">
      <alignment horizontal="center" vertical="center"/>
    </xf>
    <xf numFmtId="49" fontId="8" fillId="14" borderId="19">
      <alignment horizontal="left" vertical="center" wrapText="1" shrinkToFit="1"/>
    </xf>
    <xf numFmtId="0" fontId="7" fillId="11" borderId="0" applyBorder="0">
      <alignment horizontal="left" vertical="top"/>
    </xf>
    <xf numFmtId="0" fontId="2" fillId="11" borderId="0" applyBorder="0">
      <alignment horizontal="left" vertical="center" wrapText="1"/>
    </xf>
    <xf numFmtId="172" fontId="2" fillId="11" borderId="0" applyBorder="0">
      <alignment horizontal="center" vertical="center"/>
    </xf>
    <xf numFmtId="0" fontId="2" fillId="11" borderId="0" applyBorder="0">
      <alignment vertical="center" wrapText="1" shrinkToFit="1"/>
    </xf>
    <xf numFmtId="171" fontId="51" fillId="11" borderId="0" applyBorder="0"/>
    <xf numFmtId="0" fontId="2" fillId="11" borderId="1">
      <alignment horizontal="center" vertical="center" wrapText="1" shrinkToFit="1"/>
    </xf>
    <xf numFmtId="0" fontId="2" fillId="11" borderId="0" applyBorder="0">
      <alignment horizontal="center" vertical="center" wrapText="1" shrinkToFit="1"/>
    </xf>
    <xf numFmtId="171" fontId="51" fillId="11" borderId="0" applyBorder="0">
      <alignment horizontal="center" vertical="center" wrapText="1" shrinkToFit="1"/>
    </xf>
    <xf numFmtId="0" fontId="2" fillId="0" borderId="1" applyFill="0">
      <alignment vertical="center"/>
      <protection locked="0"/>
    </xf>
    <xf numFmtId="4" fontId="8" fillId="12" borderId="19">
      <alignment vertical="center"/>
    </xf>
    <xf numFmtId="4" fontId="10" fillId="12" borderId="19">
      <alignment vertical="center"/>
    </xf>
    <xf numFmtId="0" fontId="2" fillId="13" borderId="19">
      <alignment horizontal="left" vertical="center" wrapText="1" indent="1" shrinkToFit="1"/>
      <protection locked="0"/>
    </xf>
    <xf numFmtId="4" fontId="69" fillId="12" borderId="19">
      <alignment vertical="center"/>
    </xf>
    <xf numFmtId="4" fontId="8" fillId="12" borderId="23">
      <alignment vertical="center"/>
    </xf>
    <xf numFmtId="4" fontId="8" fillId="12" borderId="2">
      <alignment vertical="center"/>
    </xf>
    <xf numFmtId="0" fontId="2" fillId="14" borderId="0" applyBorder="0">
      <alignment horizontal="left" vertical="center" wrapText="1" indent="1"/>
    </xf>
    <xf numFmtId="49" fontId="2" fillId="14" borderId="19">
      <alignment horizontal="center" vertical="center"/>
    </xf>
    <xf numFmtId="49" fontId="8" fillId="0" borderId="19" applyFill="0">
      <alignment horizontal="center" vertical="center"/>
    </xf>
    <xf numFmtId="4" fontId="2" fillId="12" borderId="31">
      <alignment vertical="center"/>
    </xf>
    <xf numFmtId="4" fontId="2" fillId="12" borderId="25">
      <alignment vertical="center"/>
    </xf>
    <xf numFmtId="2" fontId="3" fillId="0" borderId="0" applyFill="0" applyBorder="0">
      <alignment vertical="center"/>
    </xf>
    <xf numFmtId="0" fontId="2" fillId="14" borderId="22">
      <alignment horizontal="left" vertical="center" wrapText="1" indent="1"/>
    </xf>
    <xf numFmtId="0" fontId="2" fillId="14" borderId="17">
      <alignment horizontal="left" vertical="center" wrapText="1" indent="1"/>
    </xf>
    <xf numFmtId="49" fontId="2" fillId="0" borderId="55" applyFill="0">
      <alignment vertical="center" wrapText="1" shrinkToFit="1"/>
    </xf>
    <xf numFmtId="0" fontId="2" fillId="11" borderId="1">
      <alignment horizontal="center" vertical="center"/>
    </xf>
    <xf numFmtId="49" fontId="2" fillId="0" borderId="55" applyFill="0">
      <alignment horizontal="center" vertical="center"/>
    </xf>
    <xf numFmtId="49" fontId="8" fillId="14" borderId="18">
      <alignment horizontal="center" vertical="center"/>
    </xf>
    <xf numFmtId="0" fontId="8" fillId="14" borderId="18">
      <alignment horizontal="left" vertical="center" wrapText="1"/>
    </xf>
    <xf numFmtId="0" fontId="8" fillId="14" borderId="18">
      <alignment horizontal="center" vertical="center"/>
    </xf>
    <xf numFmtId="49" fontId="2" fillId="0" borderId="19" applyFill="0">
      <alignment horizontal="center"/>
    </xf>
    <xf numFmtId="49" fontId="2" fillId="11" borderId="19">
      <alignment horizontal="center"/>
    </xf>
    <xf numFmtId="0" fontId="2" fillId="11" borderId="0" applyBorder="0">
      <alignment horizontal="left" vertical="center" shrinkToFit="1"/>
    </xf>
    <xf numFmtId="0" fontId="47" fillId="0" borderId="0" applyFill="0" applyBorder="0">
      <alignment horizontal="left" vertical="top"/>
    </xf>
    <xf numFmtId="10" fontId="2" fillId="0" borderId="19" applyFill="0">
      <alignment horizontal="right" vertical="center" wrapText="1"/>
      <protection locked="0"/>
    </xf>
    <xf numFmtId="10" fontId="10" fillId="12" borderId="19">
      <alignment horizontal="right" vertical="center" wrapText="1"/>
    </xf>
    <xf numFmtId="10" fontId="2" fillId="0" borderId="2" applyFill="0">
      <alignment horizontal="right" vertical="center" wrapText="1"/>
      <protection locked="0"/>
    </xf>
    <xf numFmtId="4" fontId="2" fillId="0" borderId="19" applyFill="0">
      <alignment horizontal="right" vertical="center"/>
      <protection locked="0"/>
    </xf>
    <xf numFmtId="4" fontId="2" fillId="0" borderId="2" applyFill="0">
      <alignment horizontal="right" vertical="center" wrapText="1"/>
      <protection locked="0"/>
    </xf>
    <xf numFmtId="1" fontId="51" fillId="0" borderId="0" applyFill="0" applyBorder="0">
      <alignment horizontal="center" vertical="top" wrapText="1"/>
    </xf>
    <xf numFmtId="0" fontId="51" fillId="0" borderId="0" applyFill="0" applyBorder="0">
      <alignment horizontal="left" vertical="top" wrapText="1"/>
    </xf>
    <xf numFmtId="0" fontId="2" fillId="10" borderId="0" applyBorder="0">
      <alignment horizontal="left"/>
    </xf>
    <xf numFmtId="1" fontId="2" fillId="14" borderId="2">
      <alignment horizontal="center" vertical="center" wrapText="1"/>
    </xf>
    <xf numFmtId="49" fontId="2" fillId="14" borderId="1">
      <alignment horizontal="left" vertical="center" wrapText="1" shrinkToFit="1"/>
    </xf>
    <xf numFmtId="49" fontId="2" fillId="14" borderId="3">
      <alignment horizontal="center" vertical="center" wrapText="1"/>
    </xf>
    <xf numFmtId="1" fontId="6" fillId="0" borderId="19" quotePrefix="1" applyFill="0">
      <alignment horizontal="center" vertical="center" wrapText="1"/>
    </xf>
    <xf numFmtId="49" fontId="6" fillId="0" borderId="19" applyFill="0">
      <alignment horizontal="left" vertical="center" wrapText="1" indent="1" shrinkToFit="1"/>
    </xf>
    <xf numFmtId="2" fontId="6" fillId="0" borderId="0" applyFill="0" applyBorder="0">
      <alignment horizontal="left"/>
    </xf>
    <xf numFmtId="0" fontId="6" fillId="11" borderId="19">
      <alignment horizontal="left" vertical="center" wrapText="1" indent="1" shrinkToFit="1"/>
    </xf>
    <xf numFmtId="2" fontId="6" fillId="0" borderId="19" applyFill="0">
      <alignment horizontal="left" vertical="center" wrapText="1" indent="1" shrinkToFit="1"/>
    </xf>
    <xf numFmtId="2" fontId="6" fillId="0" borderId="19" applyFill="0">
      <alignment horizontal="center" vertical="center" wrapText="1"/>
    </xf>
    <xf numFmtId="2" fontId="6" fillId="0" borderId="57" applyFill="0"/>
    <xf numFmtId="2" fontId="6" fillId="0" borderId="1" applyFill="0">
      <alignment horizontal="left" vertical="center" wrapText="1" indent="1" shrinkToFit="1"/>
    </xf>
    <xf numFmtId="0" fontId="6" fillId="0" borderId="0" applyFill="0" applyBorder="0">
      <alignment horizontal="left"/>
    </xf>
    <xf numFmtId="0" fontId="6" fillId="0" borderId="19" applyFill="0">
      <alignment horizontal="left" vertical="center" wrapText="1" indent="1"/>
    </xf>
    <xf numFmtId="1" fontId="2" fillId="0" borderId="18" applyFill="0">
      <alignment horizontal="center" vertical="center" wrapText="1"/>
    </xf>
    <xf numFmtId="0" fontId="30" fillId="0" borderId="0" applyFill="0" applyBorder="0">
      <alignment horizontal="left"/>
    </xf>
    <xf numFmtId="49" fontId="6" fillId="0" borderId="19" applyFill="0">
      <alignment horizontal="left" vertical="center" wrapText="1" shrinkToFit="1"/>
    </xf>
    <xf numFmtId="49" fontId="2" fillId="0" borderId="23" applyFill="0">
      <alignment horizontal="left" vertical="center" wrapText="1" shrinkToFit="1"/>
    </xf>
    <xf numFmtId="49" fontId="2" fillId="0" borderId="18" applyFill="0">
      <alignment horizontal="left" vertical="center" wrapText="1" indent="1" shrinkToFit="1"/>
    </xf>
    <xf numFmtId="49" fontId="2" fillId="11" borderId="19">
      <alignment horizontal="left" vertical="center" wrapText="1" shrinkToFit="1"/>
    </xf>
    <xf numFmtId="0" fontId="51" fillId="0" borderId="0" applyFill="0" applyBorder="0">
      <alignment horizontal="left"/>
    </xf>
    <xf numFmtId="0" fontId="51" fillId="11" borderId="0" applyBorder="0">
      <alignment horizontal="center" vertical="center"/>
    </xf>
    <xf numFmtId="49" fontId="2" fillId="0" borderId="1" applyFill="0">
      <alignment horizontal="center" vertical="center" wrapText="1" shrinkToFit="1"/>
    </xf>
    <xf numFmtId="0" fontId="2" fillId="11" borderId="0" applyBorder="0">
      <alignment vertical="center" shrinkToFit="1"/>
    </xf>
    <xf numFmtId="0" fontId="51" fillId="11" borderId="0" applyBorder="0">
      <alignment vertical="center" shrinkToFit="1"/>
    </xf>
    <xf numFmtId="0" fontId="30" fillId="11" borderId="0" applyBorder="0">
      <alignment horizontal="left" vertical="top"/>
    </xf>
    <xf numFmtId="0" fontId="2" fillId="11" borderId="0" applyBorder="0">
      <alignment horizontal="left" vertical="top" wrapText="1"/>
    </xf>
    <xf numFmtId="0" fontId="28" fillId="11" borderId="0" applyBorder="0"/>
    <xf numFmtId="0" fontId="41" fillId="11" borderId="0" applyBorder="0"/>
    <xf numFmtId="49" fontId="2" fillId="11" borderId="9">
      <alignment horizontal="center" vertical="center" wrapText="1"/>
    </xf>
    <xf numFmtId="0" fontId="2" fillId="11" borderId="9">
      <alignment horizontal="center" vertical="center" wrapText="1"/>
    </xf>
    <xf numFmtId="49" fontId="8" fillId="14" borderId="9">
      <alignment horizontal="center" vertical="center" wrapText="1"/>
    </xf>
    <xf numFmtId="49" fontId="8" fillId="14" borderId="9">
      <alignment vertical="center" wrapText="1"/>
    </xf>
    <xf numFmtId="49" fontId="2" fillId="11" borderId="18">
      <alignment horizontal="center" vertical="center" wrapText="1"/>
    </xf>
    <xf numFmtId="49" fontId="2" fillId="11" borderId="18">
      <alignment horizontal="left" vertical="center" wrapText="1" indent="1"/>
    </xf>
    <xf numFmtId="167" fontId="10" fillId="12" borderId="19">
      <alignment horizontal="right" vertical="center" wrapText="1"/>
    </xf>
    <xf numFmtId="0" fontId="2" fillId="0" borderId="18" applyFill="0">
      <alignment horizontal="right" vertical="center" wrapText="1"/>
    </xf>
    <xf numFmtId="49" fontId="2" fillId="11" borderId="23">
      <alignment horizontal="center" vertical="center" wrapText="1"/>
    </xf>
    <xf numFmtId="49" fontId="2" fillId="11" borderId="23">
      <alignment horizontal="left" vertical="center" wrapText="1" indent="3" shrinkToFit="1"/>
    </xf>
    <xf numFmtId="4" fontId="69" fillId="12" borderId="3">
      <alignment horizontal="right" vertical="center"/>
    </xf>
    <xf numFmtId="49" fontId="2" fillId="11" borderId="18">
      <alignment horizontal="left" vertical="center" wrapText="1" indent="2" shrinkToFit="1"/>
    </xf>
    <xf numFmtId="0" fontId="7" fillId="10" borderId="0" applyBorder="0">
      <alignment horizontal="left" vertical="top"/>
    </xf>
    <xf numFmtId="0" fontId="2" fillId="11" borderId="19">
      <alignment horizontal="left" vertical="top" wrapText="1" indent="2"/>
    </xf>
    <xf numFmtId="0" fontId="2" fillId="11" borderId="19">
      <alignment horizontal="left" vertical="top" wrapText="1" indent="3"/>
    </xf>
    <xf numFmtId="49" fontId="2" fillId="11" borderId="19">
      <alignment horizontal="left" vertical="center" wrapText="1" indent="1" shrinkToFit="1"/>
    </xf>
    <xf numFmtId="0" fontId="2" fillId="11" borderId="19">
      <alignment horizontal="left" vertical="center" wrapText="1" indent="2" shrinkToFit="1"/>
    </xf>
    <xf numFmtId="49" fontId="8" fillId="11" borderId="19">
      <alignment horizontal="center" vertical="center" wrapText="1"/>
    </xf>
    <xf numFmtId="49" fontId="8" fillId="11" borderId="19">
      <alignment vertical="center" wrapText="1"/>
    </xf>
    <xf numFmtId="49" fontId="2" fillId="11" borderId="19">
      <alignment horizontal="left" vertical="center" wrapText="1" indent="1"/>
    </xf>
    <xf numFmtId="0" fontId="2" fillId="0" borderId="19" applyFill="0">
      <alignment horizontal="left" vertical="top" wrapText="1" indent="1"/>
    </xf>
    <xf numFmtId="0" fontId="2" fillId="0" borderId="55" applyFill="0">
      <alignment horizontal="left" vertical="center" wrapText="1" indent="1"/>
    </xf>
    <xf numFmtId="49" fontId="8" fillId="14" borderId="25">
      <alignment horizontal="center" vertical="center" wrapText="1"/>
    </xf>
    <xf numFmtId="49" fontId="8" fillId="14" borderId="6">
      <alignment vertical="center" wrapText="1"/>
    </xf>
    <xf numFmtId="4" fontId="8" fillId="12" borderId="3">
      <alignment horizontal="right" vertical="center"/>
    </xf>
    <xf numFmtId="49" fontId="8" fillId="14" borderId="6">
      <alignment horizontal="center" vertical="center" wrapText="1"/>
    </xf>
    <xf numFmtId="49" fontId="8" fillId="14" borderId="16">
      <alignment vertical="center" wrapText="1"/>
    </xf>
    <xf numFmtId="49" fontId="2" fillId="0" borderId="18" applyFill="0">
      <alignment horizontal="left" vertical="center" wrapText="1" indent="2"/>
    </xf>
    <xf numFmtId="49" fontId="2" fillId="11" borderId="23">
      <alignment horizontal="left" vertical="center" wrapText="1" indent="1"/>
    </xf>
    <xf numFmtId="0" fontId="8" fillId="14" borderId="6">
      <alignment horizontal="center" vertical="center" wrapText="1"/>
    </xf>
    <xf numFmtId="49" fontId="8" fillId="14" borderId="7">
      <alignment horizontal="center" vertical="center" wrapText="1"/>
    </xf>
    <xf numFmtId="49" fontId="2" fillId="14" borderId="9">
      <alignment horizontal="left" vertical="center" wrapText="1" indent="1"/>
    </xf>
    <xf numFmtId="49" fontId="2" fillId="14" borderId="9">
      <alignment horizontal="center" vertical="center" wrapText="1"/>
    </xf>
    <xf numFmtId="4" fontId="2" fillId="36" borderId="18">
      <alignment horizontal="right" vertical="center" wrapText="1"/>
    </xf>
    <xf numFmtId="49" fontId="51" fillId="11" borderId="0" applyBorder="0">
      <alignment horizontal="left" vertical="center" wrapText="1" shrinkToFit="1"/>
    </xf>
    <xf numFmtId="0" fontId="51" fillId="11" borderId="0" applyBorder="0">
      <alignment horizontal="left" vertical="top"/>
    </xf>
    <xf numFmtId="0" fontId="3" fillId="11" borderId="0" applyBorder="0">
      <alignment horizontal="left" vertical="top" shrinkToFit="1"/>
    </xf>
    <xf numFmtId="0" fontId="73" fillId="11" borderId="0" applyBorder="0"/>
    <xf numFmtId="1" fontId="51" fillId="11" borderId="0" applyBorder="0">
      <alignment horizontal="center" vertical="center" wrapText="1"/>
    </xf>
    <xf numFmtId="0" fontId="2" fillId="11" borderId="22">
      <alignment horizontal="center" vertical="center" wrapText="1"/>
    </xf>
    <xf numFmtId="49" fontId="2" fillId="11" borderId="0" applyBorder="0">
      <alignment horizontal="left" vertical="center" wrapText="1" shrinkToFit="1"/>
    </xf>
    <xf numFmtId="49" fontId="51" fillId="11" borderId="0" applyBorder="0">
      <alignment horizontal="left" vertical="top" shrinkToFit="1"/>
    </xf>
    <xf numFmtId="49" fontId="2" fillId="11" borderId="0" applyBorder="0">
      <alignment vertical="center" wrapText="1" shrinkToFit="1"/>
    </xf>
    <xf numFmtId="49" fontId="2" fillId="11" borderId="22">
      <alignment horizontal="center" vertical="center" wrapText="1" shrinkToFit="1"/>
    </xf>
    <xf numFmtId="0" fontId="2" fillId="11" borderId="5">
      <alignment horizontal="left" vertical="center" indent="4"/>
    </xf>
    <xf numFmtId="0" fontId="2" fillId="11" borderId="5">
      <alignment vertical="center"/>
    </xf>
    <xf numFmtId="0" fontId="7" fillId="0" borderId="0" applyFill="0" applyBorder="0">
      <alignment vertical="top"/>
    </xf>
    <xf numFmtId="0" fontId="2" fillId="0" borderId="0" applyFill="0" applyBorder="0">
      <alignment horizontal="left" vertical="center" indent="1"/>
    </xf>
    <xf numFmtId="0" fontId="74" fillId="0" borderId="0" applyFill="0" applyBorder="0">
      <alignment horizontal="left" vertical="center" indent="1"/>
    </xf>
    <xf numFmtId="0" fontId="26" fillId="30" borderId="23">
      <alignment horizontal="center" vertical="center" wrapText="1"/>
    </xf>
    <xf numFmtId="49" fontId="26" fillId="0" borderId="1" applyFill="0">
      <alignment horizontal="center" vertical="center" wrapText="1"/>
    </xf>
    <xf numFmtId="49" fontId="2" fillId="30" borderId="1">
      <alignment horizontal="center" vertical="center" wrapText="1"/>
    </xf>
    <xf numFmtId="0" fontId="2" fillId="12" borderId="68">
      <alignment horizontal="center" vertical="center" wrapText="1"/>
    </xf>
    <xf numFmtId="0" fontId="2" fillId="12" borderId="158">
      <alignment horizontal="left" vertical="center" wrapText="1" indent="1"/>
    </xf>
    <xf numFmtId="0" fontId="2" fillId="12" borderId="158">
      <alignment horizontal="center" vertical="center" wrapText="1"/>
    </xf>
    <xf numFmtId="0" fontId="2" fillId="12" borderId="68">
      <alignment horizontal="left" vertical="center" wrapText="1"/>
    </xf>
    <xf numFmtId="0" fontId="2" fillId="0" borderId="68" applyFill="0">
      <alignment horizontal="center" vertical="center" wrapText="1"/>
    </xf>
    <xf numFmtId="49" fontId="2" fillId="30" borderId="69">
      <alignment horizontal="center" vertical="center" wrapText="1"/>
    </xf>
    <xf numFmtId="0" fontId="2" fillId="30" borderId="69">
      <alignment horizontal="center" vertical="center" wrapText="1"/>
    </xf>
    <xf numFmtId="0" fontId="37" fillId="23" borderId="159">
      <alignment horizontal="left" vertical="center" indent="1"/>
    </xf>
    <xf numFmtId="0" fontId="26" fillId="23" borderId="69">
      <alignment horizontal="left" vertical="center" indent="1"/>
    </xf>
    <xf numFmtId="0" fontId="11" fillId="23" borderId="69">
      <alignment horizontal="left" vertical="center" indent="1"/>
    </xf>
    <xf numFmtId="4" fontId="2" fillId="12" borderId="68">
      <alignment horizontal="right" vertical="center"/>
    </xf>
    <xf numFmtId="0" fontId="2" fillId="12" borderId="9">
      <alignment horizontal="center" vertical="center" wrapText="1"/>
    </xf>
    <xf numFmtId="0" fontId="2" fillId="12" borderId="13">
      <alignment horizontal="center" vertical="center" wrapText="1"/>
    </xf>
    <xf numFmtId="0" fontId="2" fillId="12" borderId="9">
      <alignment horizontal="left" vertical="center" wrapText="1"/>
    </xf>
    <xf numFmtId="49" fontId="2" fillId="30" borderId="5">
      <alignment horizontal="center" vertical="center" wrapText="1"/>
    </xf>
    <xf numFmtId="0" fontId="2" fillId="30" borderId="5">
      <alignment horizontal="center" vertical="center" wrapText="1"/>
    </xf>
    <xf numFmtId="0" fontId="37" fillId="23" borderId="6">
      <alignment horizontal="left" vertical="center" indent="1"/>
    </xf>
    <xf numFmtId="0" fontId="11" fillId="23" borderId="5">
      <alignment horizontal="left" vertical="center" indent="1"/>
    </xf>
    <xf numFmtId="49" fontId="11" fillId="23" borderId="5">
      <alignment horizontal="left" vertical="center" indent="1"/>
    </xf>
    <xf numFmtId="0" fontId="2" fillId="12" borderId="15">
      <alignment horizontal="left" vertical="center" wrapText="1" indent="1"/>
    </xf>
    <xf numFmtId="0" fontId="2" fillId="12" borderId="15">
      <alignment horizontal="center" vertical="center" wrapText="1"/>
    </xf>
    <xf numFmtId="0" fontId="16" fillId="23" borderId="5">
      <alignment horizontal="left" vertical="center"/>
    </xf>
    <xf numFmtId="0" fontId="11" fillId="23" borderId="20">
      <alignment horizontal="left" vertical="center" indent="1"/>
    </xf>
    <xf numFmtId="0" fontId="26" fillId="23" borderId="5">
      <alignment horizontal="left" vertical="center" indent="1"/>
    </xf>
    <xf numFmtId="0" fontId="11" fillId="23" borderId="63">
      <alignment horizontal="left" vertical="center" indent="1"/>
    </xf>
    <xf numFmtId="0" fontId="11" fillId="23" borderId="7">
      <alignment horizontal="left" vertical="center" indent="1"/>
    </xf>
    <xf numFmtId="0" fontId="2" fillId="11" borderId="7">
      <alignment horizontal="center" vertical="center" wrapText="1"/>
    </xf>
    <xf numFmtId="49" fontId="2" fillId="0" borderId="62" applyFill="0">
      <alignment horizontal="center" vertical="center" wrapText="1"/>
    </xf>
    <xf numFmtId="0" fontId="26" fillId="0" borderId="0" applyFill="0" applyBorder="0">
      <alignment horizontal="center" vertical="center"/>
    </xf>
    <xf numFmtId="0" fontId="2" fillId="12" borderId="15">
      <alignment horizontal="left" vertical="center" wrapText="1"/>
    </xf>
    <xf numFmtId="0" fontId="2" fillId="0" borderId="15" applyFill="0">
      <alignment horizontal="center" vertical="top" wrapText="1"/>
    </xf>
    <xf numFmtId="49" fontId="2" fillId="30" borderId="64">
      <alignment horizontal="center" vertical="top" wrapText="1"/>
    </xf>
    <xf numFmtId="0" fontId="2" fillId="30" borderId="64">
      <alignment horizontal="center" vertical="center" wrapText="1"/>
    </xf>
    <xf numFmtId="49" fontId="2" fillId="30" borderId="64">
      <alignment horizontal="center" vertical="center" wrapText="1"/>
    </xf>
    <xf numFmtId="0" fontId="37" fillId="23" borderId="16">
      <alignment horizontal="left" vertical="center" indent="1"/>
    </xf>
    <xf numFmtId="49" fontId="2" fillId="30" borderId="5">
      <alignment horizontal="center" vertical="top" wrapText="1"/>
    </xf>
    <xf numFmtId="0" fontId="11" fillId="0" borderId="5" applyFill="0">
      <alignment horizontal="left" vertical="center" indent="1"/>
    </xf>
    <xf numFmtId="0" fontId="2" fillId="0" borderId="9" applyFill="0">
      <alignment horizontal="center" vertical="top" wrapText="1"/>
    </xf>
    <xf numFmtId="0" fontId="11" fillId="23" borderId="33">
      <alignment horizontal="left" vertical="center"/>
    </xf>
    <xf numFmtId="49" fontId="11" fillId="23" borderId="63">
      <alignment horizontal="left" vertical="center" indent="1"/>
    </xf>
    <xf numFmtId="0" fontId="2" fillId="0" borderId="33" applyFill="0">
      <alignment horizontal="left" vertical="center" indent="4"/>
    </xf>
    <xf numFmtId="0" fontId="2" fillId="0" borderId="63" applyFill="0">
      <alignment vertical="center"/>
    </xf>
    <xf numFmtId="0" fontId="7" fillId="0" borderId="0" quotePrefix="1" applyFill="0" applyBorder="0">
      <alignment horizontal="center" vertical="center"/>
    </xf>
    <xf numFmtId="14" fontId="7" fillId="0" borderId="0" quotePrefix="1" applyFill="0" applyBorder="0">
      <alignment horizontal="center" vertical="center"/>
    </xf>
    <xf numFmtId="16" fontId="7" fillId="0" borderId="0" quotePrefix="1" applyFill="0" applyBorder="0">
      <alignment horizontal="center" vertical="center"/>
    </xf>
    <xf numFmtId="0" fontId="23" fillId="11" borderId="0" applyBorder="0">
      <alignment horizontal="center" vertical="center"/>
    </xf>
    <xf numFmtId="0" fontId="2" fillId="0" borderId="63" applyFill="0">
      <alignment vertical="top"/>
    </xf>
    <xf numFmtId="0" fontId="2" fillId="0" borderId="19" applyFill="0">
      <alignment horizontal="center" vertical="top"/>
    </xf>
    <xf numFmtId="0" fontId="2" fillId="0" borderId="2" applyFill="0">
      <alignment horizontal="center" vertical="top"/>
    </xf>
    <xf numFmtId="0" fontId="2" fillId="0" borderId="57" applyFill="0">
      <alignment vertical="top"/>
    </xf>
    <xf numFmtId="49" fontId="2" fillId="11" borderId="48">
      <alignment horizontal="center" vertical="center" wrapText="1"/>
    </xf>
    <xf numFmtId="49" fontId="2" fillId="11" borderId="15">
      <alignment horizontal="center" vertical="center" wrapText="1"/>
    </xf>
    <xf numFmtId="49" fontId="2" fillId="11" borderId="16">
      <alignment horizontal="center" vertical="center" wrapText="1"/>
    </xf>
    <xf numFmtId="49" fontId="2" fillId="11" borderId="64">
      <alignment horizontal="center" vertical="center" wrapText="1"/>
    </xf>
    <xf numFmtId="49" fontId="2" fillId="0" borderId="15" applyFill="0">
      <alignment horizontal="center" vertical="center" wrapText="1"/>
    </xf>
    <xf numFmtId="0" fontId="2" fillId="11" borderId="48">
      <alignment horizontal="center" vertical="center" wrapText="1"/>
    </xf>
    <xf numFmtId="0" fontId="2" fillId="11" borderId="15">
      <alignment horizontal="center" vertical="center" wrapText="1"/>
    </xf>
    <xf numFmtId="0" fontId="2" fillId="11" borderId="16">
      <alignment horizontal="center" vertical="center" wrapText="1"/>
    </xf>
    <xf numFmtId="49" fontId="2" fillId="11" borderId="7">
      <alignment horizontal="center" vertical="center" wrapText="1"/>
    </xf>
    <xf numFmtId="49" fontId="2" fillId="11" borderId="8">
      <alignment horizontal="center" vertical="center" wrapText="1"/>
    </xf>
    <xf numFmtId="0" fontId="2" fillId="11" borderId="6">
      <alignment horizontal="center" vertical="center" wrapText="1"/>
    </xf>
    <xf numFmtId="49" fontId="2" fillId="11" borderId="13">
      <alignment horizontal="center" vertical="center" wrapText="1"/>
    </xf>
    <xf numFmtId="49" fontId="2" fillId="0" borderId="8" applyFill="0">
      <alignment horizontal="center" vertical="center" wrapText="1"/>
    </xf>
    <xf numFmtId="49" fontId="75" fillId="11" borderId="0" applyBorder="0">
      <alignment horizontal="center" vertical="center"/>
    </xf>
    <xf numFmtId="49" fontId="2" fillId="30" borderId="8">
      <alignment horizontal="center" vertical="center"/>
    </xf>
    <xf numFmtId="49" fontId="75" fillId="30" borderId="8">
      <alignment horizontal="center" vertical="center"/>
    </xf>
    <xf numFmtId="0" fontId="2" fillId="30" borderId="8">
      <alignment horizontal="right" vertical="center"/>
    </xf>
    <xf numFmtId="0" fontId="75" fillId="30" borderId="8">
      <alignment horizontal="center" vertical="center"/>
    </xf>
    <xf numFmtId="0" fontId="26" fillId="11" borderId="9">
      <alignment horizontal="center" vertical="center"/>
    </xf>
    <xf numFmtId="0" fontId="2" fillId="12" borderId="8">
      <alignment horizontal="left" vertical="center" wrapText="1" indent="1"/>
    </xf>
    <xf numFmtId="0" fontId="2" fillId="30" borderId="9">
      <alignment horizontal="right" vertical="center"/>
    </xf>
    <xf numFmtId="4" fontId="2" fillId="30" borderId="9">
      <alignment horizontal="right" vertical="center"/>
    </xf>
    <xf numFmtId="0" fontId="2" fillId="12" borderId="9">
      <alignment horizontal="right" vertical="center"/>
    </xf>
    <xf numFmtId="4" fontId="2" fillId="12" borderId="9">
      <alignment horizontal="right" vertical="top"/>
    </xf>
    <xf numFmtId="0" fontId="2" fillId="0" borderId="62" applyFill="0">
      <alignment vertical="top"/>
    </xf>
    <xf numFmtId="0" fontId="76" fillId="30" borderId="13">
      <alignment vertical="center"/>
    </xf>
    <xf numFmtId="0" fontId="2" fillId="30" borderId="13">
      <alignment horizontal="center" vertical="center"/>
    </xf>
    <xf numFmtId="0" fontId="2" fillId="30" borderId="61">
      <alignment horizontal="right" vertical="center"/>
    </xf>
    <xf numFmtId="4" fontId="2" fillId="30" borderId="13">
      <alignment horizontal="right" vertical="center"/>
    </xf>
    <xf numFmtId="4" fontId="11" fillId="30" borderId="0" applyBorder="0">
      <alignment horizontal="right" vertical="center"/>
    </xf>
    <xf numFmtId="4" fontId="11" fillId="30" borderId="61">
      <alignment horizontal="right" vertical="center"/>
    </xf>
    <xf numFmtId="4" fontId="2" fillId="30" borderId="61">
      <alignment horizontal="right" vertical="center"/>
    </xf>
    <xf numFmtId="0" fontId="76" fillId="30" borderId="15">
      <alignment vertical="center"/>
    </xf>
    <xf numFmtId="0" fontId="2" fillId="30" borderId="15">
      <alignment horizontal="center" vertical="center"/>
    </xf>
    <xf numFmtId="0" fontId="2" fillId="30" borderId="20">
      <alignment horizontal="right" vertical="center"/>
    </xf>
    <xf numFmtId="4" fontId="2" fillId="30" borderId="8">
      <alignment horizontal="right" vertical="center"/>
    </xf>
    <xf numFmtId="4" fontId="11" fillId="30" borderId="20">
      <alignment horizontal="right" vertical="center"/>
    </xf>
    <xf numFmtId="4" fontId="2" fillId="30" borderId="20">
      <alignment horizontal="right" vertical="center"/>
    </xf>
    <xf numFmtId="0" fontId="76" fillId="30" borderId="9">
      <alignment horizontal="center" vertical="center"/>
    </xf>
    <xf numFmtId="0" fontId="2" fillId="30" borderId="9">
      <alignment horizontal="center" vertical="center"/>
    </xf>
    <xf numFmtId="49" fontId="75" fillId="30" borderId="9">
      <alignment horizontal="center" vertical="center"/>
    </xf>
    <xf numFmtId="0" fontId="75" fillId="30" borderId="9">
      <alignment horizontal="center" vertical="center"/>
    </xf>
    <xf numFmtId="14" fontId="2" fillId="12" borderId="9" quotePrefix="1">
      <alignment horizontal="center" vertical="center"/>
    </xf>
    <xf numFmtId="4" fontId="11" fillId="12" borderId="9">
      <alignment horizontal="right" vertical="center"/>
    </xf>
    <xf numFmtId="0" fontId="11" fillId="12" borderId="9">
      <alignment horizontal="left" vertical="center" indent="1"/>
    </xf>
    <xf numFmtId="0" fontId="2" fillId="30" borderId="9">
      <alignment horizontal="left" vertical="center" indent="1"/>
    </xf>
    <xf numFmtId="0" fontId="2" fillId="12" borderId="9">
      <alignment horizontal="center" vertical="center"/>
    </xf>
    <xf numFmtId="0" fontId="2" fillId="12" borderId="9">
      <alignment horizontal="left" vertical="center" indent="1"/>
    </xf>
    <xf numFmtId="4" fontId="2" fillId="14" borderId="9">
      <alignment horizontal="right" vertical="center"/>
    </xf>
    <xf numFmtId="0" fontId="26" fillId="30" borderId="9">
      <alignment horizontal="center" vertical="center"/>
    </xf>
    <xf numFmtId="0" fontId="26" fillId="30" borderId="9">
      <alignment horizontal="left" vertical="center"/>
    </xf>
    <xf numFmtId="4" fontId="26" fillId="30" borderId="9">
      <alignment horizontal="center" vertical="center"/>
    </xf>
    <xf numFmtId="4" fontId="26" fillId="30" borderId="15">
      <alignment horizontal="center" vertical="center"/>
    </xf>
    <xf numFmtId="4" fontId="75" fillId="30" borderId="8">
      <alignment horizontal="center" vertical="center"/>
    </xf>
    <xf numFmtId="4" fontId="75" fillId="30" borderId="9">
      <alignment horizontal="center" vertical="center"/>
    </xf>
    <xf numFmtId="49" fontId="2" fillId="0" borderId="20" applyFill="0">
      <alignment horizontal="center" vertical="center" wrapText="1"/>
    </xf>
    <xf numFmtId="4" fontId="11" fillId="30" borderId="13">
      <alignment horizontal="right" vertical="center"/>
    </xf>
    <xf numFmtId="4" fontId="11" fillId="30" borderId="8">
      <alignment horizontal="right" vertical="center"/>
    </xf>
    <xf numFmtId="4" fontId="2" fillId="0" borderId="63" applyFill="0">
      <alignment vertical="center"/>
    </xf>
    <xf numFmtId="0" fontId="2" fillId="0" borderId="160" applyFill="0">
      <alignment horizontal="center" vertical="center"/>
    </xf>
    <xf numFmtId="0" fontId="2" fillId="0" borderId="62" applyFill="0">
      <alignment vertical="center"/>
    </xf>
    <xf numFmtId="0" fontId="2" fillId="0" borderId="161" applyFill="0">
      <alignment horizontal="center" vertical="center"/>
    </xf>
    <xf numFmtId="0" fontId="2" fillId="0" borderId="162" applyFill="0">
      <alignment horizontal="center" vertical="center"/>
    </xf>
    <xf numFmtId="0" fontId="2" fillId="0" borderId="6" applyFill="0">
      <alignment horizontal="center" vertical="center"/>
    </xf>
    <xf numFmtId="0" fontId="2" fillId="0" borderId="163" applyFill="0">
      <alignment horizontal="center" vertical="center"/>
    </xf>
    <xf numFmtId="4" fontId="2" fillId="30" borderId="9">
      <alignment horizontal="left" vertical="center" indent="1"/>
    </xf>
    <xf numFmtId="0" fontId="2" fillId="0" borderId="63" applyFill="0">
      <alignment horizontal="left" vertical="center" indent="4"/>
    </xf>
    <xf numFmtId="0" fontId="2" fillId="0" borderId="1" applyFill="0">
      <alignment vertical="top"/>
    </xf>
    <xf numFmtId="49" fontId="2" fillId="11" borderId="62">
      <alignment horizontal="center" vertical="center" wrapText="1"/>
    </xf>
    <xf numFmtId="49" fontId="2" fillId="0" borderId="164" applyFill="0">
      <alignment horizontal="center" vertical="center" wrapText="1"/>
    </xf>
    <xf numFmtId="49" fontId="2" fillId="0" borderId="59" applyFill="0">
      <alignment horizontal="center" vertical="center" wrapText="1"/>
    </xf>
    <xf numFmtId="49" fontId="2" fillId="11" borderId="20">
      <alignment horizontal="center" vertical="center" wrapText="1"/>
    </xf>
    <xf numFmtId="49" fontId="2" fillId="11" borderId="63">
      <alignment horizontal="center" vertical="center" wrapText="1"/>
    </xf>
    <xf numFmtId="49" fontId="2" fillId="11" borderId="47">
      <alignment horizontal="center" vertical="center" wrapText="1"/>
    </xf>
    <xf numFmtId="49" fontId="2" fillId="11" borderId="6">
      <alignment horizontal="center" vertical="center" wrapText="1"/>
    </xf>
    <xf numFmtId="49" fontId="2" fillId="0" borderId="165" applyFill="0">
      <alignment horizontal="center" vertical="center" wrapText="1"/>
    </xf>
    <xf numFmtId="49" fontId="75" fillId="11" borderId="63">
      <alignment horizontal="center" vertical="center"/>
    </xf>
    <xf numFmtId="49" fontId="2" fillId="30" borderId="9">
      <alignment horizontal="center" vertical="center"/>
    </xf>
    <xf numFmtId="4" fontId="2" fillId="12" borderId="63">
      <alignment horizontal="right" vertical="center"/>
    </xf>
    <xf numFmtId="0" fontId="26" fillId="11" borderId="13">
      <alignment horizontal="center" vertical="center"/>
    </xf>
    <xf numFmtId="0" fontId="2" fillId="0" borderId="15" applyFill="0">
      <alignment horizontal="left" vertical="top" wrapText="1" indent="1"/>
    </xf>
    <xf numFmtId="4" fontId="2" fillId="30" borderId="63">
      <alignment horizontal="right" vertical="center"/>
    </xf>
    <xf numFmtId="0" fontId="76" fillId="30" borderId="8">
      <alignment vertical="center"/>
    </xf>
    <xf numFmtId="0" fontId="2" fillId="30" borderId="8">
      <alignment horizontal="center" vertical="center"/>
    </xf>
    <xf numFmtId="4" fontId="11" fillId="30" borderId="63">
      <alignment horizontal="right" vertical="center"/>
    </xf>
    <xf numFmtId="0" fontId="2" fillId="0" borderId="15" applyFill="0">
      <alignment vertical="top"/>
    </xf>
    <xf numFmtId="0" fontId="2" fillId="0" borderId="63" applyFill="0">
      <alignment horizontal="right" vertical="center"/>
    </xf>
    <xf numFmtId="0" fontId="26" fillId="30" borderId="8">
      <alignment horizontal="center" vertical="center"/>
    </xf>
    <xf numFmtId="0" fontId="26" fillId="30" borderId="8">
      <alignment horizontal="left" vertical="center"/>
    </xf>
    <xf numFmtId="4" fontId="26" fillId="30" borderId="8">
      <alignment horizontal="center" vertical="center"/>
    </xf>
    <xf numFmtId="4" fontId="26" fillId="30" borderId="13">
      <alignment horizontal="center" vertical="center"/>
    </xf>
    <xf numFmtId="0" fontId="2" fillId="30" borderId="15">
      <alignment horizontal="left" vertical="center" indent="1"/>
    </xf>
    <xf numFmtId="4" fontId="2" fillId="30" borderId="15">
      <alignment horizontal="right" vertical="center"/>
    </xf>
    <xf numFmtId="4" fontId="2" fillId="0" borderId="63" applyFill="0">
      <alignment horizontal="right" vertical="center"/>
    </xf>
    <xf numFmtId="0" fontId="2" fillId="0" borderId="1" applyFill="0">
      <alignment horizontal="left" vertical="center" indent="4"/>
    </xf>
    <xf numFmtId="0" fontId="2" fillId="0" borderId="47" applyFill="0">
      <alignment horizontal="center" vertical="center" wrapText="1"/>
    </xf>
    <xf numFmtId="0" fontId="2" fillId="11" borderId="20">
      <alignment horizontal="center" vertical="center" wrapText="1"/>
    </xf>
    <xf numFmtId="0" fontId="2" fillId="11" borderId="63">
      <alignment horizontal="center" vertical="center" wrapText="1"/>
    </xf>
    <xf numFmtId="0" fontId="2" fillId="11" borderId="47">
      <alignment horizontal="center" vertical="center" wrapText="1"/>
    </xf>
    <xf numFmtId="0" fontId="2" fillId="0" borderId="16" applyFill="0">
      <alignment horizontal="center" vertical="center" wrapText="1"/>
    </xf>
    <xf numFmtId="0" fontId="2" fillId="0" borderId="64" applyFill="0">
      <alignment horizontal="center" vertical="center" wrapText="1"/>
    </xf>
    <xf numFmtId="0" fontId="2" fillId="0" borderId="48" applyFill="0">
      <alignment horizontal="center" vertical="center" wrapText="1"/>
    </xf>
    <xf numFmtId="0" fontId="2" fillId="11" borderId="64">
      <alignment horizontal="center" vertical="center" wrapText="1"/>
    </xf>
    <xf numFmtId="49" fontId="75" fillId="30" borderId="20">
      <alignment horizontal="center" vertical="center"/>
    </xf>
    <xf numFmtId="0" fontId="2" fillId="30" borderId="9">
      <alignment vertical="center"/>
    </xf>
    <xf numFmtId="4" fontId="75" fillId="30" borderId="20">
      <alignment horizontal="center" vertical="center"/>
    </xf>
    <xf numFmtId="0" fontId="3" fillId="0" borderId="0" applyFill="0" applyBorder="0">
      <alignment vertical="center" wrapText="1"/>
    </xf>
    <xf numFmtId="0" fontId="7" fillId="11" borderId="0" applyBorder="0">
      <alignment horizontal="center" vertical="center" wrapText="1"/>
    </xf>
    <xf numFmtId="0" fontId="7" fillId="0" borderId="0" applyFill="0" applyBorder="0">
      <alignment vertical="center" wrapText="1"/>
    </xf>
    <xf numFmtId="0" fontId="7" fillId="0" borderId="0" quotePrefix="1" applyFill="0" applyBorder="0">
      <alignment horizontal="center" vertical="center" wrapText="1"/>
    </xf>
    <xf numFmtId="0" fontId="2" fillId="11" borderId="1">
      <alignment vertical="center" wrapText="1"/>
    </xf>
    <xf numFmtId="0" fontId="2" fillId="11" borderId="3">
      <alignment vertical="center" wrapText="1"/>
    </xf>
    <xf numFmtId="0" fontId="2" fillId="11" borderId="25">
      <alignment horizontal="center" vertical="center" wrapText="1"/>
    </xf>
    <xf numFmtId="0" fontId="2" fillId="11" borderId="55">
      <alignment horizontal="center" vertical="center" wrapText="1"/>
    </xf>
    <xf numFmtId="0" fontId="2" fillId="11" borderId="62">
      <alignment horizontal="center" vertical="center" wrapText="1"/>
    </xf>
    <xf numFmtId="0" fontId="2" fillId="11" borderId="13">
      <alignment horizontal="center" vertical="center" wrapText="1"/>
    </xf>
    <xf numFmtId="0" fontId="26" fillId="30" borderId="0" applyBorder="0">
      <alignment horizontal="center" vertical="center"/>
    </xf>
    <xf numFmtId="0" fontId="26" fillId="30" borderId="19">
      <alignment horizontal="center" vertical="center"/>
    </xf>
    <xf numFmtId="0" fontId="2" fillId="11" borderId="5">
      <alignment horizontal="center" vertical="center" wrapText="1"/>
    </xf>
    <xf numFmtId="0" fontId="26" fillId="0" borderId="0" applyFill="0" applyBorder="0">
      <alignment horizontal="center" vertical="center" wrapText="1"/>
    </xf>
    <xf numFmtId="0" fontId="26" fillId="11" borderId="0" applyBorder="0">
      <alignment vertical="center" wrapText="1"/>
    </xf>
    <xf numFmtId="0" fontId="26" fillId="11" borderId="0" applyBorder="0">
      <alignment horizontal="center" vertical="center" wrapText="1"/>
    </xf>
    <xf numFmtId="0" fontId="26" fillId="0" borderId="64" applyFill="0">
      <alignment horizontal="center" vertical="center" wrapText="1"/>
    </xf>
    <xf numFmtId="0" fontId="26" fillId="0" borderId="0" applyFill="0" applyBorder="0">
      <alignment vertical="center" wrapText="1"/>
    </xf>
    <xf numFmtId="0" fontId="26" fillId="0" borderId="62" applyFill="0">
      <alignment vertical="center" wrapText="1"/>
    </xf>
    <xf numFmtId="171" fontId="2" fillId="11" borderId="9">
      <alignment horizontal="center" vertical="center" wrapText="1"/>
    </xf>
    <xf numFmtId="171" fontId="9" fillId="11" borderId="20">
      <alignment horizontal="center" vertical="center" wrapText="1"/>
    </xf>
    <xf numFmtId="171" fontId="9" fillId="11" borderId="63">
      <alignment horizontal="center" vertical="center" wrapText="1"/>
    </xf>
    <xf numFmtId="171" fontId="9" fillId="11" borderId="47">
      <alignment horizontal="center" vertical="center" wrapText="1"/>
    </xf>
    <xf numFmtId="0" fontId="26" fillId="30" borderId="63">
      <alignment horizontal="center" vertical="center"/>
    </xf>
    <xf numFmtId="0" fontId="2" fillId="11" borderId="8" quotePrefix="1">
      <alignment horizontal="center" vertical="center" wrapText="1"/>
    </xf>
    <xf numFmtId="0" fontId="2" fillId="11" borderId="8">
      <alignment horizontal="center" vertical="center" wrapText="1"/>
    </xf>
    <xf numFmtId="171" fontId="9" fillId="11" borderId="7">
      <alignment horizontal="center" vertical="center" wrapText="1"/>
    </xf>
    <xf numFmtId="171" fontId="9" fillId="11" borderId="9">
      <alignment horizontal="center" vertical="center" wrapText="1"/>
    </xf>
    <xf numFmtId="171" fontId="9" fillId="11" borderId="16">
      <alignment horizontal="center" vertical="center" wrapText="1"/>
    </xf>
    <xf numFmtId="171" fontId="9" fillId="11" borderId="64">
      <alignment horizontal="center" vertical="center" wrapText="1"/>
    </xf>
    <xf numFmtId="171" fontId="9" fillId="11" borderId="48">
      <alignment horizontal="center" vertical="center" wrapText="1"/>
    </xf>
    <xf numFmtId="171" fontId="9" fillId="11" borderId="8">
      <alignment horizontal="center" vertical="center" wrapText="1"/>
    </xf>
    <xf numFmtId="0" fontId="2" fillId="12" borderId="0" applyBorder="0">
      <alignment horizontal="center" vertical="center" wrapText="1"/>
    </xf>
    <xf numFmtId="49" fontId="2" fillId="11" borderId="8">
      <alignment horizontal="center" vertical="center"/>
    </xf>
    <xf numFmtId="49" fontId="2" fillId="11" borderId="8">
      <alignment horizontal="left" vertical="center" wrapText="1"/>
    </xf>
    <xf numFmtId="0" fontId="77" fillId="11" borderId="7">
      <alignment vertical="center" textRotation="90" wrapText="1"/>
    </xf>
    <xf numFmtId="0" fontId="77" fillId="11" borderId="9">
      <alignment vertical="center" textRotation="90" wrapText="1"/>
    </xf>
    <xf numFmtId="49" fontId="2" fillId="11" borderId="9">
      <alignment horizontal="center" vertical="center"/>
    </xf>
    <xf numFmtId="49" fontId="2" fillId="11" borderId="20">
      <alignment horizontal="left" vertical="center" wrapText="1"/>
    </xf>
    <xf numFmtId="0" fontId="2" fillId="11" borderId="9">
      <alignment horizontal="left" vertical="center" wrapText="1"/>
    </xf>
    <xf numFmtId="0" fontId="2" fillId="12" borderId="8">
      <alignment horizontal="center" vertical="center" wrapText="1"/>
    </xf>
    <xf numFmtId="0" fontId="2" fillId="12" borderId="6">
      <alignment horizontal="center" vertical="center" wrapText="1"/>
    </xf>
    <xf numFmtId="0" fontId="2" fillId="12" borderId="5">
      <alignment horizontal="center" vertical="center" wrapText="1"/>
    </xf>
    <xf numFmtId="0" fontId="2" fillId="0" borderId="9" applyFill="0">
      <alignment horizontal="left" vertical="center" indent="1"/>
    </xf>
    <xf numFmtId="49" fontId="2" fillId="30" borderId="9">
      <alignment horizontal="left" vertical="center" wrapText="1" indent="4"/>
    </xf>
    <xf numFmtId="49" fontId="2" fillId="30" borderId="6">
      <alignment horizontal="center" vertical="center" wrapText="1"/>
    </xf>
    <xf numFmtId="0" fontId="2" fillId="30" borderId="9">
      <alignment vertical="center" wrapText="1"/>
    </xf>
    <xf numFmtId="0" fontId="2" fillId="30" borderId="7">
      <alignment vertical="center"/>
    </xf>
    <xf numFmtId="0" fontId="2" fillId="30" borderId="47">
      <alignment vertical="center"/>
    </xf>
    <xf numFmtId="0" fontId="2" fillId="35" borderId="6">
      <alignment horizontal="left" vertical="center" wrapText="1" indent="1"/>
    </xf>
    <xf numFmtId="4" fontId="26" fillId="30" borderId="6">
      <alignment horizontal="center" vertical="center"/>
    </xf>
    <xf numFmtId="4" fontId="2" fillId="30" borderId="9">
      <alignment vertical="center" wrapText="1"/>
    </xf>
    <xf numFmtId="4" fontId="2" fillId="30" borderId="7">
      <alignment vertical="center"/>
    </xf>
    <xf numFmtId="4" fontId="2" fillId="30" borderId="9">
      <alignment vertical="center"/>
    </xf>
    <xf numFmtId="0" fontId="11" fillId="35" borderId="6">
      <alignment horizontal="left" vertical="center" wrapText="1" indent="2"/>
    </xf>
    <xf numFmtId="4" fontId="2" fillId="30" borderId="19">
      <alignment vertical="center"/>
    </xf>
    <xf numFmtId="49" fontId="11" fillId="0" borderId="9" applyFill="0">
      <alignment horizontal="left" vertical="center" wrapText="1" indent="3"/>
    </xf>
    <xf numFmtId="16" fontId="2" fillId="0" borderId="9" applyFill="0">
      <alignment horizontal="left" vertical="center" indent="1"/>
    </xf>
    <xf numFmtId="49" fontId="2" fillId="0" borderId="9" applyFill="0">
      <alignment horizontal="left" vertical="center" wrapText="1" indent="4"/>
    </xf>
    <xf numFmtId="4" fontId="2" fillId="12" borderId="9">
      <alignment vertical="center" wrapText="1"/>
    </xf>
    <xf numFmtId="0" fontId="2" fillId="0" borderId="8" applyFill="0">
      <alignment horizontal="left" vertical="center" indent="1"/>
    </xf>
    <xf numFmtId="49" fontId="11" fillId="0" borderId="8" applyFill="0">
      <alignment horizontal="left" vertical="center" wrapText="1" indent="3"/>
    </xf>
    <xf numFmtId="49" fontId="2" fillId="30" borderId="9">
      <alignment horizontal="center" vertical="center" wrapText="1"/>
    </xf>
    <xf numFmtId="4" fontId="26" fillId="30" borderId="7">
      <alignment horizontal="center" vertical="center"/>
    </xf>
    <xf numFmtId="4" fontId="2" fillId="30" borderId="9">
      <alignment vertical="top"/>
    </xf>
    <xf numFmtId="49" fontId="2" fillId="11" borderId="9">
      <alignment horizontal="left" vertical="center" wrapText="1" indent="1"/>
    </xf>
    <xf numFmtId="4" fontId="2" fillId="0" borderId="9" applyFill="0">
      <alignment vertical="top"/>
    </xf>
    <xf numFmtId="49" fontId="2" fillId="11" borderId="9">
      <alignment horizontal="left" vertical="center" wrapText="1"/>
    </xf>
    <xf numFmtId="4" fontId="2" fillId="14" borderId="19">
      <alignment horizontal="right" vertical="center"/>
    </xf>
    <xf numFmtId="4" fontId="26" fillId="30" borderId="19">
      <alignment horizontal="center" vertical="center"/>
    </xf>
    <xf numFmtId="4" fontId="2" fillId="14" borderId="0" applyBorder="0">
      <alignment horizontal="right" vertical="center"/>
    </xf>
    <xf numFmtId="0" fontId="26" fillId="0" borderId="23" applyFill="0">
      <alignment horizontal="center" vertical="center" wrapText="1"/>
    </xf>
    <xf numFmtId="0" fontId="26" fillId="0" borderId="79" applyFill="0">
      <alignment horizontal="center" vertical="center" wrapText="1"/>
    </xf>
    <xf numFmtId="0" fontId="2" fillId="0" borderId="132" applyFill="0">
      <alignment horizontal="center" vertical="center" wrapText="1"/>
    </xf>
    <xf numFmtId="0" fontId="2" fillId="11" borderId="166">
      <alignment horizontal="center" vertical="center" wrapText="1"/>
    </xf>
    <xf numFmtId="0" fontId="2" fillId="11" borderId="51">
      <alignment horizontal="center" vertical="center" wrapText="1"/>
    </xf>
    <xf numFmtId="0" fontId="2" fillId="11" borderId="56">
      <alignment horizontal="center" vertical="center" wrapText="1"/>
    </xf>
    <xf numFmtId="0" fontId="2" fillId="11" borderId="31">
      <alignment horizontal="center" vertical="center" wrapText="1"/>
    </xf>
    <xf numFmtId="0" fontId="2" fillId="11" borderId="17">
      <alignment horizontal="center" vertical="center" wrapText="1"/>
    </xf>
    <xf numFmtId="0" fontId="2" fillId="0" borderId="133" applyFill="0">
      <alignment horizontal="center" vertical="center" wrapText="1"/>
    </xf>
    <xf numFmtId="0" fontId="2" fillId="0" borderId="130" applyFill="0">
      <alignment horizontal="center" vertical="center" wrapText="1"/>
    </xf>
    <xf numFmtId="0" fontId="2" fillId="0" borderId="129" applyFill="0">
      <alignment horizontal="center" vertical="center" wrapText="1"/>
    </xf>
    <xf numFmtId="0" fontId="2" fillId="0" borderId="167" applyFill="0">
      <alignment horizontal="center" vertical="center" wrapText="1"/>
    </xf>
    <xf numFmtId="0" fontId="26" fillId="0" borderId="18" applyFill="0">
      <alignment horizontal="center" vertical="center" wrapText="1"/>
    </xf>
    <xf numFmtId="49" fontId="2" fillId="11" borderId="8">
      <alignment horizontal="center" vertical="center" textRotation="90" wrapText="1"/>
    </xf>
    <xf numFmtId="49" fontId="2" fillId="11" borderId="13">
      <alignment horizontal="center" vertical="center" textRotation="90" wrapText="1"/>
    </xf>
    <xf numFmtId="49" fontId="2" fillId="11" borderId="15">
      <alignment horizontal="center" vertical="center" textRotation="90" wrapText="1"/>
    </xf>
    <xf numFmtId="49" fontId="26" fillId="30" borderId="9">
      <alignment horizontal="center" vertical="center" wrapText="1"/>
    </xf>
    <xf numFmtId="0" fontId="2" fillId="35" borderId="9">
      <alignment horizontal="left" vertical="center" wrapText="1" indent="1"/>
    </xf>
    <xf numFmtId="0" fontId="26" fillId="48" borderId="6">
      <alignment horizontal="center" vertical="center" wrapText="1"/>
    </xf>
    <xf numFmtId="49" fontId="2" fillId="0" borderId="9" applyFill="0">
      <alignment horizontal="left" vertical="center" wrapText="1" indent="2"/>
    </xf>
    <xf numFmtId="49" fontId="2" fillId="0" borderId="9" applyFill="0">
      <alignment horizontal="left" vertical="center" wrapText="1" indent="3"/>
    </xf>
    <xf numFmtId="0" fontId="26" fillId="49" borderId="9">
      <alignment horizontal="center" vertical="center"/>
    </xf>
    <xf numFmtId="49" fontId="2" fillId="11" borderId="9">
      <alignment horizontal="left" vertical="center" wrapText="1" indent="4"/>
    </xf>
    <xf numFmtId="49" fontId="2" fillId="11" borderId="9">
      <alignment horizontal="left" vertical="center" wrapText="1" indent="5"/>
    </xf>
    <xf numFmtId="49" fontId="2" fillId="11" borderId="9">
      <alignment horizontal="left" vertical="center" wrapText="1" indent="6"/>
    </xf>
    <xf numFmtId="49" fontId="2" fillId="11" borderId="9">
      <alignment horizontal="left" vertical="center" wrapText="1" indent="7"/>
    </xf>
    <xf numFmtId="4" fontId="26" fillId="12" borderId="9">
      <alignment horizontal="center" vertical="center"/>
    </xf>
    <xf numFmtId="0" fontId="2" fillId="11" borderId="9">
      <alignment horizontal="left" vertical="center" wrapText="1" indent="4"/>
    </xf>
    <xf numFmtId="4" fontId="2" fillId="30" borderId="7">
      <alignment vertical="center" wrapText="1"/>
    </xf>
    <xf numFmtId="49" fontId="2" fillId="50" borderId="9">
      <alignment horizontal="left" vertical="center" wrapText="1" indent="3"/>
    </xf>
    <xf numFmtId="0" fontId="26" fillId="51" borderId="6">
      <alignment horizontal="center" vertical="center" wrapText="1"/>
    </xf>
    <xf numFmtId="0" fontId="2" fillId="11" borderId="9">
      <alignment horizontal="left" vertical="center" wrapText="1" indent="2"/>
    </xf>
    <xf numFmtId="49" fontId="2" fillId="11" borderId="9">
      <alignment horizontal="left" vertical="center" wrapText="1" indent="3"/>
    </xf>
    <xf numFmtId="0" fontId="2" fillId="11" borderId="9">
      <alignment horizontal="left" vertical="center" wrapText="1" indent="3"/>
    </xf>
    <xf numFmtId="49" fontId="2" fillId="11" borderId="9">
      <alignment horizontal="left" vertical="center" wrapText="1" indent="2"/>
    </xf>
    <xf numFmtId="49" fontId="26" fillId="30" borderId="6">
      <alignment horizontal="center" vertical="center" wrapText="1"/>
    </xf>
    <xf numFmtId="4" fontId="2" fillId="13" borderId="7">
      <alignment horizontal="right" vertical="center"/>
      <protection locked="0"/>
    </xf>
    <xf numFmtId="0" fontId="26" fillId="52" borderId="9">
      <alignment horizontal="center" vertical="center" wrapText="1"/>
    </xf>
    <xf numFmtId="4" fontId="2" fillId="30" borderId="47">
      <alignment vertical="center"/>
    </xf>
    <xf numFmtId="4" fontId="2" fillId="30" borderId="8">
      <alignment vertical="center"/>
    </xf>
    <xf numFmtId="4" fontId="2" fillId="30" borderId="8">
      <alignment vertical="center" wrapText="1"/>
    </xf>
    <xf numFmtId="4" fontId="11" fillId="12" borderId="19">
      <alignment horizontal="right" vertical="center"/>
    </xf>
    <xf numFmtId="4" fontId="2" fillId="30" borderId="48">
      <alignment vertical="center"/>
    </xf>
    <xf numFmtId="4" fontId="2" fillId="30" borderId="15">
      <alignment vertical="center"/>
    </xf>
    <xf numFmtId="4" fontId="2" fillId="30" borderId="15">
      <alignment vertical="center" wrapText="1"/>
    </xf>
    <xf numFmtId="0" fontId="26" fillId="51" borderId="9">
      <alignment horizontal="center" vertical="center" wrapText="1"/>
    </xf>
    <xf numFmtId="0" fontId="26" fillId="51" borderId="9">
      <alignment horizontal="left" vertical="center" wrapText="1" indent="1"/>
    </xf>
    <xf numFmtId="0" fontId="2" fillId="0" borderId="9" applyFill="0">
      <alignment horizontal="center" vertical="center"/>
    </xf>
    <xf numFmtId="0" fontId="26" fillId="53" borderId="9">
      <alignment horizontal="center" vertical="center" wrapText="1"/>
    </xf>
    <xf numFmtId="0" fontId="26" fillId="53" borderId="7">
      <alignment horizontal="left" vertical="center" wrapText="1" indent="1"/>
    </xf>
    <xf numFmtId="49" fontId="2" fillId="30" borderId="9">
      <alignment horizontal="left" vertical="center" indent="1"/>
    </xf>
    <xf numFmtId="49" fontId="2" fillId="30" borderId="63">
      <alignment horizontal="left" vertical="center" wrapText="1" indent="2"/>
    </xf>
    <xf numFmtId="49" fontId="2" fillId="11" borderId="20">
      <alignment horizontal="left" vertical="center" wrapText="1" indent="2"/>
    </xf>
    <xf numFmtId="0" fontId="2" fillId="35" borderId="5">
      <alignment horizontal="left" vertical="center" wrapText="1" indent="1"/>
    </xf>
    <xf numFmtId="0" fontId="2" fillId="0" borderId="9" applyFill="0">
      <alignment horizontal="left" vertical="center" wrapText="1" indent="1"/>
    </xf>
    <xf numFmtId="0" fontId="2" fillId="0" borderId="7" applyFill="0">
      <alignment horizontal="left" vertical="center" wrapText="1" indent="2"/>
    </xf>
    <xf numFmtId="0" fontId="2" fillId="0" borderId="7" applyFill="0">
      <alignment horizontal="left" vertical="center" wrapText="1" indent="3"/>
    </xf>
    <xf numFmtId="0" fontId="2" fillId="0" borderId="7" applyFill="0">
      <alignment horizontal="left" vertical="center" wrapText="1" indent="4"/>
    </xf>
    <xf numFmtId="0" fontId="2" fillId="30" borderId="7">
      <alignment horizontal="left" vertical="center" wrapText="1" indent="2"/>
    </xf>
    <xf numFmtId="4" fontId="2" fillId="30" borderId="7">
      <alignment horizontal="right" vertical="center"/>
    </xf>
    <xf numFmtId="0" fontId="2" fillId="0" borderId="7" applyFill="0">
      <alignment horizontal="left" vertical="top" wrapText="1" indent="2"/>
    </xf>
    <xf numFmtId="0" fontId="26" fillId="53" borderId="9">
      <alignment horizontal="center" vertical="center"/>
    </xf>
    <xf numFmtId="49" fontId="2" fillId="35" borderId="9">
      <alignment horizontal="left" vertical="center" wrapText="1" indent="1"/>
    </xf>
    <xf numFmtId="49" fontId="2" fillId="0" borderId="9" applyFill="0">
      <alignment horizontal="left" vertical="center" wrapText="1" indent="1"/>
    </xf>
    <xf numFmtId="4" fontId="2" fillId="22" borderId="9">
      <alignment horizontal="right" vertical="center"/>
    </xf>
    <xf numFmtId="0" fontId="2" fillId="30" borderId="9">
      <alignment horizontal="center" vertical="center" wrapText="1"/>
    </xf>
    <xf numFmtId="0" fontId="2" fillId="35" borderId="48">
      <alignment horizontal="left" vertical="center" wrapText="1" indent="1"/>
    </xf>
    <xf numFmtId="49" fontId="2" fillId="30" borderId="63">
      <alignment horizontal="left" vertical="center" wrapText="1" indent="1"/>
    </xf>
    <xf numFmtId="49" fontId="2" fillId="30" borderId="20">
      <alignment horizontal="left" vertical="center" wrapText="1" indent="1"/>
    </xf>
    <xf numFmtId="49" fontId="2" fillId="30" borderId="20">
      <alignment horizontal="left" vertical="center" wrapText="1" indent="2"/>
    </xf>
    <xf numFmtId="49" fontId="26" fillId="51" borderId="9">
      <alignment horizontal="center" vertical="center"/>
    </xf>
    <xf numFmtId="0" fontId="2" fillId="2" borderId="9">
      <alignment horizontal="left" vertical="center" wrapText="1" indent="1"/>
    </xf>
    <xf numFmtId="0" fontId="2" fillId="2" borderId="9">
      <alignment horizontal="left" vertical="center" wrapText="1" indent="2"/>
    </xf>
    <xf numFmtId="4" fontId="2" fillId="30" borderId="7">
      <alignment vertical="top"/>
    </xf>
    <xf numFmtId="0" fontId="2" fillId="0" borderId="9" applyFill="0">
      <alignment horizontal="left" vertical="center" wrapText="1" indent="2"/>
    </xf>
    <xf numFmtId="49" fontId="2" fillId="11" borderId="20">
      <alignment horizontal="left" vertical="center" wrapText="1" indent="1"/>
    </xf>
    <xf numFmtId="49" fontId="2" fillId="0" borderId="9" applyFill="0">
      <alignment horizontal="left" vertical="center" indent="1"/>
    </xf>
    <xf numFmtId="0" fontId="2" fillId="0" borderId="9" applyFill="0">
      <alignment horizontal="left" vertical="center" wrapText="1" indent="3"/>
    </xf>
    <xf numFmtId="49" fontId="40" fillId="0" borderId="9" applyFill="0">
      <alignment horizontal="left" vertical="center" indent="1"/>
    </xf>
    <xf numFmtId="49" fontId="40" fillId="0" borderId="9" applyFill="0">
      <alignment horizontal="left" vertical="center" wrapText="1" indent="1"/>
    </xf>
    <xf numFmtId="49" fontId="40" fillId="0" borderId="9" applyFill="0">
      <alignment horizontal="center" vertical="center"/>
    </xf>
    <xf numFmtId="4" fontId="14" fillId="13" borderId="9">
      <alignment horizontal="right" vertical="center"/>
      <protection locked="0"/>
    </xf>
    <xf numFmtId="49" fontId="40" fillId="0" borderId="9" applyFill="0">
      <alignment horizontal="left" vertical="center" wrapText="1" indent="2"/>
    </xf>
    <xf numFmtId="49" fontId="40" fillId="0" borderId="9" applyFill="0">
      <alignment horizontal="left" vertical="center" wrapText="1" indent="3"/>
    </xf>
    <xf numFmtId="49" fontId="40" fillId="30" borderId="9">
      <alignment horizontal="left" vertical="center" indent="1"/>
    </xf>
    <xf numFmtId="49" fontId="40" fillId="30" borderId="9">
      <alignment horizontal="left" vertical="center" wrapText="1" indent="4"/>
    </xf>
    <xf numFmtId="49" fontId="40" fillId="30" borderId="6">
      <alignment horizontal="center" vertical="center" wrapText="1"/>
    </xf>
    <xf numFmtId="49" fontId="40" fillId="11" borderId="20">
      <alignment horizontal="left" vertical="center" wrapText="1" indent="1"/>
    </xf>
    <xf numFmtId="0" fontId="26" fillId="48" borderId="9">
      <alignment horizontal="left" vertical="center" wrapText="1" indent="1"/>
    </xf>
    <xf numFmtId="4" fontId="2" fillId="12" borderId="7" quotePrefix="1">
      <alignment horizontal="right" vertical="center"/>
    </xf>
    <xf numFmtId="0" fontId="26" fillId="49" borderId="9">
      <alignment horizontal="left" vertical="center" wrapText="1" indent="1"/>
    </xf>
    <xf numFmtId="0" fontId="26" fillId="52" borderId="9">
      <alignment horizontal="left" vertical="center" wrapText="1" indent="1"/>
    </xf>
    <xf numFmtId="0" fontId="26" fillId="53" borderId="9">
      <alignment horizontal="left" vertical="center" wrapText="1" indent="1"/>
    </xf>
    <xf numFmtId="4" fontId="2" fillId="12" borderId="48">
      <alignment horizontal="right" vertical="center"/>
    </xf>
    <xf numFmtId="4" fontId="2" fillId="12" borderId="15" quotePrefix="1">
      <alignment horizontal="right" vertical="center"/>
    </xf>
    <xf numFmtId="0" fontId="26" fillId="0" borderId="9" applyFill="0">
      <alignment horizontal="left" vertical="center" indent="1"/>
    </xf>
    <xf numFmtId="4" fontId="9" fillId="14" borderId="9">
      <alignment horizontal="right" vertical="center"/>
    </xf>
    <xf numFmtId="0" fontId="2" fillId="11" borderId="9">
      <alignment horizontal="left" vertical="center" wrapText="1" indent="1"/>
    </xf>
    <xf numFmtId="4" fontId="78" fillId="14" borderId="9">
      <alignment horizontal="right" vertical="center"/>
    </xf>
    <xf numFmtId="4" fontId="30" fillId="12" borderId="7">
      <alignment horizontal="right" vertical="center"/>
    </xf>
    <xf numFmtId="4" fontId="30" fillId="12" borderId="9">
      <alignment horizontal="right" vertical="center"/>
    </xf>
    <xf numFmtId="0" fontId="2" fillId="11" borderId="20">
      <alignment horizontal="left" vertical="center" wrapText="1" indent="1"/>
    </xf>
    <xf numFmtId="0" fontId="2" fillId="35" borderId="6">
      <alignment horizontal="left" vertical="center" wrapText="1" indent="2"/>
    </xf>
    <xf numFmtId="0" fontId="2" fillId="11" borderId="20">
      <alignment horizontal="left" vertical="center" wrapText="1" indent="2"/>
    </xf>
    <xf numFmtId="0" fontId="2" fillId="0" borderId="20" applyFill="0">
      <alignment horizontal="left" vertical="center" wrapText="1" indent="3"/>
    </xf>
    <xf numFmtId="0" fontId="2" fillId="35" borderId="5">
      <alignment horizontal="left" vertical="center" wrapText="1" indent="2"/>
    </xf>
    <xf numFmtId="0" fontId="2" fillId="0" borderId="9" applyFill="0">
      <alignment horizontal="left" vertical="center" indent="2"/>
    </xf>
    <xf numFmtId="0" fontId="2" fillId="35" borderId="5">
      <alignment horizontal="left" vertical="center" wrapText="1"/>
    </xf>
    <xf numFmtId="0" fontId="2" fillId="11" borderId="63">
      <alignment horizontal="left" vertical="center" wrapText="1" indent="1"/>
    </xf>
    <xf numFmtId="1" fontId="2" fillId="13" borderId="7">
      <alignment horizontal="right" vertical="center"/>
      <protection locked="0"/>
    </xf>
    <xf numFmtId="49" fontId="2" fillId="30" borderId="9">
      <alignment horizontal="left" vertical="center" wrapText="1" indent="1"/>
    </xf>
    <xf numFmtId="4" fontId="78" fillId="2" borderId="9">
      <alignment horizontal="right" vertical="center"/>
    </xf>
    <xf numFmtId="0" fontId="72" fillId="0" borderId="0" applyFill="0" applyBorder="0">
      <alignment horizontal="center" vertical="center"/>
    </xf>
    <xf numFmtId="0" fontId="11" fillId="11" borderId="63">
      <alignment horizontal="left" vertical="center" wrapText="1" indent="1"/>
    </xf>
    <xf numFmtId="49" fontId="26" fillId="11" borderId="9">
      <alignment horizontal="left" vertical="center" wrapText="1" indent="1"/>
    </xf>
    <xf numFmtId="49" fontId="2" fillId="11" borderId="6">
      <alignment horizontal="left" vertical="center" wrapText="1"/>
    </xf>
    <xf numFmtId="4" fontId="2" fillId="14" borderId="7">
      <alignment horizontal="right" vertical="center"/>
    </xf>
    <xf numFmtId="49" fontId="26" fillId="54" borderId="0" applyBorder="0">
      <alignment horizontal="center" vertical="center"/>
    </xf>
    <xf numFmtId="49" fontId="26" fillId="54" borderId="9">
      <alignment horizontal="center" vertical="center"/>
    </xf>
    <xf numFmtId="49" fontId="26" fillId="55" borderId="0" applyBorder="0">
      <alignment horizontal="center" vertical="top"/>
    </xf>
    <xf numFmtId="0" fontId="2" fillId="19" borderId="0" applyBorder="0">
      <alignment vertical="center"/>
    </xf>
    <xf numFmtId="49" fontId="26" fillId="54" borderId="0" applyBorder="0">
      <alignment horizontal="center" vertical="top"/>
    </xf>
    <xf numFmtId="0" fontId="2" fillId="56" borderId="0" applyBorder="0">
      <alignment horizontal="center" vertical="center"/>
    </xf>
    <xf numFmtId="49" fontId="8" fillId="10" borderId="9">
      <alignment horizontal="center" vertical="center"/>
    </xf>
    <xf numFmtId="0" fontId="26" fillId="54" borderId="0" applyBorder="0">
      <alignment horizontal="center" vertical="top"/>
    </xf>
    <xf numFmtId="0" fontId="8" fillId="10" borderId="0" applyBorder="0">
      <alignment vertical="top"/>
    </xf>
    <xf numFmtId="0" fontId="2" fillId="0" borderId="15" applyFill="0">
      <alignment horizontal="center" vertical="center"/>
    </xf>
    <xf numFmtId="0" fontId="2" fillId="0" borderId="16" applyFill="0">
      <alignment horizontal="center" vertical="center"/>
    </xf>
    <xf numFmtId="0" fontId="2" fillId="0" borderId="15" applyFill="0">
      <alignment horizontal="center"/>
    </xf>
    <xf numFmtId="0" fontId="2" fillId="19" borderId="0" applyBorder="0">
      <alignment horizontal="right"/>
    </xf>
    <xf numFmtId="49" fontId="2" fillId="0" borderId="9" applyFill="0">
      <alignment vertical="center"/>
    </xf>
    <xf numFmtId="0" fontId="2" fillId="10" borderId="19"/>
    <xf numFmtId="0" fontId="6" fillId="14" borderId="1">
      <alignment vertical="center" wrapText="1"/>
    </xf>
    <xf numFmtId="0" fontId="6" fillId="14" borderId="3">
      <alignment vertical="center" wrapText="1"/>
    </xf>
    <xf numFmtId="0" fontId="6" fillId="0" borderId="0" applyFill="0" applyBorder="0">
      <alignment horizontal="center"/>
    </xf>
    <xf numFmtId="3" fontId="6" fillId="0" borderId="0" applyFill="0" applyBorder="0"/>
    <xf numFmtId="0" fontId="6" fillId="32" borderId="0" applyBorder="0"/>
    <xf numFmtId="0" fontId="2" fillId="0" borderId="9" applyFill="0">
      <alignment horizontal="center"/>
    </xf>
    <xf numFmtId="0" fontId="2" fillId="19" borderId="0" applyBorder="0">
      <alignment horizontal="center" vertical="center"/>
    </xf>
    <xf numFmtId="3" fontId="2" fillId="19" borderId="0" applyBorder="0">
      <alignment horizontal="right"/>
    </xf>
    <xf numFmtId="0" fontId="2" fillId="0" borderId="17" applyFill="0">
      <alignment horizontal="left" vertical="center" wrapText="1" indent="1"/>
    </xf>
    <xf numFmtId="0" fontId="2" fillId="0" borderId="18" applyFill="0">
      <alignment horizontal="left" vertical="center" indent="1"/>
    </xf>
    <xf numFmtId="0" fontId="6" fillId="57" borderId="34"/>
    <xf numFmtId="49" fontId="6" fillId="57" borderId="34"/>
    <xf numFmtId="0" fontId="6" fillId="10" borderId="0" applyBorder="0"/>
    <xf numFmtId="0" fontId="38" fillId="0" borderId="34" applyFill="0">
      <alignment vertical="center"/>
    </xf>
    <xf numFmtId="0" fontId="6" fillId="0" borderId="34" applyFill="0">
      <alignment vertical="center"/>
    </xf>
    <xf numFmtId="0" fontId="38" fillId="0" borderId="34" applyFill="0">
      <alignment horizontal="center" vertical="center"/>
    </xf>
    <xf numFmtId="0" fontId="6" fillId="0" borderId="168" applyFill="0">
      <alignment vertical="center"/>
    </xf>
    <xf numFmtId="0" fontId="18" fillId="0" borderId="34" applyFill="0">
      <alignment vertical="center"/>
    </xf>
    <xf numFmtId="49" fontId="2" fillId="0" borderId="9" applyFill="0">
      <alignment vertical="top"/>
    </xf>
    <xf numFmtId="49" fontId="2" fillId="19" borderId="0" applyBorder="0">
      <alignment horizontal="right"/>
    </xf>
    <xf numFmtId="1" fontId="2" fillId="19" borderId="0" applyBorder="0">
      <alignment horizontal="right"/>
    </xf>
    <xf numFmtId="0" fontId="6" fillId="0" borderId="34" applyFill="0"/>
    <xf numFmtId="0" fontId="79" fillId="0" borderId="0" applyFill="0" applyBorder="0">
      <alignment vertical="center"/>
    </xf>
    <xf numFmtId="0" fontId="2" fillId="0" borderId="8" applyFill="0">
      <alignment horizontal="center" vertical="center"/>
    </xf>
    <xf numFmtId="0" fontId="6" fillId="22" borderId="0" applyBorder="0"/>
    <xf numFmtId="0" fontId="38" fillId="19" borderId="0" applyBorder="0"/>
    <xf numFmtId="0" fontId="2" fillId="19" borderId="0" applyBorder="0">
      <alignment vertical="center" wrapText="1"/>
    </xf>
    <xf numFmtId="0" fontId="38" fillId="22" borderId="34">
      <alignment vertical="center"/>
    </xf>
    <xf numFmtId="0" fontId="2" fillId="22" borderId="34">
      <alignment vertical="center"/>
    </xf>
    <xf numFmtId="0" fontId="2" fillId="22" borderId="168">
      <alignment vertical="center"/>
    </xf>
    <xf numFmtId="0" fontId="2" fillId="0" borderId="34" applyFill="0">
      <alignment vertical="center"/>
    </xf>
    <xf numFmtId="0" fontId="2" fillId="0" borderId="168" applyFill="0">
      <alignment vertical="center"/>
    </xf>
    <xf numFmtId="0" fontId="8" fillId="10" borderId="0" applyBorder="0">
      <alignment horizontal="center" vertical="center" wrapText="1"/>
    </xf>
    <xf numFmtId="0" fontId="25" fillId="0" borderId="0" applyFill="0" applyBorder="0">
      <alignment vertical="top"/>
    </xf>
    <xf numFmtId="0" fontId="26" fillId="54" borderId="9">
      <alignment horizontal="center" vertical="center"/>
    </xf>
    <xf numFmtId="0" fontId="2" fillId="19" borderId="9">
      <alignment horizontal="center" vertical="center"/>
    </xf>
    <xf numFmtId="0" fontId="2" fillId="0" borderId="34" applyFill="0"/>
    <xf numFmtId="49" fontId="26" fillId="54" borderId="0" applyBorder="0">
      <alignment vertical="top"/>
    </xf>
    <xf numFmtId="0" fontId="6" fillId="0" borderId="35" applyFill="0">
      <alignment vertical="center"/>
    </xf>
    <xf numFmtId="0" fontId="6" fillId="0" borderId="169" applyFill="0">
      <alignment vertical="center"/>
    </xf>
    <xf numFmtId="0" fontId="4" fillId="19" borderId="9">
      <alignment horizontal="right" vertical="center"/>
    </xf>
    <xf numFmtId="0" fontId="26" fillId="40" borderId="9">
      <alignment horizontal="right" vertical="center" wrapText="1"/>
    </xf>
    <xf numFmtId="0" fontId="2" fillId="0" borderId="0" applyFill="0" applyBorder="0">
      <alignment vertical="top" wrapText="1"/>
    </xf>
    <xf numFmtId="0" fontId="26" fillId="41" borderId="9">
      <alignment horizontal="right" vertical="center" wrapText="1"/>
    </xf>
    <xf numFmtId="0" fontId="2" fillId="0" borderId="9" applyFill="0">
      <alignment horizontal="right" vertical="center" wrapText="1" indent="1"/>
    </xf>
    <xf numFmtId="49" fontId="2" fillId="14" borderId="0" applyBorder="0"/>
    <xf numFmtId="0" fontId="2" fillId="30" borderId="0" applyBorder="0">
      <alignment horizontal="right" vertical="center"/>
    </xf>
    <xf numFmtId="0" fontId="14" fillId="0" borderId="5" applyFill="0">
      <alignment horizontal="left" vertical="center" indent="4"/>
    </xf>
    <xf numFmtId="0" fontId="14" fillId="0" borderId="5" applyFill="0">
      <alignment vertical="center" wrapText="1"/>
    </xf>
    <xf numFmtId="0" fontId="80" fillId="0" borderId="62" applyFill="0">
      <alignment vertical="center" wrapText="1"/>
    </xf>
    <xf numFmtId="49" fontId="40" fillId="11" borderId="170">
      <alignment horizontal="center" vertical="center" wrapText="1"/>
    </xf>
    <xf numFmtId="49" fontId="40" fillId="11" borderId="160">
      <alignment horizontal="center" vertical="center" wrapText="1"/>
    </xf>
    <xf numFmtId="0" fontId="40" fillId="11" borderId="8">
      <alignment horizontal="center" vertical="center" wrapText="1"/>
    </xf>
    <xf numFmtId="0" fontId="40" fillId="11" borderId="158">
      <alignment horizontal="center" vertical="center" wrapText="1"/>
    </xf>
    <xf numFmtId="0" fontId="40" fillId="11" borderId="158">
      <alignment horizontal="center" vertical="center" textRotation="90" wrapText="1"/>
    </xf>
    <xf numFmtId="49" fontId="40" fillId="11" borderId="171">
      <alignment horizontal="center" vertical="center" wrapText="1"/>
    </xf>
    <xf numFmtId="49" fontId="40" fillId="11" borderId="172">
      <alignment horizontal="center" vertical="center" wrapText="1"/>
    </xf>
    <xf numFmtId="0" fontId="40" fillId="11" borderId="173">
      <alignment horizontal="center" vertical="center" wrapText="1"/>
    </xf>
    <xf numFmtId="0" fontId="40" fillId="11" borderId="174">
      <alignment horizontal="center" vertical="center" wrapText="1"/>
    </xf>
    <xf numFmtId="0" fontId="40" fillId="11" borderId="9">
      <alignment horizontal="center" vertical="center" wrapText="1"/>
    </xf>
    <xf numFmtId="0" fontId="40" fillId="11" borderId="63">
      <alignment horizontal="center" vertical="center" wrapText="1"/>
    </xf>
    <xf numFmtId="0" fontId="40" fillId="11" borderId="47">
      <alignment horizontal="center" vertical="center" wrapText="1"/>
    </xf>
    <xf numFmtId="0" fontId="40" fillId="11" borderId="170">
      <alignment horizontal="center" vertical="center" wrapText="1"/>
    </xf>
    <xf numFmtId="0" fontId="40" fillId="11" borderId="20">
      <alignment horizontal="center" vertical="center" wrapText="1"/>
    </xf>
    <xf numFmtId="0" fontId="40" fillId="11" borderId="175">
      <alignment horizontal="center" vertical="center" wrapText="1"/>
    </xf>
    <xf numFmtId="0" fontId="40" fillId="11" borderId="176">
      <alignment horizontal="center" vertical="center" wrapText="1"/>
    </xf>
    <xf numFmtId="0" fontId="40" fillId="11" borderId="177">
      <alignment horizontal="center" vertical="center" wrapText="1"/>
    </xf>
    <xf numFmtId="0" fontId="40" fillId="11" borderId="178">
      <alignment horizontal="center" vertical="center" wrapText="1"/>
    </xf>
    <xf numFmtId="0" fontId="40" fillId="11" borderId="179">
      <alignment horizontal="center" vertical="center" wrapText="1"/>
    </xf>
    <xf numFmtId="49" fontId="40" fillId="11" borderId="59">
      <alignment horizontal="center" vertical="center" wrapText="1"/>
    </xf>
    <xf numFmtId="49" fontId="40" fillId="11" borderId="162">
      <alignment horizontal="center" vertical="center" wrapText="1"/>
    </xf>
    <xf numFmtId="0" fontId="40" fillId="11" borderId="13">
      <alignment horizontal="center" vertical="center" wrapText="1"/>
    </xf>
    <xf numFmtId="0" fontId="40" fillId="11" borderId="13">
      <alignment horizontal="center" vertical="center" textRotation="90" wrapText="1"/>
    </xf>
    <xf numFmtId="0" fontId="40" fillId="11" borderId="180">
      <alignment horizontal="center" vertical="center" wrapText="1"/>
    </xf>
    <xf numFmtId="0" fontId="40" fillId="11" borderId="181">
      <alignment horizontal="center" vertical="center" wrapText="1"/>
    </xf>
    <xf numFmtId="0" fontId="40" fillId="11" borderId="0" applyBorder="0">
      <alignment horizontal="center" vertical="center" wrapText="1"/>
    </xf>
    <xf numFmtId="0" fontId="40" fillId="11" borderId="62">
      <alignment horizontal="center" vertical="center" wrapText="1"/>
    </xf>
    <xf numFmtId="0" fontId="40" fillId="11" borderId="59">
      <alignment horizontal="center" vertical="center" wrapText="1"/>
    </xf>
    <xf numFmtId="0" fontId="40" fillId="11" borderId="61">
      <alignment horizontal="center" vertical="center" wrapText="1"/>
    </xf>
    <xf numFmtId="0" fontId="40" fillId="11" borderId="182">
      <alignment horizontal="center" vertical="center" wrapText="1"/>
    </xf>
    <xf numFmtId="49" fontId="40" fillId="11" borderId="165">
      <alignment horizontal="center" vertical="center" wrapText="1"/>
    </xf>
    <xf numFmtId="49" fontId="40" fillId="11" borderId="183">
      <alignment horizontal="center" vertical="center" wrapText="1"/>
    </xf>
    <xf numFmtId="0" fontId="40" fillId="11" borderId="15">
      <alignment horizontal="center" vertical="center" wrapText="1"/>
    </xf>
    <xf numFmtId="0" fontId="40" fillId="11" borderId="15">
      <alignment horizontal="center" vertical="center" textRotation="90" wrapText="1"/>
    </xf>
    <xf numFmtId="49" fontId="40" fillId="11" borderId="163">
      <alignment horizontal="center" vertical="center" wrapText="1"/>
    </xf>
    <xf numFmtId="49" fontId="40" fillId="11" borderId="184">
      <alignment horizontal="center" vertical="center" wrapText="1"/>
    </xf>
    <xf numFmtId="0" fontId="40" fillId="11" borderId="6">
      <alignment horizontal="center" vertical="center" wrapText="1"/>
    </xf>
    <xf numFmtId="0" fontId="40" fillId="11" borderId="165">
      <alignment horizontal="center" vertical="center" wrapText="1"/>
    </xf>
    <xf numFmtId="49" fontId="75" fillId="11" borderId="63">
      <alignment horizontal="center" vertical="center" wrapText="1"/>
    </xf>
    <xf numFmtId="0" fontId="75" fillId="11" borderId="63">
      <alignment horizontal="center" vertical="center" wrapText="1"/>
    </xf>
    <xf numFmtId="49" fontId="75" fillId="11" borderId="9">
      <alignment horizontal="center" vertical="center" wrapText="1"/>
    </xf>
    <xf numFmtId="49" fontId="75" fillId="11" borderId="7">
      <alignment horizontal="center" vertical="center" wrapText="1"/>
    </xf>
    <xf numFmtId="0" fontId="9" fillId="30" borderId="63">
      <alignment horizontal="center" vertical="center" wrapText="1"/>
    </xf>
    <xf numFmtId="2" fontId="2" fillId="30" borderId="20">
      <alignment vertical="center" wrapText="1"/>
    </xf>
    <xf numFmtId="0" fontId="9" fillId="30" borderId="20">
      <alignment horizontal="center" vertical="center" wrapText="1"/>
    </xf>
    <xf numFmtId="0" fontId="38" fillId="30" borderId="9">
      <alignment vertical="top"/>
    </xf>
    <xf numFmtId="0" fontId="38" fillId="30" borderId="8">
      <alignment vertical="top"/>
    </xf>
    <xf numFmtId="49" fontId="75" fillId="11" borderId="0" applyBorder="0">
      <alignment horizontal="center" vertical="center" wrapText="1"/>
    </xf>
    <xf numFmtId="0" fontId="26" fillId="11" borderId="13">
      <alignment horizontal="center" vertical="center" wrapText="1"/>
    </xf>
    <xf numFmtId="0" fontId="9" fillId="30" borderId="8">
      <alignment horizontal="center" vertical="center" wrapText="1"/>
    </xf>
    <xf numFmtId="0" fontId="36" fillId="30" borderId="8">
      <alignment horizontal="center" vertical="center" wrapText="1"/>
    </xf>
    <xf numFmtId="0" fontId="14" fillId="0" borderId="8" applyFill="0">
      <alignment horizontal="right" vertical="center" wrapText="1"/>
    </xf>
    <xf numFmtId="0" fontId="40" fillId="0" borderId="9" applyFill="0">
      <alignment horizontal="center" vertical="center" wrapText="1"/>
    </xf>
    <xf numFmtId="0" fontId="40" fillId="0" borderId="8" applyFill="0">
      <alignment horizontal="center" vertical="center" wrapText="1"/>
    </xf>
    <xf numFmtId="0" fontId="9" fillId="30" borderId="20">
      <alignment horizontal="right" vertical="center" wrapText="1"/>
    </xf>
    <xf numFmtId="4" fontId="2" fillId="30" borderId="20">
      <alignment vertical="center"/>
    </xf>
    <xf numFmtId="4" fontId="2" fillId="12" borderId="20">
      <alignment vertical="center"/>
    </xf>
    <xf numFmtId="0" fontId="30" fillId="0" borderId="9" applyFill="0">
      <alignment vertical="center" wrapText="1"/>
    </xf>
    <xf numFmtId="4" fontId="2" fillId="0" borderId="9" applyFill="0">
      <alignment vertical="center" wrapText="1"/>
    </xf>
    <xf numFmtId="0" fontId="9" fillId="30" borderId="13">
      <alignment horizontal="center" vertical="center" wrapText="1"/>
    </xf>
    <xf numFmtId="0" fontId="38" fillId="0" borderId="15" applyFill="0">
      <alignment horizontal="right" vertical="center" wrapText="1"/>
    </xf>
    <xf numFmtId="0" fontId="40" fillId="0" borderId="15" applyFill="0">
      <alignment horizontal="center" vertical="center" wrapText="1"/>
    </xf>
    <xf numFmtId="0" fontId="26" fillId="30" borderId="61">
      <alignment horizontal="center" vertical="center" wrapText="1"/>
    </xf>
    <xf numFmtId="2" fontId="2" fillId="30" borderId="63">
      <alignment vertical="center" wrapText="1"/>
    </xf>
    <xf numFmtId="0" fontId="9" fillId="30" borderId="15">
      <alignment horizontal="center" vertical="center" wrapText="1"/>
    </xf>
    <xf numFmtId="0" fontId="38" fillId="30" borderId="15">
      <alignment vertical="top"/>
    </xf>
    <xf numFmtId="0" fontId="26" fillId="0" borderId="63" applyFill="0">
      <alignment horizontal="center" vertical="center" wrapText="1"/>
    </xf>
    <xf numFmtId="0" fontId="2" fillId="11" borderId="63">
      <alignment vertical="center" wrapText="1"/>
    </xf>
    <xf numFmtId="0" fontId="2" fillId="11" borderId="63">
      <alignment vertical="center"/>
    </xf>
    <xf numFmtId="0" fontId="14" fillId="0" borderId="0" applyFill="0" applyBorder="0">
      <alignment vertical="top"/>
    </xf>
    <xf numFmtId="14" fontId="14" fillId="0" borderId="9" quotePrefix="1" applyFill="0">
      <alignment horizontal="center" vertical="center" wrapText="1"/>
    </xf>
    <xf numFmtId="0" fontId="40" fillId="0" borderId="9" applyFill="0">
      <alignment horizontal="center" vertical="center"/>
    </xf>
    <xf numFmtId="49" fontId="14" fillId="0" borderId="9" applyFill="0">
      <alignment horizontal="center" vertical="center"/>
    </xf>
    <xf numFmtId="0" fontId="14" fillId="0" borderId="9" applyFill="0">
      <alignment horizontal="center" vertical="center"/>
    </xf>
    <xf numFmtId="0" fontId="2" fillId="0" borderId="9" applyFill="0">
      <alignment vertical="center"/>
    </xf>
    <xf numFmtId="0" fontId="30" fillId="0" borderId="9" applyFill="0">
      <alignment vertical="center"/>
    </xf>
    <xf numFmtId="49" fontId="14" fillId="0" borderId="15" applyFill="0">
      <alignment vertical="top"/>
    </xf>
    <xf numFmtId="0" fontId="14" fillId="0" borderId="9" applyFill="0">
      <alignment vertical="center"/>
    </xf>
    <xf numFmtId="0" fontId="26" fillId="30" borderId="9">
      <alignment horizontal="left" vertical="center" indent="1"/>
    </xf>
    <xf numFmtId="0" fontId="2" fillId="0" borderId="5" applyFill="0">
      <alignment horizontal="left" vertical="center" indent="4"/>
    </xf>
    <xf numFmtId="0" fontId="2" fillId="0" borderId="5" applyFill="0">
      <alignment vertical="center" wrapText="1"/>
    </xf>
    <xf numFmtId="49" fontId="26" fillId="0" borderId="0" applyFill="0" applyBorder="0">
      <alignment horizontal="center" vertical="center" wrapText="1"/>
    </xf>
    <xf numFmtId="0" fontId="40" fillId="0" borderId="9" applyFill="0">
      <alignment horizontal="right" vertical="center" wrapText="1"/>
    </xf>
    <xf numFmtId="0" fontId="40" fillId="0" borderId="6" applyFill="0">
      <alignment horizontal="center" vertical="center" wrapText="1"/>
    </xf>
    <xf numFmtId="49" fontId="2" fillId="0" borderId="6" applyFill="0">
      <alignment horizontal="left" vertical="center" wrapText="1" indent="4"/>
    </xf>
    <xf numFmtId="0" fontId="40" fillId="0" borderId="8" applyFill="0">
      <alignment horizontal="right" vertical="center" wrapText="1"/>
    </xf>
    <xf numFmtId="0" fontId="40" fillId="0" borderId="20" applyFill="0">
      <alignment horizontal="center" vertical="center" wrapText="1"/>
    </xf>
    <xf numFmtId="4" fontId="2" fillId="12" borderId="8">
      <alignment vertical="center" wrapText="1"/>
    </xf>
    <xf numFmtId="0" fontId="2" fillId="12" borderId="47">
      <alignment horizontal="center" vertical="center" wrapText="1"/>
    </xf>
    <xf numFmtId="0" fontId="81" fillId="0" borderId="62" applyFill="0">
      <alignment vertical="center" wrapText="1"/>
    </xf>
    <xf numFmtId="0" fontId="40" fillId="11" borderId="160">
      <alignment horizontal="center" vertical="center" wrapText="1"/>
    </xf>
    <xf numFmtId="49" fontId="40" fillId="11" borderId="160">
      <alignment horizontal="center" vertical="center" textRotation="90" wrapText="1"/>
    </xf>
    <xf numFmtId="49" fontId="40" fillId="11" borderId="8">
      <alignment horizontal="center" vertical="center" wrapText="1"/>
    </xf>
    <xf numFmtId="49" fontId="40" fillId="11" borderId="20">
      <alignment horizontal="center" vertical="center" wrapText="1"/>
    </xf>
    <xf numFmtId="0" fontId="40" fillId="11" borderId="185">
      <alignment horizontal="center" vertical="center" wrapText="1"/>
    </xf>
    <xf numFmtId="0" fontId="40" fillId="11" borderId="8">
      <alignment horizontal="center" vertical="center" textRotation="90" wrapText="1"/>
    </xf>
    <xf numFmtId="0" fontId="40" fillId="11" borderId="186">
      <alignment horizontal="center" vertical="center" wrapText="1"/>
    </xf>
    <xf numFmtId="0" fontId="40" fillId="11" borderId="59">
      <alignment vertical="top"/>
    </xf>
    <xf numFmtId="0" fontId="40" fillId="11" borderId="162">
      <alignment vertical="top"/>
    </xf>
    <xf numFmtId="49" fontId="40" fillId="11" borderId="13">
      <alignment horizontal="center" vertical="center" textRotation="90" wrapText="1"/>
    </xf>
    <xf numFmtId="49" fontId="40" fillId="11" borderId="13">
      <alignment horizontal="center" vertical="center" wrapText="1"/>
    </xf>
    <xf numFmtId="49" fontId="40" fillId="11" borderId="61">
      <alignment horizontal="center" vertical="center" wrapText="1"/>
    </xf>
    <xf numFmtId="0" fontId="40" fillId="11" borderId="187">
      <alignment horizontal="center" vertical="center" wrapText="1"/>
    </xf>
    <xf numFmtId="0" fontId="40" fillId="11" borderId="188">
      <alignment horizontal="center" vertical="center" wrapText="1"/>
    </xf>
    <xf numFmtId="0" fontId="40" fillId="11" borderId="162">
      <alignment horizontal="center" vertical="center" wrapText="1"/>
    </xf>
    <xf numFmtId="0" fontId="40" fillId="11" borderId="189">
      <alignment horizontal="center" vertical="center" wrapText="1"/>
    </xf>
    <xf numFmtId="0" fontId="40" fillId="11" borderId="190">
      <alignment horizontal="center" vertical="center" wrapText="1"/>
    </xf>
    <xf numFmtId="0" fontId="40" fillId="11" borderId="191">
      <alignment horizontal="center" vertical="center" wrapText="1"/>
    </xf>
    <xf numFmtId="0" fontId="40" fillId="11" borderId="165">
      <alignment vertical="top"/>
    </xf>
    <xf numFmtId="0" fontId="40" fillId="11" borderId="183">
      <alignment vertical="top"/>
    </xf>
    <xf numFmtId="0" fontId="40" fillId="11" borderId="192">
      <alignment horizontal="center" vertical="center" wrapText="1"/>
    </xf>
    <xf numFmtId="0" fontId="40" fillId="11" borderId="183">
      <alignment horizontal="center" vertical="center" wrapText="1"/>
    </xf>
    <xf numFmtId="0" fontId="40" fillId="11" borderId="193">
      <alignment horizontal="center" vertical="center" wrapText="1"/>
    </xf>
    <xf numFmtId="0" fontId="40" fillId="11" borderId="16">
      <alignment horizontal="center" vertical="center" wrapText="1"/>
    </xf>
    <xf numFmtId="49" fontId="75" fillId="11" borderId="177">
      <alignment horizontal="center" vertical="center" wrapText="1"/>
    </xf>
    <xf numFmtId="49" fontId="75" fillId="11" borderId="178">
      <alignment horizontal="center" vertical="center" wrapText="1"/>
    </xf>
    <xf numFmtId="49" fontId="75" fillId="11" borderId="179">
      <alignment horizontal="center" vertical="center" wrapText="1"/>
    </xf>
    <xf numFmtId="49" fontId="75" fillId="11" borderId="182">
      <alignment horizontal="center" vertical="center" wrapText="1"/>
    </xf>
    <xf numFmtId="49" fontId="75" fillId="11" borderId="64">
      <alignment horizontal="center" vertical="center" wrapText="1"/>
    </xf>
    <xf numFmtId="0" fontId="75" fillId="11" borderId="64">
      <alignment horizontal="center" vertical="center" wrapText="1"/>
    </xf>
    <xf numFmtId="0" fontId="75" fillId="11" borderId="5">
      <alignment horizontal="center" vertical="center" wrapText="1"/>
    </xf>
    <xf numFmtId="49" fontId="75" fillId="11" borderId="5">
      <alignment horizontal="center" vertical="center" wrapText="1"/>
    </xf>
    <xf numFmtId="2" fontId="2" fillId="30" borderId="61">
      <alignment vertical="center"/>
    </xf>
    <xf numFmtId="0" fontId="36" fillId="30" borderId="13">
      <alignment horizontal="center" vertical="center" wrapText="1"/>
    </xf>
    <xf numFmtId="0" fontId="26" fillId="30" borderId="13">
      <alignment horizontal="center" vertical="center" wrapText="1"/>
    </xf>
    <xf numFmtId="0" fontId="9" fillId="30" borderId="61">
      <alignment horizontal="center" vertical="center" wrapText="1"/>
    </xf>
    <xf numFmtId="0" fontId="14" fillId="0" borderId="13" applyFill="0">
      <alignment horizontal="right" vertical="center" wrapText="1"/>
    </xf>
    <xf numFmtId="0" fontId="40" fillId="0" borderId="13" applyFill="0">
      <alignment horizontal="center" vertical="center" wrapText="1"/>
    </xf>
    <xf numFmtId="0" fontId="2" fillId="0" borderId="9" applyFill="0">
      <alignment vertical="center" wrapText="1"/>
    </xf>
    <xf numFmtId="4" fontId="38" fillId="30" borderId="15">
      <alignment vertical="top"/>
    </xf>
    <xf numFmtId="2" fontId="2" fillId="30" borderId="20">
      <alignment vertical="center"/>
    </xf>
    <xf numFmtId="4" fontId="2" fillId="11" borderId="63">
      <alignment vertical="center"/>
    </xf>
    <xf numFmtId="4" fontId="2" fillId="13" borderId="9">
      <alignment vertical="center"/>
      <protection locked="0"/>
    </xf>
    <xf numFmtId="4" fontId="9" fillId="14" borderId="9">
      <alignment vertical="center"/>
    </xf>
    <xf numFmtId="4" fontId="9" fillId="12" borderId="9">
      <alignment vertical="center"/>
    </xf>
    <xf numFmtId="49" fontId="2" fillId="13" borderId="9">
      <alignment vertical="center" wrapText="1"/>
      <protection locked="0"/>
    </xf>
    <xf numFmtId="0" fontId="2" fillId="2" borderId="9">
      <alignment vertical="center"/>
    </xf>
    <xf numFmtId="4" fontId="2" fillId="0" borderId="9" applyFill="0">
      <alignment vertical="center"/>
    </xf>
    <xf numFmtId="0" fontId="14" fillId="11" borderId="5">
      <alignment horizontal="left" vertical="center" indent="4"/>
    </xf>
    <xf numFmtId="0" fontId="14" fillId="11" borderId="5">
      <alignment vertical="center"/>
    </xf>
    <xf numFmtId="0" fontId="26" fillId="30" borderId="9">
      <alignment horizontal="center" vertical="center" wrapText="1"/>
    </xf>
    <xf numFmtId="49" fontId="2" fillId="0" borderId="5" applyFill="0">
      <alignment horizontal="center" vertical="center" wrapText="1"/>
    </xf>
    <xf numFmtId="49" fontId="2" fillId="0" borderId="7" applyFill="0">
      <alignment horizontal="center" vertical="center" wrapText="1"/>
    </xf>
    <xf numFmtId="0" fontId="2" fillId="30" borderId="8">
      <alignment horizontal="center" vertical="center" wrapText="1"/>
    </xf>
    <xf numFmtId="49" fontId="2" fillId="0" borderId="13" applyFill="0">
      <alignment vertical="top"/>
    </xf>
    <xf numFmtId="0" fontId="14" fillId="0" borderId="16" applyFill="0">
      <alignment horizontal="center" vertical="center" wrapText="1"/>
    </xf>
    <xf numFmtId="0" fontId="38" fillId="0" borderId="48" applyFill="0">
      <alignment horizontal="center" vertical="center" wrapText="1"/>
    </xf>
    <xf numFmtId="0" fontId="2" fillId="30" borderId="13">
      <alignment horizontal="center" vertical="center" wrapText="1"/>
    </xf>
    <xf numFmtId="49" fontId="2" fillId="0" borderId="15" applyFill="0">
      <alignment vertical="top"/>
    </xf>
    <xf numFmtId="0" fontId="14" fillId="0" borderId="9" applyFill="0">
      <alignment horizontal="center" vertical="center" wrapText="1"/>
    </xf>
    <xf numFmtId="0" fontId="38" fillId="0" borderId="9" applyFill="0">
      <alignment horizontal="center" vertical="center" wrapText="1"/>
    </xf>
    <xf numFmtId="49" fontId="26" fillId="0" borderId="61" applyFill="0">
      <alignment horizontal="center" vertical="center" wrapText="1"/>
    </xf>
    <xf numFmtId="49" fontId="2" fillId="0" borderId="63" applyFill="0">
      <alignment horizontal="center" vertical="center" wrapText="1"/>
    </xf>
    <xf numFmtId="49" fontId="2" fillId="30" borderId="63">
      <alignment horizontal="center" vertical="center" wrapText="1"/>
    </xf>
    <xf numFmtId="49" fontId="2" fillId="0" borderId="47" applyFill="0">
      <alignment horizontal="center" vertical="center" wrapText="1"/>
    </xf>
    <xf numFmtId="0" fontId="2" fillId="12" borderId="194">
      <alignment horizontal="center" vertical="center" wrapText="1"/>
    </xf>
    <xf numFmtId="0" fontId="2" fillId="12" borderId="158">
      <alignment horizontal="left" vertical="center" wrapText="1"/>
    </xf>
    <xf numFmtId="49" fontId="2" fillId="30" borderId="55">
      <alignment horizontal="center" vertical="center" wrapText="1"/>
    </xf>
    <xf numFmtId="49" fontId="2" fillId="0" borderId="158" applyFill="0">
      <alignment horizontal="center" vertical="center" wrapText="1"/>
    </xf>
    <xf numFmtId="49" fontId="37" fillId="23" borderId="159">
      <alignment horizontal="left" vertical="center" indent="1"/>
    </xf>
    <xf numFmtId="49" fontId="26" fillId="23" borderId="69">
      <alignment horizontal="left" vertical="center" indent="1"/>
    </xf>
    <xf numFmtId="49" fontId="11" fillId="23" borderId="69">
      <alignment horizontal="left" vertical="center" indent="1"/>
    </xf>
    <xf numFmtId="4" fontId="11" fillId="12" borderId="68">
      <alignment horizontal="right" vertical="center" wrapText="1"/>
    </xf>
    <xf numFmtId="49" fontId="11" fillId="23" borderId="54">
      <alignment horizontal="left" vertical="center" indent="1"/>
    </xf>
    <xf numFmtId="0" fontId="2" fillId="12" borderId="132">
      <alignment horizontal="center" vertical="center" wrapText="1"/>
    </xf>
    <xf numFmtId="49" fontId="37" fillId="23" borderId="61">
      <alignment horizontal="left" vertical="center" indent="1"/>
    </xf>
    <xf numFmtId="49" fontId="11" fillId="23" borderId="0" applyBorder="0">
      <alignment horizontal="left" vertical="center" indent="1"/>
    </xf>
    <xf numFmtId="4" fontId="11" fillId="12" borderId="0" applyBorder="0">
      <alignment horizontal="right" vertical="center" wrapText="1"/>
    </xf>
    <xf numFmtId="49" fontId="11" fillId="23" borderId="78">
      <alignment horizontal="left" vertical="center" indent="1"/>
    </xf>
    <xf numFmtId="0" fontId="2" fillId="12" borderId="195">
      <alignment horizontal="center" vertical="center" wrapText="1"/>
    </xf>
    <xf numFmtId="0" fontId="2" fillId="12" borderId="92">
      <alignment horizontal="center" vertical="center" wrapText="1"/>
    </xf>
    <xf numFmtId="0" fontId="2" fillId="12" borderId="65">
      <alignment horizontal="left" vertical="center" wrapText="1"/>
    </xf>
    <xf numFmtId="0" fontId="2" fillId="0" borderId="65" applyFill="0">
      <alignment horizontal="center" vertical="center" wrapText="1"/>
    </xf>
    <xf numFmtId="49" fontId="37" fillId="23" borderId="93">
      <alignment horizontal="left" vertical="center" indent="1"/>
    </xf>
    <xf numFmtId="49" fontId="11" fillId="23" borderId="33">
      <alignment horizontal="left" vertical="center" indent="1"/>
    </xf>
    <xf numFmtId="49" fontId="11" fillId="23" borderId="94">
      <alignment horizontal="left" vertical="center" indent="1"/>
    </xf>
    <xf numFmtId="49" fontId="2" fillId="0" borderId="0" applyFill="0" applyBorder="0">
      <alignment vertical="center" wrapText="1"/>
    </xf>
    <xf numFmtId="49" fontId="11" fillId="0" borderId="0" applyFill="0" applyBorder="0"/>
    <xf numFmtId="0" fontId="11" fillId="0" borderId="0" quotePrefix="1" applyFill="0" applyBorder="0">
      <alignment horizontal="left" vertical="center" wrapText="1" indent="1"/>
    </xf>
    <xf numFmtId="0" fontId="23" fillId="26" borderId="0" applyBorder="0">
      <alignment horizontal="center" vertical="center"/>
    </xf>
    <xf numFmtId="0" fontId="24" fillId="58" borderId="4">
      <alignment horizontal="center" vertical="center" wrapText="1"/>
    </xf>
    <xf numFmtId="0" fontId="6" fillId="4" borderId="4">
      <alignment horizontal="center" vertical="center"/>
    </xf>
    <xf numFmtId="0" fontId="7" fillId="0" borderId="19" applyFill="0">
      <alignment vertical="center" wrapText="1"/>
    </xf>
    <xf numFmtId="0" fontId="26" fillId="0" borderId="19" applyFill="0">
      <alignment vertical="center" wrapText="1"/>
    </xf>
    <xf numFmtId="49" fontId="2" fillId="0" borderId="19" applyFill="0">
      <alignment vertical="top"/>
    </xf>
    <xf numFmtId="171" fontId="9" fillId="0" borderId="20" applyFill="0">
      <alignment horizontal="center" vertical="center" wrapText="1"/>
    </xf>
    <xf numFmtId="171" fontId="9" fillId="0" borderId="63" applyFill="0">
      <alignment horizontal="center" vertical="center" wrapText="1"/>
    </xf>
    <xf numFmtId="171" fontId="9" fillId="0" borderId="47" applyFill="0">
      <alignment horizontal="center" vertical="center" wrapText="1"/>
    </xf>
    <xf numFmtId="0" fontId="26" fillId="0" borderId="63" applyFill="0">
      <alignment horizontal="center" vertical="center"/>
    </xf>
    <xf numFmtId="0" fontId="2" fillId="11" borderId="53">
      <alignment horizontal="center" vertical="center" wrapText="1"/>
    </xf>
    <xf numFmtId="0" fontId="2" fillId="11" borderId="69">
      <alignment horizontal="center" vertical="center" wrapText="1"/>
    </xf>
    <xf numFmtId="0" fontId="2" fillId="11" borderId="54">
      <alignment horizontal="center" vertical="center" wrapText="1"/>
    </xf>
    <xf numFmtId="171" fontId="9" fillId="0" borderId="16" applyFill="0">
      <alignment horizontal="center" vertical="center" wrapText="1"/>
    </xf>
    <xf numFmtId="171" fontId="9" fillId="0" borderId="64" applyFill="0">
      <alignment horizontal="center" vertical="center" wrapText="1"/>
    </xf>
    <xf numFmtId="171" fontId="9" fillId="0" borderId="48" applyFill="0">
      <alignment horizontal="center" vertical="center" wrapText="1"/>
    </xf>
    <xf numFmtId="0" fontId="2" fillId="12" borderId="196">
      <alignment horizontal="center" vertical="center" wrapText="1"/>
    </xf>
    <xf numFmtId="0" fontId="2" fillId="12" borderId="197">
      <alignment horizontal="center" vertical="center" wrapText="1"/>
    </xf>
    <xf numFmtId="0" fontId="77" fillId="0" borderId="7" applyFill="0">
      <alignment vertical="center" textRotation="90" wrapText="1"/>
    </xf>
    <xf numFmtId="0" fontId="77" fillId="0" borderId="9" applyFill="0">
      <alignment vertical="center" textRotation="90" wrapText="1"/>
    </xf>
    <xf numFmtId="0" fontId="26" fillId="0" borderId="9" applyFill="0">
      <alignment horizontal="center" vertical="center"/>
    </xf>
    <xf numFmtId="4" fontId="26" fillId="0" borderId="9" applyFill="0">
      <alignment horizontal="center" vertical="center"/>
    </xf>
    <xf numFmtId="4" fontId="2" fillId="0" borderId="7" applyFill="0">
      <alignment horizontal="right" vertical="center"/>
    </xf>
    <xf numFmtId="4" fontId="2" fillId="0" borderId="13" applyFill="0">
      <alignment horizontal="right" vertical="center"/>
    </xf>
    <xf numFmtId="0" fontId="2" fillId="30" borderId="131">
      <alignment vertical="center"/>
    </xf>
    <xf numFmtId="0" fontId="2" fillId="30" borderId="198">
      <alignment vertical="center"/>
    </xf>
    <xf numFmtId="4" fontId="2" fillId="14" borderId="6">
      <alignment horizontal="right" vertical="center"/>
    </xf>
    <xf numFmtId="4" fontId="2" fillId="12" borderId="131">
      <alignment horizontal="right" vertical="center"/>
    </xf>
    <xf numFmtId="4" fontId="2" fillId="12" borderId="198">
      <alignment horizontal="right" vertical="center"/>
    </xf>
    <xf numFmtId="4" fontId="2" fillId="13" borderId="6">
      <alignment horizontal="right" vertical="center"/>
      <protection locked="0"/>
    </xf>
    <xf numFmtId="4" fontId="2" fillId="0" borderId="7" applyFill="0">
      <alignment vertical="center"/>
    </xf>
    <xf numFmtId="0" fontId="2" fillId="30" borderId="6">
      <alignment vertical="center"/>
    </xf>
    <xf numFmtId="0" fontId="2" fillId="0" borderId="13" applyFill="0">
      <alignment vertical="center"/>
    </xf>
    <xf numFmtId="4" fontId="2" fillId="13" borderId="198">
      <alignment horizontal="right" vertical="center"/>
      <protection locked="0"/>
    </xf>
    <xf numFmtId="4" fontId="2" fillId="13" borderId="131">
      <alignment horizontal="right" vertical="center"/>
      <protection locked="0"/>
    </xf>
    <xf numFmtId="4" fontId="2" fillId="12" borderId="197">
      <alignment horizontal="right" vertical="center"/>
    </xf>
    <xf numFmtId="4" fontId="2" fillId="0" borderId="7" applyFill="0">
      <alignment vertical="center" wrapText="1"/>
    </xf>
    <xf numFmtId="0" fontId="2" fillId="30" borderId="7">
      <alignment vertical="center" wrapText="1"/>
    </xf>
    <xf numFmtId="4" fontId="2" fillId="0" borderId="47" applyFill="0">
      <alignment vertical="center"/>
    </xf>
    <xf numFmtId="4" fontId="2" fillId="0" borderId="8" applyFill="0">
      <alignment vertical="center"/>
    </xf>
    <xf numFmtId="4" fontId="26" fillId="0" borderId="6" applyFill="0">
      <alignment horizontal="center" vertical="center"/>
    </xf>
    <xf numFmtId="4" fontId="11" fillId="0" borderId="19" applyFill="0">
      <alignment horizontal="right" vertical="center"/>
    </xf>
    <xf numFmtId="4" fontId="2" fillId="0" borderId="48" applyFill="0">
      <alignment vertical="center"/>
    </xf>
    <xf numFmtId="4" fontId="2" fillId="0" borderId="15" applyFill="0">
      <alignment vertical="center"/>
    </xf>
    <xf numFmtId="49" fontId="2" fillId="30" borderId="5">
      <alignment horizontal="left" vertical="center" wrapText="1" indent="4"/>
    </xf>
    <xf numFmtId="4" fontId="11" fillId="12" borderId="199">
      <alignment horizontal="right" vertical="center"/>
    </xf>
    <xf numFmtId="4" fontId="11" fillId="12" borderId="200">
      <alignment horizontal="right" vertical="center"/>
    </xf>
    <xf numFmtId="4" fontId="11" fillId="0" borderId="13" applyFill="0">
      <alignment horizontal="right" vertical="center"/>
    </xf>
    <xf numFmtId="4" fontId="11" fillId="12" borderId="201">
      <alignment horizontal="right" vertical="center"/>
    </xf>
    <xf numFmtId="4" fontId="11" fillId="12" borderId="202">
      <alignment horizontal="right" vertical="center"/>
    </xf>
    <xf numFmtId="4" fontId="2" fillId="30" borderId="6">
      <alignment horizontal="right" vertical="center"/>
    </xf>
    <xf numFmtId="4" fontId="2" fillId="0" borderId="13" applyFill="0">
      <alignment vertical="top"/>
    </xf>
    <xf numFmtId="4" fontId="2" fillId="0" borderId="7" applyFill="0">
      <alignment vertical="top"/>
    </xf>
    <xf numFmtId="4" fontId="2" fillId="30" borderId="6">
      <alignment vertical="top"/>
    </xf>
    <xf numFmtId="4" fontId="2" fillId="0" borderId="7" quotePrefix="1" applyFill="0">
      <alignment horizontal="right" vertical="center"/>
    </xf>
    <xf numFmtId="4" fontId="2" fillId="30" borderId="131">
      <alignment horizontal="right" vertical="center"/>
    </xf>
    <xf numFmtId="4" fontId="2" fillId="30" borderId="198">
      <alignment horizontal="right" vertical="center"/>
    </xf>
    <xf numFmtId="0" fontId="2" fillId="30" borderId="6">
      <alignment vertical="center" wrapText="1"/>
    </xf>
    <xf numFmtId="0" fontId="2" fillId="0" borderId="13" applyFill="0">
      <alignment vertical="center" wrapText="1"/>
    </xf>
    <xf numFmtId="0" fontId="2" fillId="30" borderId="203">
      <alignment vertical="center"/>
    </xf>
    <xf numFmtId="0" fontId="2" fillId="30" borderId="65">
      <alignment vertical="center"/>
    </xf>
    <xf numFmtId="0" fontId="2" fillId="30" borderId="204">
      <alignment vertical="center"/>
    </xf>
    <xf numFmtId="4" fontId="2" fillId="0" borderId="48" applyFill="0">
      <alignment horizontal="right" vertical="center"/>
    </xf>
    <xf numFmtId="4" fontId="2" fillId="0" borderId="15" quotePrefix="1" applyFill="0">
      <alignment horizontal="right" vertical="center"/>
    </xf>
    <xf numFmtId="4" fontId="2" fillId="12" borderId="5" quotePrefix="1">
      <alignment horizontal="right" vertical="center"/>
    </xf>
    <xf numFmtId="4" fontId="2" fillId="0" borderId="13" quotePrefix="1" applyFill="0">
      <alignment horizontal="right" vertical="center"/>
    </xf>
    <xf numFmtId="4" fontId="2" fillId="0" borderId="9" quotePrefix="1" applyFill="0">
      <alignment horizontal="right" vertical="center"/>
    </xf>
    <xf numFmtId="4" fontId="9" fillId="0" borderId="9" applyFill="0">
      <alignment horizontal="right" vertical="center"/>
    </xf>
    <xf numFmtId="4" fontId="2" fillId="12" borderId="6" quotePrefix="1">
      <alignment horizontal="right" vertical="center"/>
    </xf>
    <xf numFmtId="4" fontId="78" fillId="0" borderId="9" applyFill="0">
      <alignment horizontal="right" vertical="center"/>
    </xf>
    <xf numFmtId="4" fontId="9" fillId="14" borderId="6">
      <alignment horizontal="right" vertical="center"/>
    </xf>
    <xf numFmtId="4" fontId="9" fillId="0" borderId="13" applyFill="0">
      <alignment horizontal="right" vertical="center"/>
    </xf>
    <xf numFmtId="4" fontId="30" fillId="0" borderId="7" applyFill="0">
      <alignment horizontal="right" vertical="center"/>
    </xf>
    <xf numFmtId="4" fontId="30" fillId="0" borderId="9" applyFill="0">
      <alignment horizontal="right" vertical="center"/>
    </xf>
    <xf numFmtId="4" fontId="6" fillId="0" borderId="9" applyFill="0">
      <alignment horizontal="right" vertical="center"/>
    </xf>
    <xf numFmtId="4" fontId="2" fillId="30" borderId="6">
      <alignment vertical="center"/>
    </xf>
    <xf numFmtId="4" fontId="2" fillId="0" borderId="13" applyFill="0">
      <alignment vertical="center"/>
    </xf>
    <xf numFmtId="4" fontId="78" fillId="14" borderId="6">
      <alignment horizontal="right" vertical="center"/>
    </xf>
    <xf numFmtId="4" fontId="78" fillId="0" borderId="13" applyFill="0">
      <alignment horizontal="right" vertical="center"/>
    </xf>
    <xf numFmtId="4" fontId="30" fillId="12" borderId="6">
      <alignment horizontal="right" vertical="center"/>
    </xf>
    <xf numFmtId="4" fontId="30" fillId="0" borderId="13" applyFill="0">
      <alignment horizontal="right" vertical="center"/>
    </xf>
    <xf numFmtId="4" fontId="6" fillId="12" borderId="6">
      <alignment horizontal="right" vertical="center"/>
    </xf>
    <xf numFmtId="4" fontId="6" fillId="0" borderId="13" applyFill="0">
      <alignment horizontal="right" vertical="center"/>
    </xf>
    <xf numFmtId="4" fontId="2" fillId="30" borderId="5">
      <alignment horizontal="right" vertical="center"/>
    </xf>
    <xf numFmtId="0" fontId="50" fillId="49" borderId="0" applyBorder="0">
      <alignment vertical="center"/>
    </xf>
    <xf numFmtId="0" fontId="2" fillId="13" borderId="19">
      <alignment horizontal="center"/>
    </xf>
    <xf numFmtId="0" fontId="2" fillId="13" borderId="19">
      <alignment horizontal="center"/>
      <protection locked="0"/>
    </xf>
    <xf numFmtId="0" fontId="2" fillId="13" borderId="79">
      <alignment horizontal="center"/>
      <protection locked="0"/>
    </xf>
    <xf numFmtId="0" fontId="50" fillId="49" borderId="0" applyBorder="0">
      <alignment horizontal="center" vertical="center"/>
    </xf>
    <xf numFmtId="0" fontId="2" fillId="22" borderId="19"/>
    <xf numFmtId="0" fontId="50" fillId="49" borderId="0" applyBorder="0"/>
    <xf numFmtId="0" fontId="2" fillId="49" borderId="0" applyBorder="0">
      <alignment horizontal="center"/>
    </xf>
    <xf numFmtId="0" fontId="2" fillId="13" borderId="0" applyBorder="0">
      <alignment horizontal="center"/>
      <protection locked="0"/>
    </xf>
    <xf numFmtId="0" fontId="2" fillId="13" borderId="0" applyBorder="0">
      <alignment horizontal="center" wrapText="1"/>
      <protection locked="0"/>
    </xf>
    <xf numFmtId="0" fontId="82" fillId="0" borderId="19" applyFill="0">
      <alignment horizontal="left" vertical="center" wrapText="1"/>
    </xf>
    <xf numFmtId="0" fontId="50" fillId="49" borderId="0" applyBorder="0">
      <alignment horizontal="center" vertical="center" wrapText="1"/>
    </xf>
    <xf numFmtId="0" fontId="83" fillId="0" borderId="0" applyFill="0" applyBorder="0"/>
    <xf numFmtId="0" fontId="23" fillId="33" borderId="0" applyBorder="0">
      <alignment horizontal="center"/>
    </xf>
    <xf numFmtId="0" fontId="6" fillId="7" borderId="23">
      <alignment horizontal="center" vertical="center"/>
    </xf>
    <xf numFmtId="0" fontId="6" fillId="0" borderId="23" applyFill="0">
      <alignment horizontal="left" vertical="center"/>
    </xf>
    <xf numFmtId="0" fontId="44" fillId="0" borderId="0" applyFill="0" applyBorder="0"/>
    <xf numFmtId="0" fontId="53" fillId="0" borderId="0" applyFill="0" applyBorder="0"/>
    <xf numFmtId="0" fontId="2" fillId="0" borderId="9" applyFill="0">
      <alignment vertical="top"/>
    </xf>
    <xf numFmtId="0" fontId="2" fillId="12" borderId="9"/>
    <xf numFmtId="0" fontId="2" fillId="20" borderId="9">
      <protection locked="0"/>
    </xf>
    <xf numFmtId="0" fontId="31" fillId="34" borderId="23">
      <alignment horizontal="center" vertical="center"/>
    </xf>
    <xf numFmtId="0" fontId="31" fillId="34" borderId="23">
      <alignment horizontal="center" vertical="center" wrapText="1"/>
    </xf>
    <xf numFmtId="0" fontId="31" fillId="34" borderId="19">
      <alignment horizontal="center" vertical="center"/>
    </xf>
    <xf numFmtId="0" fontId="2" fillId="19" borderId="19">
      <alignment wrapText="1"/>
    </xf>
    <xf numFmtId="0" fontId="6" fillId="0" borderId="19" applyFill="0"/>
    <xf numFmtId="0" fontId="2" fillId="6" borderId="3">
      <alignment horizontal="center" vertical="center"/>
    </xf>
    <xf numFmtId="0" fontId="2" fillId="19" borderId="3">
      <alignment horizontal="center" vertical="center"/>
    </xf>
    <xf numFmtId="0" fontId="84" fillId="0" borderId="19" applyFill="0"/>
    <xf numFmtId="49" fontId="17" fillId="0" borderId="0" applyFill="0" applyBorder="0">
      <alignment vertical="center" wrapText="1"/>
    </xf>
    <xf numFmtId="0" fontId="85" fillId="17" borderId="0" applyBorder="0">
      <alignment vertical="top"/>
    </xf>
    <xf numFmtId="3" fontId="2" fillId="17" borderId="9">
      <alignment horizontal="center" vertical="center"/>
    </xf>
    <xf numFmtId="4" fontId="2" fillId="17" borderId="9">
      <alignment horizontal="left" vertical="center"/>
    </xf>
  </cellStyleXfs>
  <cellXfs count="388">
    <xf numFmtId="0" fontId="0" fillId="0" borderId="0" xfId="0"/>
    <xf numFmtId="0" fontId="1" fillId="0" borderId="0" xfId="1" applyFont="1">
      <alignment vertical="top"/>
    </xf>
    <xf numFmtId="0" fontId="2" fillId="0" borderId="0" xfId="2" applyFont="1">
      <alignment horizontal="left" vertical="top"/>
    </xf>
    <xf numFmtId="0" fontId="3" fillId="0" borderId="0" xfId="3" applyFont="1">
      <alignment horizontal="left" vertical="top"/>
    </xf>
    <xf numFmtId="0" fontId="2" fillId="10" borderId="0" xfId="4" applyFont="1" applyFill="1">
      <alignment horizontal="left" vertical="top"/>
    </xf>
    <xf numFmtId="0" fontId="2" fillId="0" borderId="0" xfId="5" applyFont="1">
      <alignment horizontal="right" vertical="top"/>
    </xf>
    <xf numFmtId="0" fontId="4" fillId="0" borderId="0" xfId="6" applyFont="1">
      <alignment horizontal="left" vertical="top"/>
    </xf>
    <xf numFmtId="0" fontId="5" fillId="0" borderId="0" xfId="1" applyFont="1">
      <alignment vertical="top"/>
    </xf>
    <xf numFmtId="0" fontId="6" fillId="0" borderId="0" xfId="7" applyFont="1">
      <alignment vertical="top"/>
    </xf>
    <xf numFmtId="49" fontId="2" fillId="0" borderId="0" xfId="8" applyNumberFormat="1" applyFont="1">
      <alignment horizontal="left" vertical="top"/>
    </xf>
    <xf numFmtId="0" fontId="2" fillId="11" borderId="0" xfId="9" applyFont="1" applyFill="1">
      <alignment horizontal="left" vertical="top"/>
    </xf>
    <xf numFmtId="0" fontId="1" fillId="0" borderId="0" xfId="1" applyFont="1">
      <alignment vertical="top"/>
    </xf>
    <xf numFmtId="0" fontId="5" fillId="0" borderId="0" xfId="1" applyFont="1">
      <alignment vertical="top"/>
    </xf>
    <xf numFmtId="49" fontId="2" fillId="11" borderId="0" xfId="10" applyNumberFormat="1" applyFont="1" applyFill="1">
      <alignment horizontal="left" vertical="top"/>
    </xf>
    <xf numFmtId="4" fontId="2" fillId="0" borderId="0" xfId="11" applyNumberFormat="1" applyFont="1">
      <alignment horizontal="left" vertical="top"/>
    </xf>
    <xf numFmtId="0" fontId="5" fillId="11" borderId="0" xfId="1" applyFont="1" applyFill="1">
      <alignment vertical="top"/>
    </xf>
    <xf numFmtId="0" fontId="2" fillId="0" borderId="1" xfId="12" applyFont="1" applyBorder="1"/>
    <xf numFmtId="0" fontId="2" fillId="11" borderId="0" xfId="14" applyFont="1" applyFill="1">
      <alignment horizontal="center" vertical="center"/>
    </xf>
    <xf numFmtId="49" fontId="2" fillId="11" borderId="0" xfId="15" applyNumberFormat="1" applyFont="1" applyFill="1">
      <alignment horizontal="center" vertical="center"/>
    </xf>
    <xf numFmtId="0" fontId="2" fillId="13" borderId="0" xfId="20" applyFont="1" applyFill="1">
      <alignment horizontal="center" vertical="center"/>
    </xf>
    <xf numFmtId="0" fontId="2" fillId="0" borderId="5" xfId="22" applyFont="1" applyBorder="1">
      <alignment horizontal="center" vertical="center" wrapText="1"/>
    </xf>
    <xf numFmtId="0" fontId="2" fillId="0" borderId="6" xfId="23" applyFont="1" applyBorder="1">
      <alignment horizontal="center" vertical="center" wrapText="1"/>
    </xf>
    <xf numFmtId="0" fontId="2" fillId="0" borderId="6" xfId="23" applyFont="1" applyBorder="1">
      <alignment horizontal="center" vertical="center" wrapText="1"/>
    </xf>
    <xf numFmtId="0" fontId="2" fillId="14" borderId="8" xfId="28" applyFont="1" applyFill="1" applyBorder="1">
      <alignment horizontal="center" vertical="center" wrapText="1"/>
    </xf>
    <xf numFmtId="0" fontId="2" fillId="0" borderId="5" xfId="22" applyFont="1" applyBorder="1" applyAlignment="1">
      <alignment vertical="center" wrapText="1"/>
    </xf>
    <xf numFmtId="0" fontId="2" fillId="0" borderId="6" xfId="23" applyFont="1" applyBorder="1" applyAlignment="1">
      <alignment vertical="center" wrapText="1"/>
    </xf>
    <xf numFmtId="0" fontId="2" fillId="14" borderId="9" xfId="30" applyFont="1" applyFill="1" applyBorder="1">
      <alignment horizontal="center" vertical="center" wrapText="1"/>
    </xf>
    <xf numFmtId="0" fontId="2" fillId="0" borderId="10" xfId="31" applyFont="1" applyBorder="1" applyAlignment="1">
      <alignment vertical="center" wrapText="1"/>
    </xf>
    <xf numFmtId="0" fontId="2" fillId="0" borderId="11" xfId="32" applyFont="1" applyBorder="1">
      <alignment horizontal="center" vertical="center" wrapText="1"/>
    </xf>
    <xf numFmtId="0" fontId="2" fillId="0" borderId="11" xfId="32" applyFont="1" applyBorder="1">
      <alignment horizontal="center" vertical="center" wrapText="1"/>
    </xf>
    <xf numFmtId="0" fontId="2" fillId="14" borderId="13" xfId="37" applyFont="1" applyFill="1" applyBorder="1">
      <alignment horizontal="center" vertical="center" wrapText="1"/>
    </xf>
    <xf numFmtId="49" fontId="2" fillId="0" borderId="4" xfId="39" applyNumberFormat="1" applyFont="1" applyBorder="1">
      <alignment horizontal="center" vertical="center" wrapText="1"/>
    </xf>
    <xf numFmtId="49" fontId="2" fillId="11" borderId="4" xfId="39" applyNumberFormat="1" applyFont="1" applyFill="1" applyBorder="1">
      <alignment horizontal="center" vertical="center" wrapText="1"/>
    </xf>
    <xf numFmtId="0" fontId="2" fillId="14" borderId="4" xfId="29" applyFont="1" applyFill="1" applyBorder="1">
      <alignment horizontal="center" vertical="center" wrapText="1"/>
    </xf>
    <xf numFmtId="0" fontId="2" fillId="11" borderId="4" xfId="29" applyFont="1" applyFill="1" applyBorder="1">
      <alignment horizontal="center" vertical="center" wrapText="1"/>
    </xf>
    <xf numFmtId="0" fontId="2" fillId="0" borderId="15" xfId="40" applyFont="1" applyBorder="1">
      <alignment horizontal="center" vertical="center" wrapText="1"/>
    </xf>
    <xf numFmtId="49" fontId="2" fillId="0" borderId="16" xfId="41" applyNumberFormat="1" applyFont="1" applyBorder="1">
      <alignment horizontal="center" vertical="center" wrapText="1"/>
    </xf>
    <xf numFmtId="0" fontId="2" fillId="12" borderId="15" xfId="42" applyFont="1" applyFill="1" applyBorder="1">
      <alignment horizontal="right" vertical="center" wrapText="1"/>
    </xf>
    <xf numFmtId="4" fontId="2" fillId="13" borderId="17" xfId="43" applyNumberFormat="1" applyFont="1" applyFill="1" applyBorder="1" applyProtection="1">
      <alignment horizontal="center" vertical="center"/>
    </xf>
    <xf numFmtId="0" fontId="2" fillId="13" borderId="18" xfId="44" applyFont="1" applyFill="1" applyBorder="1" applyProtection="1">
      <alignment horizontal="right" vertical="center" wrapText="1"/>
    </xf>
    <xf numFmtId="0" fontId="2" fillId="0" borderId="9" xfId="45" applyFont="1" applyBorder="1">
      <alignment horizontal="center" vertical="center" wrapText="1"/>
    </xf>
    <xf numFmtId="49" fontId="2" fillId="0" borderId="6" xfId="46" applyNumberFormat="1" applyFont="1" applyBorder="1">
      <alignment horizontal="center" vertical="center" wrapText="1"/>
    </xf>
    <xf numFmtId="0" fontId="2" fillId="12" borderId="9" xfId="47" applyFont="1" applyFill="1" applyBorder="1">
      <alignment horizontal="right" vertical="center" wrapText="1"/>
    </xf>
    <xf numFmtId="4" fontId="2" fillId="13" borderId="3" xfId="48" applyNumberFormat="1" applyFont="1" applyFill="1" applyBorder="1" applyProtection="1">
      <alignment horizontal="center" vertical="center"/>
    </xf>
    <xf numFmtId="0" fontId="2" fillId="13" borderId="19" xfId="49" applyFont="1" applyFill="1" applyBorder="1" applyProtection="1">
      <alignment horizontal="right" vertical="center" wrapText="1"/>
    </xf>
    <xf numFmtId="0" fontId="2" fillId="0" borderId="20" xfId="50" applyFont="1" applyBorder="1">
      <alignment horizontal="center" vertical="center"/>
    </xf>
    <xf numFmtId="164" fontId="2" fillId="12" borderId="9" xfId="51" applyNumberFormat="1" applyFont="1" applyFill="1" applyBorder="1">
      <alignment horizontal="right" vertical="center"/>
    </xf>
    <xf numFmtId="164" fontId="2" fillId="11" borderId="9" xfId="51" applyNumberFormat="1" applyFont="1" applyFill="1" applyBorder="1">
      <alignment horizontal="right" vertical="center"/>
    </xf>
    <xf numFmtId="4" fontId="2" fillId="13" borderId="19" xfId="52" applyNumberFormat="1" applyFont="1" applyFill="1" applyBorder="1" applyProtection="1">
      <alignment horizontal="center" vertical="center"/>
    </xf>
    <xf numFmtId="164" fontId="2" fillId="13" borderId="19" xfId="53" applyNumberFormat="1" applyFont="1" applyFill="1" applyBorder="1" applyProtection="1">
      <alignment horizontal="right" vertical="center" wrapText="1"/>
    </xf>
    <xf numFmtId="0" fontId="2" fillId="11" borderId="4" xfId="54" applyFont="1" applyFill="1" applyBorder="1">
      <alignment horizontal="center" vertical="center"/>
    </xf>
    <xf numFmtId="165" fontId="2" fillId="11" borderId="9" xfId="55" applyNumberFormat="1" applyFont="1" applyFill="1" applyBorder="1">
      <alignment horizontal="right" vertical="center"/>
    </xf>
    <xf numFmtId="166" fontId="2" fillId="11" borderId="9" xfId="56" applyNumberFormat="1" applyFont="1" applyFill="1" applyBorder="1" applyProtection="1">
      <alignment horizontal="right" vertical="center" wrapText="1"/>
    </xf>
    <xf numFmtId="4" fontId="2" fillId="11" borderId="19" xfId="52" applyNumberFormat="1" applyFont="1" applyFill="1" applyBorder="1" applyProtection="1">
      <alignment horizontal="center" vertical="center"/>
    </xf>
    <xf numFmtId="0" fontId="2" fillId="11" borderId="19" xfId="49" applyFont="1" applyFill="1" applyBorder="1" applyProtection="1">
      <alignment horizontal="right" vertical="center" wrapText="1"/>
    </xf>
    <xf numFmtId="0" fontId="6" fillId="0" borderId="4" xfId="57" applyFont="1" applyBorder="1">
      <alignment horizontal="center" vertical="center"/>
    </xf>
    <xf numFmtId="0" fontId="2" fillId="0" borderId="7" xfId="24" applyFont="1" applyBorder="1">
      <alignment horizontal="center" vertical="center" wrapText="1"/>
    </xf>
    <xf numFmtId="0" fontId="2" fillId="0" borderId="9" xfId="58" applyFont="1" applyBorder="1">
      <alignment horizontal="right" vertical="center" wrapText="1"/>
    </xf>
    <xf numFmtId="49" fontId="2" fillId="13" borderId="19" xfId="59" applyNumberFormat="1" applyFont="1" applyFill="1" applyBorder="1">
      <alignment horizontal="center" vertical="center"/>
      <protection locked="0"/>
    </xf>
    <xf numFmtId="0" fontId="2" fillId="13" borderId="19" xfId="49" applyFont="1" applyFill="1" applyBorder="1">
      <alignment horizontal="right" vertical="center" wrapText="1"/>
      <protection locked="0"/>
    </xf>
    <xf numFmtId="0" fontId="7" fillId="11" borderId="21" xfId="60" applyFont="1" applyFill="1" applyBorder="1">
      <alignment horizontal="left" vertical="center" wrapText="1"/>
    </xf>
    <xf numFmtId="0" fontId="7" fillId="11" borderId="22" xfId="61" applyFont="1" applyFill="1" applyBorder="1">
      <alignment horizontal="left" vertical="center" wrapText="1"/>
    </xf>
    <xf numFmtId="49" fontId="2" fillId="11" borderId="19" xfId="62" applyNumberFormat="1" applyFont="1" applyFill="1" applyBorder="1" applyProtection="1">
      <alignment horizontal="left" vertical="center" wrapText="1"/>
    </xf>
    <xf numFmtId="0" fontId="2" fillId="11" borderId="19" xfId="63" applyFont="1" applyFill="1" applyBorder="1">
      <alignment horizontal="center" vertical="center"/>
    </xf>
    <xf numFmtId="0" fontId="2" fillId="11" borderId="1" xfId="64" applyFont="1" applyFill="1" applyBorder="1">
      <alignment horizontal="left" vertical="center" wrapText="1"/>
    </xf>
    <xf numFmtId="0" fontId="2" fillId="11" borderId="19" xfId="65" applyFont="1" applyFill="1" applyBorder="1">
      <alignment horizontal="center" vertical="center" wrapText="1"/>
    </xf>
    <xf numFmtId="167" fontId="2" fillId="11" borderId="9" xfId="66" applyNumberFormat="1" applyFont="1" applyFill="1" applyBorder="1">
      <alignment horizontal="right" vertical="center"/>
    </xf>
    <xf numFmtId="49" fontId="2" fillId="11" borderId="23" xfId="67" applyNumberFormat="1" applyFont="1" applyFill="1" applyBorder="1" applyProtection="1">
      <alignment horizontal="left" vertical="center" wrapText="1"/>
    </xf>
    <xf numFmtId="0" fontId="2" fillId="11" borderId="19" xfId="68" applyFont="1" applyFill="1" applyBorder="1" applyProtection="1">
      <alignment horizontal="left" vertical="center" wrapText="1"/>
    </xf>
    <xf numFmtId="0" fontId="3" fillId="17" borderId="0" xfId="69" applyFont="1" applyFill="1">
      <alignment horizontal="left" vertical="center"/>
    </xf>
    <xf numFmtId="0" fontId="3" fillId="17" borderId="0" xfId="70" applyFont="1" applyFill="1">
      <alignment horizontal="center" vertical="center"/>
    </xf>
    <xf numFmtId="0" fontId="3" fillId="11" borderId="2" xfId="71" applyFont="1" applyFill="1" applyBorder="1">
      <alignment horizontal="center" vertical="center" wrapText="1"/>
    </xf>
    <xf numFmtId="0" fontId="2" fillId="11" borderId="19" xfId="72" applyFont="1" applyFill="1" applyBorder="1">
      <alignment horizontal="left" vertical="center" wrapText="1" indent="1"/>
    </xf>
    <xf numFmtId="0" fontId="2" fillId="11" borderId="19" xfId="73" applyFont="1" applyFill="1" applyBorder="1">
      <alignment horizontal="center" vertical="center"/>
    </xf>
    <xf numFmtId="0" fontId="2" fillId="11" borderId="19" xfId="74" applyFont="1" applyFill="1" applyBorder="1">
      <alignment horizontal="left" vertical="center" wrapText="1"/>
    </xf>
    <xf numFmtId="0" fontId="2" fillId="11" borderId="2" xfId="75" applyFont="1" applyFill="1" applyBorder="1">
      <alignment horizontal="center" vertical="center"/>
    </xf>
    <xf numFmtId="4" fontId="2" fillId="11" borderId="9" xfId="76" applyNumberFormat="1" applyFont="1" applyFill="1" applyBorder="1">
      <alignment horizontal="right" vertical="center"/>
    </xf>
    <xf numFmtId="0" fontId="6" fillId="0" borderId="0" xfId="77" applyFont="1"/>
    <xf numFmtId="0" fontId="2" fillId="11" borderId="2" xfId="78" applyFont="1" applyFill="1" applyBorder="1">
      <alignment horizontal="center" vertical="center"/>
    </xf>
    <xf numFmtId="4" fontId="2" fillId="11" borderId="9" xfId="79" applyNumberFormat="1" applyFont="1" applyFill="1" applyBorder="1" applyProtection="1">
      <alignment horizontal="right" vertical="center" wrapText="1"/>
    </xf>
    <xf numFmtId="4" fontId="2" fillId="11" borderId="9" xfId="80" applyNumberFormat="1" applyFont="1" applyFill="1" applyBorder="1">
      <alignment horizontal="right" vertical="center" wrapText="1"/>
    </xf>
    <xf numFmtId="2" fontId="2" fillId="0" borderId="0" xfId="81" applyNumberFormat="1" applyFont="1">
      <alignment horizontal="left" vertical="top"/>
    </xf>
    <xf numFmtId="0" fontId="7" fillId="15" borderId="21" xfId="60" applyFont="1" applyFill="1" applyBorder="1">
      <alignment horizontal="left" vertical="center" wrapText="1"/>
    </xf>
    <xf numFmtId="0" fontId="7" fillId="15" borderId="21" xfId="82" applyFont="1" applyFill="1" applyBorder="1">
      <alignment horizontal="left" vertical="center"/>
    </xf>
    <xf numFmtId="0" fontId="7" fillId="15" borderId="22" xfId="61" applyFont="1" applyFill="1" applyBorder="1">
      <alignment horizontal="left" vertical="center" wrapText="1"/>
    </xf>
    <xf numFmtId="49" fontId="2" fillId="13" borderId="19" xfId="62" applyNumberFormat="1" applyFont="1" applyFill="1" applyBorder="1" applyProtection="1">
      <alignment horizontal="left" vertical="center" wrapText="1"/>
    </xf>
    <xf numFmtId="0" fontId="2" fillId="16" borderId="24" xfId="83" applyFont="1" applyFill="1" applyBorder="1">
      <alignment horizontal="center" vertical="center" wrapText="1"/>
    </xf>
    <xf numFmtId="0" fontId="2" fillId="16" borderId="21" xfId="84" applyFont="1" applyFill="1" applyBorder="1">
      <alignment horizontal="left" vertical="center" wrapText="1"/>
    </xf>
    <xf numFmtId="0" fontId="2" fillId="16" borderId="24" xfId="85" applyFont="1" applyFill="1" applyBorder="1">
      <alignment horizontal="left" vertical="center" wrapText="1"/>
    </xf>
    <xf numFmtId="0" fontId="2" fillId="11" borderId="24" xfId="85" applyFont="1" applyFill="1" applyBorder="1">
      <alignment horizontal="left" vertical="center" wrapText="1"/>
    </xf>
    <xf numFmtId="49" fontId="2" fillId="13" borderId="19" xfId="62" applyNumberFormat="1" applyFont="1" applyFill="1" applyBorder="1">
      <alignment horizontal="left" vertical="center" wrapText="1"/>
      <protection locked="0"/>
    </xf>
    <xf numFmtId="0" fontId="2" fillId="13" borderId="19" xfId="86" applyFont="1" applyFill="1" applyBorder="1">
      <alignment horizontal="center" vertical="center" wrapText="1"/>
      <protection locked="0"/>
    </xf>
    <xf numFmtId="0" fontId="2" fillId="13" borderId="19" xfId="68" applyFont="1" applyFill="1" applyBorder="1">
      <alignment horizontal="left" vertical="center" wrapText="1"/>
      <protection locked="0"/>
    </xf>
    <xf numFmtId="0" fontId="2" fillId="2" borderId="0" xfId="87" applyFont="1" applyFill="1">
      <alignment horizontal="left" vertical="top"/>
    </xf>
    <xf numFmtId="0" fontId="2" fillId="0" borderId="8" xfId="88" applyFont="1" applyBorder="1">
      <alignment horizontal="center" vertical="center" wrapText="1"/>
    </xf>
    <xf numFmtId="0" fontId="2" fillId="0" borderId="0" xfId="89" applyFont="1">
      <alignment horizontal="left" vertical="center" wrapText="1" indent="1"/>
    </xf>
    <xf numFmtId="0" fontId="2" fillId="17" borderId="25" xfId="90" applyFont="1" applyFill="1" applyBorder="1">
      <alignment horizontal="center" vertical="center"/>
    </xf>
    <xf numFmtId="4" fontId="2" fillId="12" borderId="4" xfId="91" applyNumberFormat="1" applyFont="1" applyFill="1" applyBorder="1">
      <alignment horizontal="right" vertical="center" wrapText="1"/>
    </xf>
    <xf numFmtId="4" fontId="2" fillId="11" borderId="4" xfId="91" applyNumberFormat="1" applyFont="1" applyFill="1" applyBorder="1">
      <alignment horizontal="right" vertical="center" wrapText="1"/>
    </xf>
    <xf numFmtId="4" fontId="2" fillId="13" borderId="19" xfId="92" applyNumberFormat="1" applyFont="1" applyFill="1" applyBorder="1" applyProtection="1">
      <alignment horizontal="right" vertical="center" wrapText="1"/>
    </xf>
    <xf numFmtId="4" fontId="8" fillId="13" borderId="19" xfId="93" applyNumberFormat="1" applyFont="1" applyFill="1" applyBorder="1" applyProtection="1">
      <alignment horizontal="right" vertical="center" wrapText="1"/>
    </xf>
    <xf numFmtId="0" fontId="2" fillId="13" borderId="19" xfId="68" applyFont="1" applyFill="1" applyBorder="1" applyProtection="1">
      <alignment horizontal="left" vertical="center" wrapText="1"/>
    </xf>
    <xf numFmtId="0" fontId="2" fillId="16" borderId="1" xfId="94" applyFont="1" applyFill="1" applyBorder="1">
      <alignment horizontal="center" vertical="center" wrapText="1"/>
    </xf>
    <xf numFmtId="0" fontId="2" fillId="16" borderId="1" xfId="64" applyFont="1" applyFill="1" applyBorder="1">
      <alignment horizontal="left" vertical="center" wrapText="1"/>
    </xf>
    <xf numFmtId="0" fontId="2" fillId="16" borderId="0" xfId="95" applyFont="1" applyFill="1">
      <alignment horizontal="left" vertical="center" wrapText="1"/>
    </xf>
    <xf numFmtId="0" fontId="2" fillId="11" borderId="0" xfId="95" applyFont="1" applyFill="1">
      <alignment horizontal="left" vertical="center" wrapText="1"/>
    </xf>
    <xf numFmtId="0" fontId="2" fillId="16" borderId="22" xfId="96" applyFont="1" applyFill="1" applyBorder="1">
      <alignment horizontal="left" vertical="center" wrapText="1"/>
    </xf>
    <xf numFmtId="0" fontId="2" fillId="0" borderId="2" xfId="97" applyFont="1" applyBorder="1">
      <alignment horizontal="center" vertical="center" wrapText="1"/>
    </xf>
    <xf numFmtId="0" fontId="2" fillId="0" borderId="2" xfId="98" applyFont="1" applyBorder="1">
      <alignment horizontal="left" vertical="center" wrapText="1" indent="1"/>
    </xf>
    <xf numFmtId="0" fontId="2" fillId="0" borderId="4" xfId="54" applyFont="1" applyBorder="1">
      <alignment horizontal="center" vertical="center"/>
    </xf>
    <xf numFmtId="168" fontId="2" fillId="12" borderId="4" xfId="99" applyNumberFormat="1" applyFont="1" applyFill="1" applyBorder="1">
      <alignment horizontal="right" vertical="center"/>
    </xf>
    <xf numFmtId="168" fontId="2" fillId="12" borderId="19" xfId="100" applyNumberFormat="1" applyFont="1" applyFill="1" applyBorder="1">
      <alignment horizontal="right" vertical="center"/>
    </xf>
    <xf numFmtId="0" fontId="2" fillId="19" borderId="0" xfId="101" applyFont="1" applyFill="1">
      <alignment horizontal="left" vertical="top"/>
    </xf>
    <xf numFmtId="0" fontId="6" fillId="19" borderId="0" xfId="102" applyFont="1" applyFill="1">
      <alignment vertical="top"/>
    </xf>
    <xf numFmtId="0" fontId="2" fillId="19" borderId="0" xfId="103" applyFont="1" applyFill="1">
      <alignment horizontal="right" vertical="top"/>
    </xf>
    <xf numFmtId="168" fontId="2" fillId="13" borderId="4" xfId="99" applyNumberFormat="1" applyFont="1" applyFill="1" applyBorder="1">
      <alignment horizontal="right" vertical="center"/>
    </xf>
    <xf numFmtId="168" fontId="2" fillId="12" borderId="26" xfId="104" applyNumberFormat="1" applyFont="1" applyFill="1" applyBorder="1">
      <alignment horizontal="right" vertical="center"/>
    </xf>
    <xf numFmtId="0" fontId="2" fillId="0" borderId="2" xfId="105" applyFont="1" applyBorder="1">
      <alignment horizontal="left" vertical="center" wrapText="1" indent="2"/>
    </xf>
    <xf numFmtId="0" fontId="2" fillId="0" borderId="27" xfId="106" applyFont="1" applyBorder="1">
      <alignment horizontal="right" vertical="center"/>
    </xf>
    <xf numFmtId="10" fontId="2" fillId="13" borderId="4" xfId="107" applyNumberFormat="1" applyFont="1" applyFill="1" applyBorder="1" applyProtection="1">
      <alignment horizontal="right" vertical="center"/>
    </xf>
    <xf numFmtId="10" fontId="2" fillId="13" borderId="4" xfId="107" applyNumberFormat="1" applyFont="1" applyFill="1" applyBorder="1">
      <alignment horizontal="right" vertical="center"/>
      <protection locked="0"/>
    </xf>
    <xf numFmtId="10" fontId="2" fillId="12" borderId="19" xfId="108" applyNumberFormat="1" applyFont="1" applyFill="1" applyBorder="1">
      <alignment horizontal="right" vertical="center"/>
    </xf>
    <xf numFmtId="10" fontId="2" fillId="13" borderId="19" xfId="109" applyNumberFormat="1" applyFont="1" applyFill="1" applyBorder="1">
      <alignment horizontal="right" vertical="center"/>
      <protection locked="0"/>
    </xf>
    <xf numFmtId="10" fontId="2" fillId="13" borderId="19" xfId="109" applyNumberFormat="1" applyFont="1" applyFill="1" applyBorder="1" applyProtection="1">
      <alignment horizontal="right" vertical="center"/>
    </xf>
    <xf numFmtId="164" fontId="2" fillId="12" borderId="4" xfId="110" applyNumberFormat="1" applyFont="1" applyFill="1" applyBorder="1">
      <alignment horizontal="right" vertical="center"/>
    </xf>
    <xf numFmtId="164" fontId="2" fillId="12" borderId="19" xfId="111" applyNumberFormat="1" applyFont="1" applyFill="1" applyBorder="1">
      <alignment horizontal="right" vertical="center"/>
    </xf>
    <xf numFmtId="167" fontId="2" fillId="13" borderId="19" xfId="112" applyNumberFormat="1" applyFont="1" applyFill="1" applyBorder="1">
      <alignment horizontal="right" vertical="center"/>
      <protection locked="0"/>
    </xf>
    <xf numFmtId="167" fontId="2" fillId="13" borderId="19" xfId="112" applyNumberFormat="1" applyFont="1" applyFill="1" applyBorder="1" applyProtection="1">
      <alignment horizontal="right" vertical="center"/>
    </xf>
    <xf numFmtId="167" fontId="2" fillId="13" borderId="4" xfId="113" applyNumberFormat="1" applyFont="1" applyFill="1" applyBorder="1" applyProtection="1">
      <alignment horizontal="right" vertical="center"/>
    </xf>
    <xf numFmtId="167" fontId="2" fillId="13" borderId="4" xfId="113" applyNumberFormat="1" applyFont="1" applyFill="1" applyBorder="1">
      <alignment horizontal="right" vertical="center"/>
      <protection locked="0"/>
    </xf>
    <xf numFmtId="167" fontId="2" fillId="12" borderId="23" xfId="114" applyNumberFormat="1" applyFont="1" applyFill="1" applyBorder="1">
      <alignment horizontal="right" vertical="center"/>
    </xf>
    <xf numFmtId="167" fontId="2" fillId="12" borderId="19" xfId="115" applyNumberFormat="1" applyFont="1" applyFill="1" applyBorder="1">
      <alignment horizontal="right" vertical="center"/>
    </xf>
    <xf numFmtId="0" fontId="2" fillId="0" borderId="2" xfId="116" applyFont="1" applyBorder="1">
      <alignment horizontal="left" vertical="center" wrapText="1" indent="3"/>
    </xf>
    <xf numFmtId="10" fontId="2" fillId="12" borderId="4" xfId="117" applyNumberFormat="1" applyFont="1" applyFill="1" applyBorder="1">
      <alignment horizontal="right" vertical="center"/>
    </xf>
    <xf numFmtId="49" fontId="2" fillId="13" borderId="3" xfId="118" applyNumberFormat="1" applyFont="1" applyFill="1" applyBorder="1" applyProtection="1">
      <alignment horizontal="left" vertical="center" wrapText="1"/>
    </xf>
    <xf numFmtId="4" fontId="2" fillId="13" borderId="4" xfId="119" applyNumberFormat="1" applyFont="1" applyFill="1" applyBorder="1" applyProtection="1">
      <alignment horizontal="right" vertical="center"/>
    </xf>
    <xf numFmtId="4" fontId="2" fillId="13" borderId="19" xfId="120" applyNumberFormat="1" applyFont="1" applyFill="1" applyBorder="1" applyProtection="1">
      <alignment horizontal="right" vertical="center"/>
    </xf>
    <xf numFmtId="10" fontId="2" fillId="20" borderId="4" xfId="121" applyNumberFormat="1" applyFont="1" applyFill="1" applyBorder="1" applyProtection="1">
      <alignment horizontal="right" vertical="center"/>
    </xf>
    <xf numFmtId="167" fontId="2" fillId="12" borderId="4" xfId="122" applyNumberFormat="1" applyFont="1" applyFill="1" applyBorder="1">
      <alignment horizontal="right" vertical="center"/>
    </xf>
    <xf numFmtId="167" fontId="2" fillId="12" borderId="28" xfId="123" applyNumberFormat="1" applyFont="1" applyFill="1" applyBorder="1">
      <alignment horizontal="right" vertical="center"/>
    </xf>
    <xf numFmtId="167" fontId="2" fillId="12" borderId="3" xfId="124" applyNumberFormat="1" applyFont="1" applyFill="1" applyBorder="1">
      <alignment horizontal="right" vertical="center"/>
    </xf>
    <xf numFmtId="0" fontId="2" fillId="0" borderId="29" xfId="125" applyFont="1" applyBorder="1">
      <alignment horizontal="right" vertical="center"/>
    </xf>
    <xf numFmtId="164" fontId="2" fillId="12" borderId="30" xfId="126" applyNumberFormat="1" applyFont="1" applyFill="1" applyBorder="1">
      <alignment horizontal="right" vertical="center"/>
    </xf>
    <xf numFmtId="164" fontId="2" fillId="12" borderId="28" xfId="127" applyNumberFormat="1" applyFont="1" applyFill="1" applyBorder="1">
      <alignment horizontal="right" vertical="center"/>
    </xf>
    <xf numFmtId="0" fontId="2" fillId="11" borderId="29" xfId="125" applyFont="1" applyFill="1" applyBorder="1">
      <alignment horizontal="right" vertical="center"/>
    </xf>
    <xf numFmtId="164" fontId="2" fillId="12" borderId="3" xfId="128" applyNumberFormat="1" applyFont="1" applyFill="1" applyBorder="1">
      <alignment horizontal="right" vertical="center"/>
    </xf>
    <xf numFmtId="0" fontId="2" fillId="16" borderId="19" xfId="63" applyFont="1" applyFill="1" applyBorder="1">
      <alignment horizontal="center" vertical="center"/>
    </xf>
    <xf numFmtId="0" fontId="2" fillId="16" borderId="31" xfId="129" applyFont="1" applyFill="1" applyBorder="1">
      <alignment horizontal="center" vertical="center" wrapText="1"/>
    </xf>
    <xf numFmtId="167" fontId="8" fillId="12" borderId="4" xfId="130" applyNumberFormat="1" applyFont="1" applyFill="1" applyBorder="1">
      <alignment horizontal="right" vertical="center"/>
    </xf>
    <xf numFmtId="167" fontId="8" fillId="12" borderId="17" xfId="131" applyNumberFormat="1" applyFont="1" applyFill="1" applyBorder="1">
      <alignment horizontal="right" vertical="center"/>
    </xf>
    <xf numFmtId="167" fontId="8" fillId="12" borderId="18" xfId="132" applyNumberFormat="1" applyFont="1" applyFill="1" applyBorder="1">
      <alignment horizontal="right" vertical="center"/>
    </xf>
    <xf numFmtId="167" fontId="8" fillId="11" borderId="4" xfId="130" applyNumberFormat="1" applyFont="1" applyFill="1" applyBorder="1">
      <alignment horizontal="right" vertical="center"/>
    </xf>
    <xf numFmtId="167" fontId="8" fillId="12" borderId="19" xfId="133" applyNumberFormat="1" applyFont="1" applyFill="1" applyBorder="1">
      <alignment horizontal="right" vertical="center"/>
    </xf>
    <xf numFmtId="167" fontId="8" fillId="12" borderId="2" xfId="134" applyNumberFormat="1" applyFont="1" applyFill="1" applyBorder="1">
      <alignment horizontal="right" vertical="center"/>
    </xf>
    <xf numFmtId="0" fontId="2" fillId="17" borderId="0" xfId="135" applyFont="1" applyFill="1">
      <alignment horizontal="left" vertical="top"/>
    </xf>
    <xf numFmtId="0" fontId="9" fillId="0" borderId="19" xfId="136" applyFont="1" applyBorder="1">
      <alignment horizontal="left" vertical="center" wrapText="1" indent="2"/>
    </xf>
    <xf numFmtId="0" fontId="2" fillId="0" borderId="19" xfId="137" applyFont="1" applyBorder="1">
      <alignment horizontal="center" vertical="center" wrapText="1"/>
    </xf>
    <xf numFmtId="167" fontId="10" fillId="12" borderId="18" xfId="138" applyNumberFormat="1" applyFont="1" applyFill="1" applyBorder="1">
      <alignment horizontal="right" vertical="center"/>
    </xf>
    <xf numFmtId="167" fontId="10" fillId="12" borderId="19" xfId="139" applyNumberFormat="1" applyFont="1" applyFill="1" applyBorder="1">
      <alignment horizontal="right" vertical="center"/>
    </xf>
    <xf numFmtId="167" fontId="10" fillId="12" borderId="2" xfId="140" applyNumberFormat="1" applyFont="1" applyFill="1" applyBorder="1">
      <alignment horizontal="right" vertical="center"/>
    </xf>
    <xf numFmtId="49" fontId="2" fillId="17" borderId="0" xfId="141" applyNumberFormat="1" applyFont="1" applyFill="1">
      <alignment horizontal="left" vertical="top"/>
    </xf>
    <xf numFmtId="0" fontId="2" fillId="0" borderId="19" xfId="142" applyFont="1" applyBorder="1">
      <alignment horizontal="left" vertical="center" wrapText="1" indent="1"/>
    </xf>
    <xf numFmtId="167" fontId="2" fillId="11" borderId="19" xfId="115" applyNumberFormat="1" applyFont="1" applyFill="1" applyBorder="1">
      <alignment horizontal="right" vertical="center"/>
    </xf>
    <xf numFmtId="167" fontId="2" fillId="12" borderId="2" xfId="143" applyNumberFormat="1" applyFont="1" applyFill="1" applyBorder="1">
      <alignment horizontal="right" vertical="center"/>
    </xf>
    <xf numFmtId="167" fontId="2" fillId="11" borderId="2" xfId="143" applyNumberFormat="1" applyFont="1" applyFill="1" applyBorder="1">
      <alignment horizontal="right" vertical="center"/>
    </xf>
    <xf numFmtId="167" fontId="10" fillId="11" borderId="19" xfId="139" applyNumberFormat="1" applyFont="1" applyFill="1" applyBorder="1">
      <alignment horizontal="right" vertical="center"/>
    </xf>
    <xf numFmtId="167" fontId="10" fillId="11" borderId="2" xfId="140" applyNumberFormat="1" applyFont="1" applyFill="1" applyBorder="1">
      <alignment horizontal="right" vertical="center"/>
    </xf>
    <xf numFmtId="0" fontId="2" fillId="11" borderId="2" xfId="97" applyFont="1" applyFill="1" applyBorder="1">
      <alignment horizontal="center" vertical="center" wrapText="1"/>
    </xf>
    <xf numFmtId="0" fontId="2" fillId="11" borderId="19" xfId="144" applyFont="1" applyFill="1" applyBorder="1">
      <alignment horizontal="left" vertical="center" wrapText="1" indent="2"/>
    </xf>
    <xf numFmtId="0" fontId="2" fillId="11" borderId="19" xfId="137" applyFont="1" applyFill="1" applyBorder="1">
      <alignment horizontal="center" vertical="center" wrapText="1"/>
    </xf>
    <xf numFmtId="4" fontId="2" fillId="11" borderId="19" xfId="92" applyNumberFormat="1" applyFont="1" applyFill="1" applyBorder="1" applyProtection="1">
      <alignment horizontal="right" vertical="center" wrapText="1"/>
    </xf>
    <xf numFmtId="0" fontId="2" fillId="0" borderId="19" xfId="144" applyFont="1" applyBorder="1">
      <alignment horizontal="left" vertical="center" wrapText="1" indent="2"/>
    </xf>
    <xf numFmtId="0" fontId="9" fillId="0" borderId="19" xfId="145" applyFont="1" applyBorder="1">
      <alignment horizontal="left" vertical="center" wrapText="1" indent="3"/>
    </xf>
    <xf numFmtId="4" fontId="2" fillId="12" borderId="19" xfId="146" applyNumberFormat="1" applyFont="1" applyFill="1" applyBorder="1">
      <alignment horizontal="right" vertical="center"/>
    </xf>
    <xf numFmtId="4" fontId="2" fillId="11" borderId="19" xfId="146" applyNumberFormat="1" applyFont="1" applyFill="1" applyBorder="1">
      <alignment horizontal="right" vertical="center"/>
    </xf>
    <xf numFmtId="0" fontId="2" fillId="0" borderId="19" xfId="147" applyFont="1" applyBorder="1">
      <alignment horizontal="left" vertical="center" wrapText="1" indent="3"/>
    </xf>
    <xf numFmtId="0" fontId="4" fillId="17" borderId="0" xfId="148" applyFont="1" applyFill="1">
      <alignment horizontal="left" vertical="top"/>
    </xf>
    <xf numFmtId="167" fontId="8" fillId="11" borderId="19" xfId="133" applyNumberFormat="1" applyFont="1" applyFill="1" applyBorder="1">
      <alignment horizontal="right" vertical="center"/>
    </xf>
    <xf numFmtId="4" fontId="8" fillId="11" borderId="19" xfId="93" applyNumberFormat="1" applyFont="1" applyFill="1" applyBorder="1" applyProtection="1">
      <alignment horizontal="right" vertical="center" wrapText="1"/>
    </xf>
    <xf numFmtId="0" fontId="4" fillId="17" borderId="0" xfId="149" applyFont="1" applyFill="1">
      <alignment horizontal="center" vertical="center"/>
    </xf>
    <xf numFmtId="0" fontId="4" fillId="17" borderId="0" xfId="150" applyFont="1" applyFill="1">
      <alignment vertical="top"/>
    </xf>
    <xf numFmtId="0" fontId="9" fillId="11" borderId="19" xfId="136" applyFont="1" applyFill="1" applyBorder="1">
      <alignment horizontal="left" vertical="center" wrapText="1" indent="2"/>
    </xf>
    <xf numFmtId="0" fontId="2" fillId="11" borderId="19" xfId="142" applyFont="1" applyFill="1" applyBorder="1">
      <alignment horizontal="left" vertical="center" wrapText="1" indent="1"/>
    </xf>
    <xf numFmtId="0" fontId="2" fillId="11" borderId="19" xfId="147" applyFont="1" applyFill="1" applyBorder="1">
      <alignment horizontal="left" vertical="center" wrapText="1" indent="3"/>
    </xf>
    <xf numFmtId="0" fontId="2" fillId="11" borderId="19" xfId="151" applyFont="1" applyFill="1" applyBorder="1">
      <alignment horizontal="left" vertical="center" wrapText="1" indent="4"/>
    </xf>
    <xf numFmtId="0" fontId="2" fillId="17" borderId="32" xfId="152" applyFont="1" applyFill="1" applyBorder="1">
      <alignment horizontal="left" vertical="top"/>
    </xf>
    <xf numFmtId="0" fontId="2" fillId="16" borderId="19" xfId="74" applyFont="1" applyFill="1" applyBorder="1">
      <alignment horizontal="left" vertical="center" wrapText="1"/>
    </xf>
    <xf numFmtId="4" fontId="8" fillId="12" borderId="19" xfId="153" applyNumberFormat="1" applyFont="1" applyFill="1" applyBorder="1">
      <alignment horizontal="right" vertical="center"/>
    </xf>
    <xf numFmtId="4" fontId="8" fillId="11" borderId="19" xfId="153" applyNumberFormat="1" applyFont="1" applyFill="1" applyBorder="1">
      <alignment horizontal="right" vertical="center"/>
    </xf>
    <xf numFmtId="0" fontId="2" fillId="21" borderId="2" xfId="154" applyFont="1" applyFill="1" applyBorder="1">
      <alignment horizontal="center" vertical="center" wrapText="1"/>
    </xf>
    <xf numFmtId="0" fontId="2" fillId="21" borderId="19" xfId="155" applyFont="1" applyFill="1" applyBorder="1">
      <alignment horizontal="left" vertical="center" wrapText="1" indent="1"/>
    </xf>
    <xf numFmtId="0" fontId="2" fillId="21" borderId="19" xfId="156" applyFont="1" applyFill="1" applyBorder="1">
      <alignment horizontal="center" vertical="center"/>
    </xf>
    <xf numFmtId="0" fontId="2" fillId="18" borderId="2" xfId="157" applyFont="1" applyFill="1" applyBorder="1">
      <alignment horizontal="center" vertical="center" wrapText="1"/>
    </xf>
    <xf numFmtId="0" fontId="2" fillId="18" borderId="19" xfId="158" applyFont="1" applyFill="1" applyBorder="1">
      <alignment horizontal="left" vertical="center" wrapText="1" indent="2"/>
    </xf>
    <xf numFmtId="0" fontId="2" fillId="18" borderId="19" xfId="73" applyFont="1" applyFill="1" applyBorder="1">
      <alignment horizontal="center" vertical="center"/>
    </xf>
    <xf numFmtId="4" fontId="2" fillId="13" borderId="19" xfId="120" applyNumberFormat="1" applyFont="1" applyFill="1" applyBorder="1">
      <alignment horizontal="right" vertical="center"/>
      <protection locked="0"/>
    </xf>
    <xf numFmtId="0" fontId="2" fillId="17" borderId="19" xfId="159" applyFont="1" applyFill="1" applyBorder="1">
      <alignment horizontal="left" vertical="center" wrapText="1" indent="3"/>
    </xf>
    <xf numFmtId="0" fontId="2" fillId="17" borderId="19" xfId="160" applyFont="1" applyFill="1" applyBorder="1">
      <alignment horizontal="center" vertical="center"/>
    </xf>
    <xf numFmtId="0" fontId="2" fillId="17" borderId="19" xfId="161" applyFont="1" applyFill="1" applyBorder="1">
      <alignment horizontal="left" vertical="center" wrapText="1" indent="4" shrinkToFit="1"/>
    </xf>
    <xf numFmtId="0" fontId="2" fillId="17" borderId="19" xfId="162" applyFont="1" applyFill="1" applyBorder="1">
      <alignment horizontal="left" vertical="center" wrapText="1" indent="5" shrinkToFit="1"/>
    </xf>
    <xf numFmtId="4" fontId="2" fillId="13" borderId="19" xfId="146" applyNumberFormat="1" applyFont="1" applyFill="1" applyBorder="1">
      <alignment horizontal="right" vertical="center"/>
    </xf>
    <xf numFmtId="4" fontId="2" fillId="13" borderId="19" xfId="146" applyNumberFormat="1" applyFont="1" applyFill="1" applyBorder="1" applyProtection="1">
      <alignment horizontal="right" vertical="center"/>
      <protection locked="0"/>
    </xf>
    <xf numFmtId="4" fontId="2" fillId="11" borderId="19" xfId="120" applyNumberFormat="1" applyFont="1" applyFill="1" applyBorder="1" applyProtection="1">
      <alignment horizontal="right" vertical="center"/>
    </xf>
    <xf numFmtId="4" fontId="10" fillId="12" borderId="19" xfId="163" applyNumberFormat="1" applyFont="1" applyFill="1" applyBorder="1">
      <alignment horizontal="right" vertical="center"/>
    </xf>
    <xf numFmtId="4" fontId="10" fillId="13" borderId="19" xfId="163" applyNumberFormat="1" applyFont="1" applyFill="1" applyBorder="1">
      <alignment horizontal="right" vertical="center"/>
    </xf>
    <xf numFmtId="0" fontId="9" fillId="17" borderId="19" xfId="164" applyFont="1" applyFill="1" applyBorder="1">
      <alignment horizontal="right" vertical="center" wrapText="1" indent="4" shrinkToFit="1"/>
    </xf>
    <xf numFmtId="0" fontId="2" fillId="0" borderId="19" xfId="165" applyFont="1" applyBorder="1">
      <alignment horizontal="center" vertical="center"/>
    </xf>
    <xf numFmtId="0" fontId="2" fillId="17" borderId="19" xfId="166" applyFont="1" applyFill="1" applyBorder="1">
      <alignment horizontal="left" vertical="center" wrapText="1" indent="6" shrinkToFit="1"/>
    </xf>
    <xf numFmtId="0" fontId="2" fillId="2" borderId="0" xfId="167" applyFont="1" applyFill="1">
      <alignment horizontal="right" vertical="top"/>
    </xf>
    <xf numFmtId="0" fontId="2" fillId="11" borderId="19" xfId="165" applyFont="1" applyFill="1" applyBorder="1">
      <alignment horizontal="center" vertical="center"/>
    </xf>
    <xf numFmtId="0" fontId="2" fillId="11" borderId="19" xfId="162" applyFont="1" applyFill="1" applyBorder="1">
      <alignment horizontal="left" vertical="center" wrapText="1" indent="5" shrinkToFit="1"/>
    </xf>
    <xf numFmtId="0" fontId="2" fillId="11" borderId="19" xfId="160" applyFont="1" applyFill="1" applyBorder="1">
      <alignment horizontal="center" vertical="center"/>
    </xf>
    <xf numFmtId="4" fontId="10" fillId="11" borderId="19" xfId="163" applyNumberFormat="1" applyFont="1" applyFill="1" applyBorder="1">
      <alignment horizontal="right" vertical="center"/>
    </xf>
    <xf numFmtId="0" fontId="2" fillId="0" borderId="19" xfId="168" applyFont="1" applyBorder="1">
      <alignment horizontal="left" vertical="center" wrapText="1" indent="5"/>
    </xf>
    <xf numFmtId="0" fontId="2" fillId="17" borderId="19" xfId="169" applyFont="1" applyFill="1" applyBorder="1">
      <alignment horizontal="left" vertical="center" wrapText="1" indent="3" shrinkToFit="1"/>
    </xf>
    <xf numFmtId="4" fontId="10" fillId="13" borderId="19" xfId="170" applyNumberFormat="1" applyFont="1" applyFill="1" applyBorder="1">
      <alignment horizontal="right" vertical="center"/>
      <protection locked="0"/>
    </xf>
    <xf numFmtId="4" fontId="10" fillId="13" borderId="19" xfId="170" applyNumberFormat="1" applyFont="1" applyFill="1" applyBorder="1" applyProtection="1">
      <alignment horizontal="right" vertical="center"/>
    </xf>
    <xf numFmtId="0" fontId="9" fillId="17" borderId="19" xfId="171" applyFont="1" applyFill="1" applyBorder="1">
      <alignment horizontal="left" vertical="center" wrapText="1" indent="3"/>
    </xf>
    <xf numFmtId="166" fontId="2" fillId="12" borderId="19" xfId="172" applyNumberFormat="1" applyFont="1" applyFill="1" applyBorder="1">
      <alignment horizontal="right" vertical="center"/>
    </xf>
    <xf numFmtId="166" fontId="2" fillId="11" borderId="19" xfId="172" applyNumberFormat="1" applyFont="1" applyFill="1" applyBorder="1">
      <alignment horizontal="right" vertical="center"/>
    </xf>
    <xf numFmtId="167" fontId="2" fillId="11" borderId="19" xfId="112" applyNumberFormat="1" applyFont="1" applyFill="1" applyBorder="1" applyProtection="1">
      <alignment horizontal="right" vertical="center"/>
    </xf>
    <xf numFmtId="0" fontId="9" fillId="17" borderId="19" xfId="173" applyFont="1" applyFill="1" applyBorder="1">
      <alignment horizontal="left" vertical="center" wrapText="1" indent="4"/>
    </xf>
    <xf numFmtId="0" fontId="9" fillId="17" borderId="19" xfId="174" applyFont="1" applyFill="1" applyBorder="1">
      <alignment horizontal="right" vertical="center" wrapText="1" indent="1"/>
    </xf>
    <xf numFmtId="169" fontId="2" fillId="13" borderId="19" xfId="175" applyNumberFormat="1" applyFont="1" applyFill="1" applyBorder="1" applyProtection="1">
      <alignment horizontal="right" vertical="center"/>
    </xf>
    <xf numFmtId="169" fontId="2" fillId="11" borderId="19" xfId="175" applyNumberFormat="1" applyFont="1" applyFill="1" applyBorder="1" applyProtection="1">
      <alignment horizontal="right" vertical="center"/>
    </xf>
    <xf numFmtId="169" fontId="2" fillId="12" borderId="19" xfId="176" applyNumberFormat="1" applyFont="1" applyFill="1" applyBorder="1">
      <alignment horizontal="right" vertical="center"/>
    </xf>
    <xf numFmtId="0" fontId="9" fillId="17" borderId="19" xfId="177" applyFont="1" applyFill="1" applyBorder="1">
      <alignment horizontal="left" vertical="center" wrapText="1" indent="5"/>
    </xf>
    <xf numFmtId="4" fontId="2" fillId="13" borderId="19" xfId="92" applyNumberFormat="1" applyFont="1" applyFill="1" applyBorder="1">
      <alignment horizontal="right" vertical="center" wrapText="1"/>
      <protection locked="0"/>
    </xf>
    <xf numFmtId="0" fontId="2" fillId="0" borderId="2" xfId="178" applyFont="1" applyBorder="1">
      <alignment horizontal="center" vertical="center"/>
    </xf>
    <xf numFmtId="0" fontId="9" fillId="17" borderId="19" xfId="179" applyFont="1" applyFill="1" applyBorder="1">
      <alignment horizontal="right" vertical="center" wrapText="1"/>
    </xf>
    <xf numFmtId="169" fontId="2" fillId="13" borderId="19" xfId="175" applyNumberFormat="1" applyFont="1" applyFill="1" applyBorder="1">
      <alignment horizontal="right" vertical="center"/>
      <protection locked="0"/>
    </xf>
    <xf numFmtId="169" fontId="10" fillId="12" borderId="19" xfId="180" applyNumberFormat="1" applyFont="1" applyFill="1" applyBorder="1">
      <alignment horizontal="right" vertical="center"/>
    </xf>
    <xf numFmtId="0" fontId="9" fillId="17" borderId="19" xfId="181" applyFont="1" applyFill="1" applyBorder="1">
      <alignment horizontal="left" vertical="center" indent="4"/>
    </xf>
    <xf numFmtId="0" fontId="2" fillId="17" borderId="19" xfId="182" applyFont="1" applyFill="1" applyBorder="1">
      <alignment horizontal="left" vertical="center" wrapText="1" indent="4"/>
    </xf>
    <xf numFmtId="0" fontId="2" fillId="11" borderId="19" xfId="182" applyFont="1" applyFill="1" applyBorder="1">
      <alignment horizontal="left" vertical="center" wrapText="1" indent="4"/>
    </xf>
    <xf numFmtId="0" fontId="2" fillId="12" borderId="0" xfId="183" applyFont="1" applyFill="1">
      <alignment horizontal="left" vertical="top"/>
    </xf>
    <xf numFmtId="0" fontId="2" fillId="12" borderId="0" xfId="184" applyFont="1" applyFill="1">
      <alignment horizontal="right" vertical="top"/>
    </xf>
    <xf numFmtId="0" fontId="2" fillId="17" borderId="19" xfId="185" applyFont="1" applyFill="1" applyBorder="1">
      <alignment horizontal="left" vertical="center" wrapText="1" indent="5"/>
    </xf>
    <xf numFmtId="4" fontId="8" fillId="13" borderId="19" xfId="93" applyNumberFormat="1" applyFont="1" applyFill="1" applyBorder="1">
      <alignment horizontal="right" vertical="center" wrapText="1"/>
      <protection locked="0"/>
    </xf>
    <xf numFmtId="0" fontId="2" fillId="21" borderId="19" xfId="186" applyFont="1" applyFill="1" applyBorder="1">
      <alignment horizontal="left" vertical="center" indent="1"/>
    </xf>
    <xf numFmtId="49" fontId="2" fillId="11" borderId="19" xfId="187" applyNumberFormat="1" applyFont="1" applyFill="1" applyBorder="1">
      <alignment horizontal="left" vertical="center" wrapText="1" indent="2" shrinkToFit="1"/>
    </xf>
    <xf numFmtId="0" fontId="3" fillId="0" borderId="0" xfId="188" applyFont="1">
      <alignment horizontal="right" vertical="top"/>
    </xf>
    <xf numFmtId="49" fontId="2" fillId="11" borderId="19" xfId="189" applyNumberFormat="1" applyFont="1" applyFill="1" applyBorder="1">
      <alignment horizontal="left" vertical="center" wrapText="1" indent="3" shrinkToFit="1"/>
    </xf>
    <xf numFmtId="0" fontId="2" fillId="11" borderId="19" xfId="190" applyFont="1" applyFill="1" applyBorder="1">
      <alignment horizontal="left" vertical="center" wrapText="1" indent="3"/>
    </xf>
    <xf numFmtId="0" fontId="2" fillId="17" borderId="19" xfId="191" applyFont="1" applyFill="1" applyBorder="1">
      <alignment horizontal="left" vertical="center" wrapText="1" indent="2"/>
    </xf>
    <xf numFmtId="0" fontId="2" fillId="14" borderId="0" xfId="192" applyFont="1" applyFill="1">
      <alignment horizontal="left" vertical="top"/>
    </xf>
    <xf numFmtId="0" fontId="2" fillId="14" borderId="0" xfId="193" applyFont="1" applyFill="1">
      <alignment horizontal="right" vertical="top"/>
    </xf>
    <xf numFmtId="0" fontId="2" fillId="11" borderId="19" xfId="191" applyFont="1" applyFill="1" applyBorder="1">
      <alignment horizontal="left" vertical="center" wrapText="1" indent="2"/>
    </xf>
    <xf numFmtId="0" fontId="9" fillId="11" borderId="19" xfId="174" applyFont="1" applyFill="1" applyBorder="1">
      <alignment horizontal="right" vertical="center" wrapText="1" indent="1"/>
    </xf>
    <xf numFmtId="0" fontId="2" fillId="11" borderId="19" xfId="194" applyFont="1" applyFill="1" applyBorder="1">
      <alignment horizontal="center" vertical="center"/>
    </xf>
    <xf numFmtId="0" fontId="2" fillId="11" borderId="19" xfId="195" applyFont="1" applyFill="1" applyBorder="1">
      <alignment horizontal="left" vertical="center" wrapText="1" indent="1"/>
    </xf>
    <xf numFmtId="4" fontId="2" fillId="11" borderId="19" xfId="196" applyNumberFormat="1" applyFont="1" applyFill="1" applyBorder="1">
      <alignment vertical="center"/>
    </xf>
    <xf numFmtId="4" fontId="2" fillId="11" borderId="19" xfId="197" applyNumberFormat="1" applyFont="1" applyFill="1" applyBorder="1">
      <alignment vertical="top"/>
    </xf>
    <xf numFmtId="49" fontId="2" fillId="11" borderId="19" xfId="198" applyNumberFormat="1" applyFont="1" applyFill="1" applyBorder="1">
      <alignment vertical="top"/>
    </xf>
    <xf numFmtId="0" fontId="2" fillId="11" borderId="19" xfId="199" applyFont="1" applyFill="1" applyBorder="1">
      <alignment vertical="top"/>
    </xf>
    <xf numFmtId="49" fontId="2" fillId="13" borderId="23" xfId="67" applyNumberFormat="1" applyFont="1" applyFill="1" applyBorder="1" applyProtection="1">
      <alignment horizontal="left" vertical="center" wrapText="1"/>
    </xf>
    <xf numFmtId="0" fontId="6" fillId="17" borderId="9" xfId="200" applyFont="1" applyFill="1" applyBorder="1">
      <alignment horizontal="left" vertical="center" wrapText="1" indent="1"/>
    </xf>
    <xf numFmtId="0" fontId="4" fillId="17" borderId="9" xfId="201" applyFont="1" applyFill="1" applyBorder="1">
      <alignment horizontal="left" vertical="center" wrapText="1" indent="1"/>
    </xf>
    <xf numFmtId="49" fontId="2" fillId="13" borderId="9" xfId="202" applyNumberFormat="1" applyFont="1" applyFill="1" applyBorder="1" applyProtection="1">
      <alignment horizontal="left" vertical="center" wrapText="1"/>
    </xf>
    <xf numFmtId="0" fontId="4" fillId="22" borderId="0" xfId="203" applyFont="1" applyFill="1">
      <alignment vertical="top"/>
    </xf>
    <xf numFmtId="0" fontId="2" fillId="11" borderId="2" xfId="157" applyFont="1" applyFill="1" applyBorder="1">
      <alignment horizontal="center" vertical="center" wrapText="1"/>
    </xf>
    <xf numFmtId="0" fontId="2" fillId="11" borderId="19" xfId="204" applyFont="1" applyFill="1" applyBorder="1">
      <alignment horizontal="center" vertical="center" wrapText="1"/>
    </xf>
    <xf numFmtId="49" fontId="2" fillId="11" borderId="9" xfId="202" applyNumberFormat="1" applyFont="1" applyFill="1" applyBorder="1" applyProtection="1">
      <alignment horizontal="left" vertical="center" wrapText="1"/>
    </xf>
    <xf numFmtId="167" fontId="10" fillId="11" borderId="19" xfId="205" applyNumberFormat="1" applyFont="1" applyFill="1" applyBorder="1" applyProtection="1">
      <alignment horizontal="right" vertical="center"/>
    </xf>
    <xf numFmtId="4" fontId="2" fillId="11" borderId="19" xfId="206" applyNumberFormat="1" applyFont="1" applyFill="1" applyBorder="1">
      <alignment horizontal="right" vertical="center"/>
    </xf>
    <xf numFmtId="49" fontId="2" fillId="13" borderId="9" xfId="202" applyNumberFormat="1" applyFont="1" applyFill="1" applyBorder="1">
      <alignment horizontal="left" vertical="center" wrapText="1"/>
      <protection locked="0"/>
    </xf>
    <xf numFmtId="0" fontId="2" fillId="18" borderId="19" xfId="72" applyFont="1" applyFill="1" applyBorder="1">
      <alignment horizontal="left" vertical="center" wrapText="1" indent="1"/>
    </xf>
    <xf numFmtId="4" fontId="2" fillId="12" borderId="19" xfId="207" applyNumberFormat="1" applyFont="1" applyFill="1" applyBorder="1">
      <alignment horizontal="right" vertical="center" wrapText="1"/>
    </xf>
    <xf numFmtId="4" fontId="2" fillId="11" borderId="23" xfId="208" applyNumberFormat="1" applyFont="1" applyFill="1" applyBorder="1">
      <alignment horizontal="right" vertical="center" wrapText="1"/>
    </xf>
    <xf numFmtId="4" fontId="2" fillId="12" borderId="9" xfId="76" applyNumberFormat="1" applyFont="1" applyFill="1" applyBorder="1">
      <alignment horizontal="right" vertical="center"/>
    </xf>
    <xf numFmtId="0" fontId="2" fillId="18" borderId="2" xfId="78" applyFont="1" applyFill="1" applyBorder="1">
      <alignment horizontal="center" vertical="center"/>
    </xf>
    <xf numFmtId="4" fontId="2" fillId="12" borderId="8" xfId="209" applyNumberFormat="1" applyFont="1" applyFill="1" applyBorder="1">
      <alignment horizontal="right" vertical="center"/>
    </xf>
    <xf numFmtId="4" fontId="2" fillId="12" borderId="4" xfId="210" applyNumberFormat="1" applyFont="1" applyFill="1" applyBorder="1">
      <alignment horizontal="right" vertical="center"/>
    </xf>
    <xf numFmtId="4" fontId="2" fillId="12" borderId="9" xfId="80" applyNumberFormat="1" applyFont="1" applyFill="1" applyBorder="1">
      <alignment horizontal="right" vertical="center" wrapText="1"/>
    </xf>
    <xf numFmtId="49" fontId="2" fillId="11" borderId="19" xfId="59" applyNumberFormat="1" applyFont="1" applyFill="1" applyBorder="1" applyProtection="1">
      <alignment horizontal="center" vertical="center"/>
    </xf>
    <xf numFmtId="4" fontId="2" fillId="11" borderId="19" xfId="207" applyNumberFormat="1" applyFont="1" applyFill="1" applyBorder="1">
      <alignment horizontal="right" vertical="center" wrapText="1"/>
    </xf>
    <xf numFmtId="4" fontId="2" fillId="11" borderId="8" xfId="209" applyNumberFormat="1" applyFont="1" applyFill="1" applyBorder="1">
      <alignment horizontal="right" vertical="center"/>
    </xf>
    <xf numFmtId="4" fontId="2" fillId="12" borderId="0" xfId="211" applyNumberFormat="1" applyFont="1" applyFill="1">
      <alignment horizontal="right" vertical="center" wrapText="1"/>
    </xf>
    <xf numFmtId="4" fontId="2" fillId="11" borderId="0" xfId="211" applyNumberFormat="1" applyFont="1" applyFill="1">
      <alignment horizontal="right" vertical="center" wrapText="1"/>
    </xf>
    <xf numFmtId="49" fontId="2" fillId="13" borderId="19" xfId="59" applyNumberFormat="1" applyFont="1" applyFill="1" applyBorder="1" applyProtection="1">
      <alignment horizontal="center" vertical="center"/>
    </xf>
    <xf numFmtId="49" fontId="2" fillId="11" borderId="19" xfId="212" applyNumberFormat="1" applyFont="1" applyFill="1" applyBorder="1" applyProtection="1">
      <alignment horizontal="left" vertical="center" wrapText="1" indent="1"/>
    </xf>
    <xf numFmtId="0" fontId="2" fillId="11" borderId="19" xfId="158" applyFont="1" applyFill="1" applyBorder="1">
      <alignment horizontal="left" vertical="center" wrapText="1" indent="2"/>
    </xf>
    <xf numFmtId="4" fontId="2" fillId="11" borderId="4" xfId="119" applyNumberFormat="1" applyFont="1" applyFill="1" applyBorder="1" applyProtection="1">
      <alignment horizontal="right" vertical="center"/>
    </xf>
    <xf numFmtId="0" fontId="3" fillId="11" borderId="19" xfId="213" applyFont="1" applyFill="1" applyBorder="1">
      <alignment horizontal="left" vertical="center" wrapText="1" indent="2"/>
    </xf>
    <xf numFmtId="0" fontId="3" fillId="11" borderId="2" xfId="214" applyFont="1" applyFill="1" applyBorder="1">
      <alignment horizontal="center" vertical="center"/>
    </xf>
    <xf numFmtId="49" fontId="11" fillId="11" borderId="2" xfId="215" applyNumberFormat="1" applyFont="1" applyFill="1" applyBorder="1">
      <alignment horizontal="center" vertical="center"/>
    </xf>
    <xf numFmtId="0" fontId="11" fillId="11" borderId="33" xfId="216" applyFont="1" applyFill="1" applyBorder="1">
      <alignment horizontal="left" vertical="center" indent="1"/>
    </xf>
    <xf numFmtId="49" fontId="11" fillId="11" borderId="1" xfId="217" applyNumberFormat="1" applyFont="1" applyFill="1" applyBorder="1">
      <alignment horizontal="left" vertical="center" indent="1"/>
    </xf>
    <xf numFmtId="4" fontId="6" fillId="0" borderId="0" xfId="218" applyNumberFormat="1" applyFont="1">
      <alignment vertical="top"/>
    </xf>
    <xf numFmtId="4" fontId="6" fillId="11" borderId="0" xfId="218" applyNumberFormat="1" applyFont="1" applyFill="1">
      <alignment vertical="top"/>
    </xf>
    <xf numFmtId="4" fontId="5" fillId="0" borderId="0" xfId="1" applyNumberFormat="1" applyFont="1">
      <alignment vertical="top"/>
    </xf>
    <xf numFmtId="4" fontId="1" fillId="0" borderId="0" xfId="1" applyNumberFormat="1" applyFont="1">
      <alignment vertical="top"/>
    </xf>
    <xf numFmtId="0" fontId="2" fillId="13" borderId="9" xfId="1278" applyFont="1" applyFill="1" applyBorder="1" applyProtection="1">
      <alignment horizontal="center" vertical="center"/>
    </xf>
    <xf numFmtId="0" fontId="2" fillId="34" borderId="23" xfId="1281" applyFont="1" applyFill="1" applyBorder="1">
      <alignment horizontal="center" vertical="center" wrapText="1"/>
    </xf>
    <xf numFmtId="0" fontId="2" fillId="34" borderId="25" xfId="1282" applyFont="1" applyFill="1" applyBorder="1">
      <alignment horizontal="center" vertical="center" wrapText="1"/>
    </xf>
    <xf numFmtId="0" fontId="2" fillId="0" borderId="205" xfId="22" applyFont="1" applyBorder="1" applyAlignment="1">
      <alignment vertical="center" wrapText="1"/>
    </xf>
    <xf numFmtId="0" fontId="2" fillId="34" borderId="9" xfId="1283" applyFont="1" applyFill="1" applyBorder="1">
      <alignment horizontal="center" vertical="center" wrapText="1"/>
    </xf>
    <xf numFmtId="0" fontId="2" fillId="34" borderId="6" xfId="1284" applyFont="1" applyFill="1" applyBorder="1">
      <alignment horizontal="center" vertical="center" wrapText="1"/>
    </xf>
    <xf numFmtId="0" fontId="2" fillId="0" borderId="206" xfId="31" applyFont="1" applyBorder="1" applyAlignment="1">
      <alignment vertical="center" wrapText="1"/>
    </xf>
    <xf numFmtId="0" fontId="2" fillId="34" borderId="79" xfId="1286" applyFont="1" applyFill="1" applyBorder="1">
      <alignment horizontal="center" vertical="center" wrapText="1"/>
    </xf>
    <xf numFmtId="171" fontId="2" fillId="34" borderId="13" xfId="1287" applyNumberFormat="1" applyFont="1" applyFill="1" applyBorder="1">
      <alignment horizontal="center" vertical="center" wrapText="1"/>
    </xf>
    <xf numFmtId="0" fontId="2" fillId="34" borderId="57" xfId="1288" applyFont="1" applyFill="1" applyBorder="1">
      <alignment horizontal="center" vertical="center" wrapText="1"/>
    </xf>
    <xf numFmtId="171" fontId="2" fillId="34" borderId="61" xfId="1289" applyNumberFormat="1" applyFont="1" applyFill="1" applyBorder="1">
      <alignment horizontal="center" vertical="center" wrapText="1"/>
    </xf>
    <xf numFmtId="0" fontId="2" fillId="34" borderId="4" xfId="1290" applyFont="1" applyFill="1" applyBorder="1">
      <alignment horizontal="center" vertical="center" wrapText="1"/>
    </xf>
    <xf numFmtId="0" fontId="2" fillId="0" borderId="15" xfId="1292" applyFont="1" applyBorder="1"/>
    <xf numFmtId="4" fontId="2" fillId="13" borderId="48" xfId="1293" applyNumberFormat="1" applyFont="1" applyFill="1" applyBorder="1" applyProtection="1">
      <alignment horizontal="center" vertical="center"/>
    </xf>
    <xf numFmtId="0" fontId="2" fillId="0" borderId="9" xfId="1294" applyFont="1" applyBorder="1"/>
    <xf numFmtId="4" fontId="2" fillId="13" borderId="7" xfId="1295" applyNumberFormat="1" applyFont="1" applyFill="1" applyBorder="1" applyProtection="1">
      <alignment horizontal="center" vertical="center"/>
    </xf>
    <xf numFmtId="4" fontId="2" fillId="13" borderId="3" xfId="48" applyNumberFormat="1" applyFont="1" applyFill="1" applyBorder="1">
      <alignment horizontal="center" vertical="center"/>
      <protection locked="0"/>
    </xf>
    <xf numFmtId="0" fontId="2" fillId="11" borderId="23" xfId="1296" applyFont="1" applyFill="1" applyBorder="1" applyProtection="1">
      <alignment horizontal="left" vertical="center" wrapText="1"/>
    </xf>
    <xf numFmtId="0" fontId="2" fillId="13" borderId="23" xfId="1296" applyFont="1" applyFill="1" applyBorder="1" applyProtection="1">
      <alignment horizontal="left" vertical="center" wrapText="1"/>
    </xf>
    <xf numFmtId="0" fontId="2" fillId="13" borderId="23" xfId="1296" applyFont="1" applyFill="1" applyBorder="1">
      <alignment horizontal="left" vertical="center" wrapText="1"/>
      <protection locked="0"/>
    </xf>
    <xf numFmtId="0" fontId="2" fillId="13" borderId="56" xfId="1297" applyFont="1" applyFill="1" applyBorder="1">
      <alignment horizontal="left" vertical="center" wrapText="1"/>
      <protection locked="0"/>
    </xf>
    <xf numFmtId="168" fontId="2" fillId="12" borderId="23" xfId="1298" applyNumberFormat="1" applyFont="1" applyFill="1" applyBorder="1">
      <alignment horizontal="right" vertical="center"/>
    </xf>
    <xf numFmtId="4" fontId="2" fillId="12" borderId="14" xfId="1299" applyNumberFormat="1" applyFont="1" applyFill="1" applyBorder="1">
      <alignment horizontal="right" vertical="center" wrapText="1"/>
    </xf>
    <xf numFmtId="10" fontId="2" fillId="13" borderId="19" xfId="108" applyNumberFormat="1" applyFont="1" applyFill="1" applyBorder="1">
      <alignment horizontal="right" vertical="center"/>
    </xf>
    <xf numFmtId="4" fontId="2" fillId="12" borderId="23" xfId="208" applyNumberFormat="1" applyFont="1" applyFill="1" applyBorder="1">
      <alignment horizontal="right" vertical="center" wrapText="1"/>
    </xf>
    <xf numFmtId="4" fontId="2" fillId="12" borderId="2" xfId="1301" applyNumberFormat="1" applyFont="1" applyFill="1" applyBorder="1">
      <alignment horizontal="right" vertical="center" wrapText="1"/>
    </xf>
    <xf numFmtId="4" fontId="2" fillId="12" borderId="3" xfId="1262" applyNumberFormat="1" applyFont="1" applyFill="1" applyBorder="1">
      <alignment horizontal="right" vertical="center" wrapText="1"/>
    </xf>
    <xf numFmtId="164" fontId="2" fillId="12" borderId="23" xfId="1302" applyNumberFormat="1" applyFont="1" applyFill="1" applyBorder="1">
      <alignment horizontal="right" vertical="center"/>
    </xf>
    <xf numFmtId="0" fontId="2" fillId="13" borderId="3" xfId="1303" applyFont="1" applyFill="1" applyBorder="1">
      <alignment horizontal="left" vertical="center" wrapText="1"/>
      <protection locked="0"/>
    </xf>
    <xf numFmtId="4" fontId="2" fillId="12" borderId="1" xfId="1305" applyNumberFormat="1" applyFont="1" applyFill="1" applyBorder="1">
      <alignment horizontal="right" vertical="center" wrapText="1"/>
    </xf>
    <xf numFmtId="10" fontId="2" fillId="12" borderId="23" xfId="1307" applyNumberFormat="1" applyFont="1" applyFill="1" applyBorder="1">
      <alignment horizontal="right" vertical="center"/>
    </xf>
    <xf numFmtId="0" fontId="2" fillId="13" borderId="4" xfId="1308" applyFont="1" applyFill="1" applyBorder="1">
      <alignment horizontal="left" vertical="center" wrapText="1"/>
      <protection locked="0"/>
    </xf>
    <xf numFmtId="4" fontId="2" fillId="13" borderId="4" xfId="119" applyNumberFormat="1" applyFont="1" applyFill="1" applyBorder="1">
      <alignment horizontal="right" vertical="center"/>
      <protection locked="0"/>
    </xf>
    <xf numFmtId="0" fontId="2" fillId="11" borderId="31" xfId="129" applyFont="1" applyFill="1" applyBorder="1">
      <alignment horizontal="center" vertical="center" wrapText="1"/>
    </xf>
    <xf numFmtId="167" fontId="8" fillId="11" borderId="17" xfId="131" applyNumberFormat="1" applyFont="1" applyFill="1" applyBorder="1">
      <alignment horizontal="right" vertical="center"/>
    </xf>
    <xf numFmtId="167" fontId="8" fillId="11" borderId="18" xfId="132" applyNumberFormat="1" applyFont="1" applyFill="1" applyBorder="1">
      <alignment horizontal="right" vertical="center"/>
    </xf>
    <xf numFmtId="167" fontId="8" fillId="11" borderId="2" xfId="134" applyNumberFormat="1" applyFont="1" applyFill="1" applyBorder="1">
      <alignment horizontal="right" vertical="center"/>
    </xf>
    <xf numFmtId="4" fontId="2" fillId="11" borderId="1" xfId="1305" applyNumberFormat="1" applyFont="1" applyFill="1" applyBorder="1">
      <alignment horizontal="right" vertical="center" wrapText="1"/>
    </xf>
    <xf numFmtId="4" fontId="2" fillId="11" borderId="14" xfId="1299" applyNumberFormat="1" applyFont="1" applyFill="1" applyBorder="1">
      <alignment horizontal="right" vertical="center" wrapText="1"/>
    </xf>
    <xf numFmtId="0" fontId="2" fillId="11" borderId="4" xfId="1308" applyFont="1" applyFill="1" applyBorder="1" applyProtection="1">
      <alignment horizontal="left" vertical="center" wrapText="1"/>
    </xf>
    <xf numFmtId="49" fontId="2" fillId="11" borderId="3" xfId="118" applyNumberFormat="1" applyFont="1" applyFill="1" applyBorder="1" applyProtection="1">
      <alignment horizontal="left" vertical="center" wrapText="1"/>
    </xf>
    <xf numFmtId="167" fontId="10" fillId="11" borderId="18" xfId="138" applyNumberFormat="1" applyFont="1" applyFill="1" applyBorder="1">
      <alignment horizontal="right" vertical="center"/>
    </xf>
    <xf numFmtId="167" fontId="10" fillId="11" borderId="4" xfId="1312" applyNumberFormat="1" applyFont="1" applyFill="1" applyBorder="1">
      <alignment horizontal="right" vertical="center"/>
    </xf>
    <xf numFmtId="4" fontId="2" fillId="11" borderId="18" xfId="1259" applyNumberFormat="1" applyFont="1" applyFill="1" applyBorder="1">
      <alignment horizontal="right" vertical="center" wrapText="1"/>
    </xf>
    <xf numFmtId="4" fontId="2" fillId="11" borderId="31" xfId="1313" applyNumberFormat="1" applyFont="1" applyFill="1" applyBorder="1">
      <alignment horizontal="right" vertical="center" wrapText="1"/>
    </xf>
    <xf numFmtId="4" fontId="2" fillId="11" borderId="3" xfId="1262" applyNumberFormat="1" applyFont="1" applyFill="1" applyBorder="1">
      <alignment horizontal="right" vertical="center" wrapText="1"/>
    </xf>
    <xf numFmtId="4" fontId="2" fillId="11" borderId="2" xfId="1301" applyNumberFormat="1" applyFont="1" applyFill="1" applyBorder="1">
      <alignment horizontal="right" vertical="center" wrapText="1"/>
    </xf>
    <xf numFmtId="167" fontId="2" fillId="11" borderId="4" xfId="122" applyNumberFormat="1" applyFont="1" applyFill="1" applyBorder="1">
      <alignment horizontal="right" vertical="center"/>
    </xf>
    <xf numFmtId="0" fontId="2" fillId="11" borderId="18" xfId="1314" applyFont="1" applyFill="1" applyBorder="1" applyProtection="1">
      <alignment horizontal="left" vertical="center" wrapText="1"/>
    </xf>
    <xf numFmtId="0" fontId="9" fillId="11" borderId="19" xfId="145" applyFont="1" applyFill="1" applyBorder="1">
      <alignment horizontal="left" vertical="center" wrapText="1" indent="3"/>
    </xf>
    <xf numFmtId="0" fontId="2" fillId="16" borderId="19" xfId="65" applyFont="1" applyFill="1" applyBorder="1">
      <alignment horizontal="center" vertical="center" wrapText="1"/>
    </xf>
    <xf numFmtId="0" fontId="2" fillId="0" borderId="19" xfId="151" applyFont="1" applyBorder="1">
      <alignment horizontal="left" vertical="center" wrapText="1" indent="4"/>
    </xf>
    <xf numFmtId="4" fontId="2" fillId="12" borderId="19" xfId="1315" applyNumberFormat="1" applyFont="1" applyFill="1" applyBorder="1" applyProtection="1">
      <alignment horizontal="right" vertical="center"/>
    </xf>
    <xf numFmtId="4" fontId="2" fillId="13" borderId="19" xfId="206" applyNumberFormat="1" applyFont="1" applyFill="1" applyBorder="1" applyProtection="1">
      <alignment horizontal="right" vertical="center"/>
      <protection locked="0"/>
    </xf>
    <xf numFmtId="4" fontId="2" fillId="11" borderId="19" xfId="1316" applyNumberFormat="1" applyFont="1" applyFill="1" applyBorder="1">
      <alignment vertical="top"/>
    </xf>
    <xf numFmtId="0" fontId="2" fillId="13" borderId="9" xfId="1317" applyFont="1" applyFill="1" applyBorder="1">
      <alignment horizontal="left" vertical="center" wrapText="1"/>
      <protection locked="0"/>
    </xf>
    <xf numFmtId="0" fontId="2" fillId="11" borderId="9" xfId="1317" applyFont="1" applyFill="1" applyBorder="1" applyProtection="1">
      <alignment horizontal="left" vertical="center" wrapText="1"/>
    </xf>
    <xf numFmtId="4" fontId="2" fillId="11" borderId="2" xfId="1318" applyNumberFormat="1" applyFont="1" applyFill="1" applyBorder="1">
      <alignment horizontal="right" vertical="center"/>
    </xf>
    <xf numFmtId="4" fontId="2" fillId="11" borderId="3" xfId="1319" applyNumberFormat="1" applyFont="1" applyFill="1" applyBorder="1">
      <alignment horizontal="right" vertical="center"/>
    </xf>
    <xf numFmtId="4" fontId="2" fillId="11" borderId="2" xfId="1320" applyNumberFormat="1" applyFont="1" applyFill="1" applyBorder="1" applyProtection="1">
      <alignment horizontal="right" vertical="center"/>
    </xf>
    <xf numFmtId="4" fontId="2" fillId="11" borderId="3" xfId="1321" applyNumberFormat="1" applyFont="1" applyFill="1" applyBorder="1" applyProtection="1">
      <alignment horizontal="right" vertical="center"/>
    </xf>
    <xf numFmtId="4" fontId="2" fillId="11" borderId="25" xfId="1322" applyNumberFormat="1" applyFont="1" applyFill="1" applyBorder="1">
      <alignment horizontal="right" vertical="center" wrapText="1"/>
    </xf>
    <xf numFmtId="4" fontId="2" fillId="11" borderId="6" xfId="1323" applyNumberFormat="1" applyFont="1" applyFill="1" applyBorder="1">
      <alignment horizontal="right" vertical="center"/>
    </xf>
    <xf numFmtId="4" fontId="2" fillId="11" borderId="7" xfId="1324" applyNumberFormat="1" applyFont="1" applyFill="1" applyBorder="1">
      <alignment horizontal="right" vertical="center"/>
    </xf>
    <xf numFmtId="4" fontId="2" fillId="11" borderId="4" xfId="210" applyNumberFormat="1" applyFont="1" applyFill="1" applyBorder="1">
      <alignment horizontal="right" vertical="center"/>
    </xf>
    <xf numFmtId="4" fontId="2" fillId="11" borderId="3" xfId="48" applyNumberFormat="1" applyFont="1" applyFill="1" applyBorder="1" applyProtection="1">
      <alignment horizontal="center" vertical="center"/>
    </xf>
    <xf numFmtId="4" fontId="2" fillId="11" borderId="16" xfId="1326" applyNumberFormat="1" applyFont="1" applyFill="1" applyBorder="1">
      <alignment horizontal="right" vertical="center"/>
    </xf>
    <xf numFmtId="0" fontId="2" fillId="11" borderId="19" xfId="1327" applyFont="1" applyFill="1" applyBorder="1" applyProtection="1">
      <alignment horizontal="center" vertical="center"/>
    </xf>
    <xf numFmtId="49" fontId="2" fillId="11" borderId="8" xfId="1328" applyNumberFormat="1" applyFont="1" applyFill="1" applyBorder="1">
      <alignment horizontal="center" vertical="center"/>
    </xf>
    <xf numFmtId="4" fontId="2" fillId="11" borderId="4" xfId="1329" applyNumberFormat="1" applyFont="1" applyFill="1" applyBorder="1" applyProtection="1">
      <alignment horizontal="right" vertical="center"/>
    </xf>
    <xf numFmtId="0" fontId="2" fillId="14" borderId="4" xfId="29" applyFont="1" applyFill="1" applyBorder="1">
      <alignment horizontal="center" vertical="center" wrapText="1"/>
    </xf>
    <xf numFmtId="0" fontId="2" fillId="0" borderId="6" xfId="23" applyFont="1" applyBorder="1">
      <alignment horizontal="center" vertical="center" wrapText="1"/>
    </xf>
    <xf numFmtId="0" fontId="2" fillId="11" borderId="5" xfId="22" applyFont="1" applyFill="1" applyBorder="1">
      <alignment horizontal="center" vertical="center" wrapText="1"/>
    </xf>
    <xf numFmtId="0" fontId="2" fillId="11" borderId="7" xfId="24" applyFont="1" applyFill="1" applyBorder="1">
      <alignment horizontal="center" vertical="center" wrapText="1"/>
    </xf>
    <xf numFmtId="0" fontId="2" fillId="14" borderId="6" xfId="25" applyFont="1" applyFill="1" applyBorder="1">
      <alignment horizontal="center" vertical="center" wrapText="1"/>
    </xf>
    <xf numFmtId="0" fontId="2" fillId="11" borderId="5" xfId="26" applyFont="1" applyFill="1" applyBorder="1">
      <alignment horizontal="center" vertical="center" wrapText="1"/>
    </xf>
    <xf numFmtId="0" fontId="2" fillId="11" borderId="7" xfId="27" applyFont="1" applyFill="1" applyBorder="1">
      <alignment horizontal="center" vertical="center" wrapText="1"/>
    </xf>
    <xf numFmtId="0" fontId="2" fillId="14" borderId="11" xfId="34" applyFont="1" applyFill="1" applyBorder="1">
      <alignment horizontal="center" vertical="center" wrapText="1"/>
    </xf>
    <xf numFmtId="0" fontId="2" fillId="11" borderId="10" xfId="35" applyFont="1" applyFill="1" applyBorder="1">
      <alignment horizontal="center" vertical="center" wrapText="1"/>
    </xf>
    <xf numFmtId="0" fontId="2" fillId="11" borderId="12" xfId="36" applyFont="1" applyFill="1" applyBorder="1">
      <alignment horizontal="center" vertical="center" wrapText="1"/>
    </xf>
    <xf numFmtId="0" fontId="2" fillId="0" borderId="0" xfId="16" applyFont="1">
      <alignment horizontal="right" vertical="center"/>
    </xf>
    <xf numFmtId="0" fontId="1" fillId="0" borderId="0" xfId="1" applyFont="1">
      <alignment vertical="top"/>
    </xf>
    <xf numFmtId="0" fontId="2" fillId="12" borderId="2" xfId="17" applyFont="1" applyFill="1" applyBorder="1">
      <alignment horizontal="left" vertical="center" indent="1"/>
    </xf>
    <xf numFmtId="0" fontId="2" fillId="12" borderId="1" xfId="18" applyFont="1" applyFill="1" applyBorder="1">
      <alignment horizontal="left" vertical="center" indent="1"/>
    </xf>
    <xf numFmtId="0" fontId="2" fillId="11" borderId="1" xfId="18" applyFont="1" applyFill="1" applyBorder="1">
      <alignment horizontal="left" vertical="center" indent="1"/>
    </xf>
    <xf numFmtId="0" fontId="2" fillId="11" borderId="3" xfId="19" applyFont="1" applyFill="1" applyBorder="1">
      <alignment horizontal="left" vertical="center" indent="1"/>
    </xf>
    <xf numFmtId="0" fontId="2" fillId="0" borderId="4" xfId="21" applyFont="1" applyBorder="1">
      <alignment horizontal="center" vertical="center" wrapText="1"/>
    </xf>
    <xf numFmtId="0" fontId="2" fillId="0" borderId="14" xfId="38" applyFont="1" applyBorder="1">
      <alignment horizontal="center" vertical="center" wrapText="1"/>
    </xf>
    <xf numFmtId="0" fontId="2" fillId="0" borderId="11" xfId="32" applyFont="1" applyBorder="1">
      <alignment horizontal="center" vertical="center" wrapText="1"/>
    </xf>
    <xf numFmtId="0" fontId="2" fillId="11" borderId="10" xfId="31" applyFont="1" applyFill="1" applyBorder="1">
      <alignment horizontal="center" vertical="center" wrapText="1"/>
    </xf>
    <xf numFmtId="0" fontId="2" fillId="11" borderId="12" xfId="33" applyFont="1" applyFill="1" applyBorder="1">
      <alignment horizontal="center" vertical="center" wrapText="1"/>
    </xf>
    <xf numFmtId="0" fontId="5" fillId="0" borderId="0" xfId="1" applyFont="1">
      <alignment vertical="top"/>
    </xf>
    <xf numFmtId="0" fontId="2" fillId="0" borderId="1" xfId="13" applyFont="1" applyBorder="1">
      <alignment horizontal="left" vertical="center" indent="1"/>
    </xf>
    <xf numFmtId="0" fontId="2" fillId="0" borderId="26" xfId="21" applyFont="1" applyBorder="1">
      <alignment horizontal="center" vertical="center" wrapText="1"/>
    </xf>
    <xf numFmtId="0" fontId="2" fillId="0" borderId="73" xfId="21" applyFont="1" applyBorder="1">
      <alignment horizontal="center" vertical="center" wrapText="1"/>
    </xf>
    <xf numFmtId="0" fontId="2" fillId="0" borderId="74" xfId="21" applyFont="1" applyBorder="1">
      <alignment horizontal="center" vertical="center" wrapText="1"/>
    </xf>
  </cellXfs>
  <cellStyles count="3730">
    <cellStyle name="s3747" xfId="219"/>
    <cellStyle name="s3748" xfId="220"/>
    <cellStyle name="s3749" xfId="221"/>
    <cellStyle name="s3750" xfId="222"/>
    <cellStyle name="s3751" xfId="223"/>
    <cellStyle name="s3752" xfId="224"/>
    <cellStyle name="s3753" xfId="225"/>
    <cellStyle name="s3754" xfId="226"/>
    <cellStyle name="s3755" xfId="227"/>
    <cellStyle name="s3756" xfId="228"/>
    <cellStyle name="s3757" xfId="229"/>
    <cellStyle name="s3758" xfId="230"/>
    <cellStyle name="s3759" xfId="231"/>
    <cellStyle name="s3760" xfId="232"/>
    <cellStyle name="s3761" xfId="233"/>
    <cellStyle name="s3762" xfId="234"/>
    <cellStyle name="s3763" xfId="235"/>
    <cellStyle name="s3764" xfId="236"/>
    <cellStyle name="s3765" xfId="237"/>
    <cellStyle name="s3766" xfId="238"/>
    <cellStyle name="s3767" xfId="239"/>
    <cellStyle name="s3768" xfId="240"/>
    <cellStyle name="s3769" xfId="241"/>
    <cellStyle name="s3770" xfId="242"/>
    <cellStyle name="s3771" xfId="243"/>
    <cellStyle name="s3772" xfId="244"/>
    <cellStyle name="s3773" xfId="245"/>
    <cellStyle name="s3774" xfId="246"/>
    <cellStyle name="s3775" xfId="39"/>
    <cellStyle name="s3776" xfId="247"/>
    <cellStyle name="s3777" xfId="248"/>
    <cellStyle name="s3778" xfId="249"/>
    <cellStyle name="s3779" xfId="250"/>
    <cellStyle name="s3780" xfId="251"/>
    <cellStyle name="s3781" xfId="252"/>
    <cellStyle name="s3782" xfId="253"/>
    <cellStyle name="s3783" xfId="165"/>
    <cellStyle name="s3784" xfId="254"/>
    <cellStyle name="s3785" xfId="255"/>
    <cellStyle name="s3786" xfId="256"/>
    <cellStyle name="s3787" xfId="257"/>
    <cellStyle name="s3788" xfId="258"/>
    <cellStyle name="s3789" xfId="259"/>
    <cellStyle name="s3790" xfId="215"/>
    <cellStyle name="s3791" xfId="260"/>
    <cellStyle name="s3792" xfId="261"/>
    <cellStyle name="s3793" xfId="262"/>
    <cellStyle name="s3794" xfId="263"/>
    <cellStyle name="s3795" xfId="264"/>
    <cellStyle name="s3796" xfId="265"/>
    <cellStyle name="s3797" xfId="266"/>
    <cellStyle name="s3798" xfId="267"/>
    <cellStyle name="s3799" xfId="268"/>
    <cellStyle name="s3800" xfId="269"/>
    <cellStyle name="s3801" xfId="270"/>
    <cellStyle name="s3802" xfId="178"/>
    <cellStyle name="s3803" xfId="271"/>
    <cellStyle name="s3804" xfId="272"/>
    <cellStyle name="s3805" xfId="57"/>
    <cellStyle name="s3806" xfId="273"/>
    <cellStyle name="s3807" xfId="274"/>
    <cellStyle name="s3808" xfId="275"/>
    <cellStyle name="s3809" xfId="276"/>
    <cellStyle name="s3810" xfId="277"/>
    <cellStyle name="s3811" xfId="278"/>
    <cellStyle name="s3812" xfId="279"/>
    <cellStyle name="s3813" xfId="280"/>
    <cellStyle name="s3814" xfId="194"/>
    <cellStyle name="s3815" xfId="281"/>
    <cellStyle name="s3816" xfId="282"/>
    <cellStyle name="s3817" xfId="98"/>
    <cellStyle name="s3818" xfId="283"/>
    <cellStyle name="s3819" xfId="284"/>
    <cellStyle name="s3820" xfId="285"/>
    <cellStyle name="s3821" xfId="286"/>
    <cellStyle name="s3822" xfId="287"/>
    <cellStyle name="s3823" xfId="137"/>
    <cellStyle name="s3824" xfId="288"/>
    <cellStyle name="s3825" xfId="289"/>
    <cellStyle name="s3826" xfId="14"/>
    <cellStyle name="s3827" xfId="290"/>
    <cellStyle name="s3828" xfId="291"/>
    <cellStyle name="s3829" xfId="292"/>
    <cellStyle name="s3830" xfId="293"/>
    <cellStyle name="s3831" xfId="294"/>
    <cellStyle name="s3832" xfId="295"/>
    <cellStyle name="s3833" xfId="296"/>
    <cellStyle name="s3834" xfId="297"/>
    <cellStyle name="s3835" xfId="298"/>
    <cellStyle name="s3836" xfId="299"/>
    <cellStyle name="s3837" xfId="300"/>
    <cellStyle name="s3838" xfId="301"/>
    <cellStyle name="s3839" xfId="302"/>
    <cellStyle name="s3840" xfId="142"/>
    <cellStyle name="s3841" xfId="303"/>
    <cellStyle name="s3842" xfId="304"/>
    <cellStyle name="s3843" xfId="305"/>
    <cellStyle name="s3844" xfId="306"/>
    <cellStyle name="s3845" xfId="307"/>
    <cellStyle name="s3846" xfId="308"/>
    <cellStyle name="s3847" xfId="309"/>
    <cellStyle name="s3848" xfId="310"/>
    <cellStyle name="s3849" xfId="311"/>
    <cellStyle name="s3850" xfId="312"/>
    <cellStyle name="s3851" xfId="313"/>
    <cellStyle name="s3852" xfId="314"/>
    <cellStyle name="s3853" xfId="315"/>
    <cellStyle name="s3854" xfId="316"/>
    <cellStyle name="s3855" xfId="317"/>
    <cellStyle name="s3856" xfId="318"/>
    <cellStyle name="s3857" xfId="319"/>
    <cellStyle name="s3858" xfId="320"/>
    <cellStyle name="s3859" xfId="321"/>
    <cellStyle name="s3860" xfId="322"/>
    <cellStyle name="s3861" xfId="323"/>
    <cellStyle name="s3862" xfId="324"/>
    <cellStyle name="s3863" xfId="325"/>
    <cellStyle name="s3864" xfId="326"/>
    <cellStyle name="s3865" xfId="327"/>
    <cellStyle name="s3866" xfId="328"/>
    <cellStyle name="s3867" xfId="329"/>
    <cellStyle name="s3868" xfId="330"/>
    <cellStyle name="s3869" xfId="331"/>
    <cellStyle name="s3870" xfId="13"/>
    <cellStyle name="s3871" xfId="332"/>
    <cellStyle name="s3872" xfId="333"/>
    <cellStyle name="s3873" xfId="334"/>
    <cellStyle name="s3874" xfId="335"/>
    <cellStyle name="s3875" xfId="336"/>
    <cellStyle name="s3876" xfId="337"/>
    <cellStyle name="s3877" xfId="338"/>
    <cellStyle name="s3878" xfId="339"/>
    <cellStyle name="s3879" xfId="340"/>
    <cellStyle name="s3880" xfId="341"/>
    <cellStyle name="s3881" xfId="342"/>
    <cellStyle name="s3882" xfId="343"/>
    <cellStyle name="s3883" xfId="344"/>
    <cellStyle name="s3884" xfId="345"/>
    <cellStyle name="s3885" xfId="346"/>
    <cellStyle name="s3886" xfId="347"/>
    <cellStyle name="s3887" xfId="348"/>
    <cellStyle name="s3888" xfId="349"/>
    <cellStyle name="s3889" xfId="350"/>
    <cellStyle name="s3890" xfId="351"/>
    <cellStyle name="s3891" xfId="352"/>
    <cellStyle name="s3892" xfId="353"/>
    <cellStyle name="s3893" xfId="354"/>
    <cellStyle name="s3894" xfId="355"/>
    <cellStyle name="s3895" xfId="356"/>
    <cellStyle name="s3896" xfId="357"/>
    <cellStyle name="s3897" xfId="358"/>
    <cellStyle name="s3898" xfId="359"/>
    <cellStyle name="s3899" xfId="360"/>
    <cellStyle name="s3900" xfId="361"/>
    <cellStyle name="s3901" xfId="362"/>
    <cellStyle name="s3902" xfId="24"/>
    <cellStyle name="s3903" xfId="45"/>
    <cellStyle name="s3904" xfId="23"/>
    <cellStyle name="s3905" xfId="363"/>
    <cellStyle name="s3906" xfId="364"/>
    <cellStyle name="s3907" xfId="365"/>
    <cellStyle name="s3908" xfId="366"/>
    <cellStyle name="s3909" xfId="367"/>
    <cellStyle name="s3910" xfId="368"/>
    <cellStyle name="s3911" xfId="369"/>
    <cellStyle name="s3912" xfId="370"/>
    <cellStyle name="s3913" xfId="371"/>
    <cellStyle name="s3914" xfId="372"/>
    <cellStyle name="s3915" xfId="373"/>
    <cellStyle name="s3916" xfId="374"/>
    <cellStyle name="s3917" xfId="375"/>
    <cellStyle name="s3918" xfId="376"/>
    <cellStyle name="s3919" xfId="377"/>
    <cellStyle name="s3920" xfId="378"/>
    <cellStyle name="s3921" xfId="379"/>
    <cellStyle name="s3922" xfId="380"/>
    <cellStyle name="s3923" xfId="381"/>
    <cellStyle name="s3924" xfId="382"/>
    <cellStyle name="s3925" xfId="383"/>
    <cellStyle name="s3926" xfId="384"/>
    <cellStyle name="s3927" xfId="385"/>
    <cellStyle name="s3928" xfId="386"/>
    <cellStyle name="s3929" xfId="387"/>
    <cellStyle name="s3930" xfId="388"/>
    <cellStyle name="s3931" xfId="389"/>
    <cellStyle name="s3932" xfId="390"/>
    <cellStyle name="s3933" xfId="391"/>
    <cellStyle name="s3934" xfId="392"/>
    <cellStyle name="s3935" xfId="393"/>
    <cellStyle name="s3936" xfId="394"/>
    <cellStyle name="s3937" xfId="395"/>
    <cellStyle name="s3938" xfId="396"/>
    <cellStyle name="s3939" xfId="397"/>
    <cellStyle name="s3940" xfId="398"/>
    <cellStyle name="s3941" xfId="399"/>
    <cellStyle name="s3942" xfId="400"/>
    <cellStyle name="s3943" xfId="401"/>
    <cellStyle name="s3944" xfId="402"/>
    <cellStyle name="s3945" xfId="403"/>
    <cellStyle name="s3946" xfId="404"/>
    <cellStyle name="s3947" xfId="405"/>
    <cellStyle name="s3948" xfId="406"/>
    <cellStyle name="s3949" xfId="407"/>
    <cellStyle name="s3950" xfId="408"/>
    <cellStyle name="s3951" xfId="409"/>
    <cellStyle name="s3952" xfId="410"/>
    <cellStyle name="s3953" xfId="411"/>
    <cellStyle name="s3954" xfId="412"/>
    <cellStyle name="s3955" xfId="413"/>
    <cellStyle name="s3956" xfId="414"/>
    <cellStyle name="s3957" xfId="415"/>
    <cellStyle name="s3958" xfId="416"/>
    <cellStyle name="s3959" xfId="417"/>
    <cellStyle name="s3960" xfId="418"/>
    <cellStyle name="s3961" xfId="419"/>
    <cellStyle name="s3962" xfId="420"/>
    <cellStyle name="s3963" xfId="421"/>
    <cellStyle name="s3964" xfId="422"/>
    <cellStyle name="s3965" xfId="22"/>
    <cellStyle name="s3966" xfId="423"/>
    <cellStyle name="s3967" xfId="424"/>
    <cellStyle name="s3968" xfId="425"/>
    <cellStyle name="s3969" xfId="426"/>
    <cellStyle name="s3970" xfId="427"/>
    <cellStyle name="s3971" xfId="428"/>
    <cellStyle name="s3972" xfId="429"/>
    <cellStyle name="s3973" xfId="430"/>
    <cellStyle name="s3974" xfId="431"/>
    <cellStyle name="s3975" xfId="9"/>
    <cellStyle name="s3976" xfId="432"/>
    <cellStyle name="s3977" xfId="433"/>
    <cellStyle name="s3978" xfId="434"/>
    <cellStyle name="s3979" xfId="435"/>
    <cellStyle name="s3980" xfId="436"/>
    <cellStyle name="s3981" xfId="437"/>
    <cellStyle name="s3982" xfId="438"/>
    <cellStyle name="s3983" xfId="439"/>
    <cellStyle name="s3984" xfId="440"/>
    <cellStyle name="s3985" xfId="441"/>
    <cellStyle name="s3986" xfId="442"/>
    <cellStyle name="s3987" xfId="443"/>
    <cellStyle name="s3988" xfId="444"/>
    <cellStyle name="s3989" xfId="445"/>
    <cellStyle name="s3990" xfId="446"/>
    <cellStyle name="s3991" xfId="447"/>
    <cellStyle name="s3992" xfId="448"/>
    <cellStyle name="s3993" xfId="449"/>
    <cellStyle name="s3994" xfId="450"/>
    <cellStyle name="s3995" xfId="451"/>
    <cellStyle name="s3996" xfId="452"/>
    <cellStyle name="s3997" xfId="453"/>
    <cellStyle name="s3998" xfId="454"/>
    <cellStyle name="s3999" xfId="455"/>
    <cellStyle name="s4000" xfId="456"/>
    <cellStyle name="s4001" xfId="457"/>
    <cellStyle name="s4002" xfId="458"/>
    <cellStyle name="s4003" xfId="459"/>
    <cellStyle name="s4004" xfId="460"/>
    <cellStyle name="s4005" xfId="461"/>
    <cellStyle name="s4006" xfId="462"/>
    <cellStyle name="s4007" xfId="463"/>
    <cellStyle name="s4008" xfId="464"/>
    <cellStyle name="s4009" xfId="465"/>
    <cellStyle name="s4010" xfId="466"/>
    <cellStyle name="s4011" xfId="467"/>
    <cellStyle name="s4012" xfId="468"/>
    <cellStyle name="s4013" xfId="469"/>
    <cellStyle name="s4014" xfId="470"/>
    <cellStyle name="s4015" xfId="471"/>
    <cellStyle name="s4016" xfId="472"/>
    <cellStyle name="s4017" xfId="473"/>
    <cellStyle name="s4018" xfId="474"/>
    <cellStyle name="s4019" xfId="475"/>
    <cellStyle name="s4020" xfId="476"/>
    <cellStyle name="s4021" xfId="477"/>
    <cellStyle name="s4022" xfId="478"/>
    <cellStyle name="s4023" xfId="479"/>
    <cellStyle name="s4024" xfId="480"/>
    <cellStyle name="s4025" xfId="481"/>
    <cellStyle name="s4026" xfId="86"/>
    <cellStyle name="s4027" xfId="482"/>
    <cellStyle name="s4028" xfId="483"/>
    <cellStyle name="s4029" xfId="484"/>
    <cellStyle name="s4030" xfId="485"/>
    <cellStyle name="s4031" xfId="486"/>
    <cellStyle name="s4032" xfId="487"/>
    <cellStyle name="s4033" xfId="488"/>
    <cellStyle name="s4034" xfId="489"/>
    <cellStyle name="s4035" xfId="490"/>
    <cellStyle name="s4036" xfId="491"/>
    <cellStyle name="s4037" xfId="492"/>
    <cellStyle name="s4038" xfId="493"/>
    <cellStyle name="s4039" xfId="494"/>
    <cellStyle name="s4040" xfId="495"/>
    <cellStyle name="s4041" xfId="496"/>
    <cellStyle name="s4042" xfId="497"/>
    <cellStyle name="s4043" xfId="498"/>
    <cellStyle name="s4044" xfId="499"/>
    <cellStyle name="s4045" xfId="500"/>
    <cellStyle name="s4046" xfId="501"/>
    <cellStyle name="s4047" xfId="502"/>
    <cellStyle name="s4048" xfId="503"/>
    <cellStyle name="s4049" xfId="504"/>
    <cellStyle name="s4050" xfId="505"/>
    <cellStyle name="s4051" xfId="506"/>
    <cellStyle name="s4052" xfId="507"/>
    <cellStyle name="s4053" xfId="508"/>
    <cellStyle name="s4054" xfId="509"/>
    <cellStyle name="s4055" xfId="510"/>
    <cellStyle name="s4056" xfId="511"/>
    <cellStyle name="s4057" xfId="512"/>
    <cellStyle name="s4058" xfId="513"/>
    <cellStyle name="s4059" xfId="514"/>
    <cellStyle name="s4060" xfId="515"/>
    <cellStyle name="s4061" xfId="516"/>
    <cellStyle name="s4062" xfId="517"/>
    <cellStyle name="s4063" xfId="518"/>
    <cellStyle name="s4064" xfId="519"/>
    <cellStyle name="s4065" xfId="520"/>
    <cellStyle name="s4066" xfId="521"/>
    <cellStyle name="s4067" xfId="522"/>
    <cellStyle name="s4068" xfId="523"/>
    <cellStyle name="s4069" xfId="7"/>
    <cellStyle name="s4070" xfId="2"/>
    <cellStyle name="s4071" xfId="524"/>
    <cellStyle name="s4072" xfId="4"/>
    <cellStyle name="s4073" xfId="525"/>
    <cellStyle name="s4074" xfId="526"/>
    <cellStyle name="s4075" xfId="527"/>
    <cellStyle name="s4076" xfId="528"/>
    <cellStyle name="s4077" xfId="529"/>
    <cellStyle name="s4078" xfId="530"/>
    <cellStyle name="s4079" xfId="531"/>
    <cellStyle name="s4080" xfId="532"/>
    <cellStyle name="s4081" xfId="533"/>
    <cellStyle name="s4082" xfId="534"/>
    <cellStyle name="s4083" xfId="535"/>
    <cellStyle name="s4084" xfId="536"/>
    <cellStyle name="s4085" xfId="537"/>
    <cellStyle name="s4086" xfId="538"/>
    <cellStyle name="s4087" xfId="539"/>
    <cellStyle name="s4088" xfId="540"/>
    <cellStyle name="s4089" xfId="541"/>
    <cellStyle name="s4090" xfId="542"/>
    <cellStyle name="s4091" xfId="543"/>
    <cellStyle name="s4092" xfId="544"/>
    <cellStyle name="s4093" xfId="3"/>
    <cellStyle name="s4094" xfId="545"/>
    <cellStyle name="s4095" xfId="546"/>
    <cellStyle name="s4096" xfId="547"/>
    <cellStyle name="s4097" xfId="548"/>
    <cellStyle name="s4098" xfId="8"/>
    <cellStyle name="s4099" xfId="549"/>
    <cellStyle name="s4100" xfId="550"/>
    <cellStyle name="s4101" xfId="551"/>
    <cellStyle name="s4102" xfId="552"/>
    <cellStyle name="s4103" xfId="553"/>
    <cellStyle name="s4104" xfId="554"/>
    <cellStyle name="s4105" xfId="555"/>
    <cellStyle name="s4106" xfId="556"/>
    <cellStyle name="s4107" xfId="557"/>
    <cellStyle name="s4108" xfId="558"/>
    <cellStyle name="s4109" xfId="559"/>
    <cellStyle name="s4110" xfId="560"/>
    <cellStyle name="s4111" xfId="561"/>
    <cellStyle name="s4112" xfId="562"/>
    <cellStyle name="s4113" xfId="563"/>
    <cellStyle name="s4114" xfId="564"/>
    <cellStyle name="s4115" xfId="565"/>
    <cellStyle name="s4116" xfId="566"/>
    <cellStyle name="s4117" xfId="567"/>
    <cellStyle name="s4118" xfId="568"/>
    <cellStyle name="s4119" xfId="569"/>
    <cellStyle name="s4120" xfId="570"/>
    <cellStyle name="s4121" xfId="571"/>
    <cellStyle name="s4122" xfId="572"/>
    <cellStyle name="s4123" xfId="573"/>
    <cellStyle name="s4124" xfId="574"/>
    <cellStyle name="s4125" xfId="575"/>
    <cellStyle name="s4126" xfId="576"/>
    <cellStyle name="s4127" xfId="577"/>
    <cellStyle name="s4128" xfId="578"/>
    <cellStyle name="s4129" xfId="579"/>
    <cellStyle name="s4130" xfId="580"/>
    <cellStyle name="s4131" xfId="581"/>
    <cellStyle name="s4132" xfId="582"/>
    <cellStyle name="s4133" xfId="583"/>
    <cellStyle name="s4134" xfId="584"/>
    <cellStyle name="s4135" xfId="585"/>
    <cellStyle name="s4136" xfId="586"/>
    <cellStyle name="s4137" xfId="587"/>
    <cellStyle name="s4138" xfId="588"/>
    <cellStyle name="s4139" xfId="589"/>
    <cellStyle name="s4140" xfId="590"/>
    <cellStyle name="s4141" xfId="591"/>
    <cellStyle name="s4142" xfId="592"/>
    <cellStyle name="s4143" xfId="77"/>
    <cellStyle name="s4144" xfId="593"/>
    <cellStyle name="s4145" xfId="594"/>
    <cellStyle name="s4146" xfId="595"/>
    <cellStyle name="s4147" xfId="596"/>
    <cellStyle name="s4148" xfId="597"/>
    <cellStyle name="s4149" xfId="598"/>
    <cellStyle name="s4150" xfId="599"/>
    <cellStyle name="s4151" xfId="600"/>
    <cellStyle name="s4152" xfId="601"/>
    <cellStyle name="s4153" xfId="602"/>
    <cellStyle name="s4154" xfId="603"/>
    <cellStyle name="s4155" xfId="604"/>
    <cellStyle name="s4156" xfId="605"/>
    <cellStyle name="s4157" xfId="606"/>
    <cellStyle name="s4158" xfId="607"/>
    <cellStyle name="s4159" xfId="608"/>
    <cellStyle name="s4160" xfId="609"/>
    <cellStyle name="s4161" xfId="610"/>
    <cellStyle name="s4162" xfId="611"/>
    <cellStyle name="s4163" xfId="612"/>
    <cellStyle name="s4164" xfId="613"/>
    <cellStyle name="s4165" xfId="614"/>
    <cellStyle name="s4166" xfId="615"/>
    <cellStyle name="s4167" xfId="616"/>
    <cellStyle name="s4168" xfId="617"/>
    <cellStyle name="s4169" xfId="618"/>
    <cellStyle name="s4170" xfId="619"/>
    <cellStyle name="s4171" xfId="620"/>
    <cellStyle name="s4172" xfId="621"/>
    <cellStyle name="s4173" xfId="622"/>
    <cellStyle name="s4174" xfId="623"/>
    <cellStyle name="s4175" xfId="624"/>
    <cellStyle name="s4176" xfId="12"/>
    <cellStyle name="s4177" xfId="625"/>
    <cellStyle name="s4178" xfId="160"/>
    <cellStyle name="s4179" xfId="626"/>
    <cellStyle name="s4180" xfId="627"/>
    <cellStyle name="s4181" xfId="628"/>
    <cellStyle name="s4182" xfId="629"/>
    <cellStyle name="s4183" xfId="630"/>
    <cellStyle name="s4184" xfId="631"/>
    <cellStyle name="s4185" xfId="632"/>
    <cellStyle name="s4186" xfId="633"/>
    <cellStyle name="s4187" xfId="634"/>
    <cellStyle name="s4188" xfId="635"/>
    <cellStyle name="s4189" xfId="636"/>
    <cellStyle name="s4190" xfId="637"/>
    <cellStyle name="s4191" xfId="638"/>
    <cellStyle name="s4192" xfId="639"/>
    <cellStyle name="s4193" xfId="640"/>
    <cellStyle name="s4194" xfId="195"/>
    <cellStyle name="s4195" xfId="641"/>
    <cellStyle name="s4196" xfId="642"/>
    <cellStyle name="s4197" xfId="643"/>
    <cellStyle name="s4198" xfId="644"/>
    <cellStyle name="s4199" xfId="645"/>
    <cellStyle name="s4200" xfId="646"/>
    <cellStyle name="s4201" xfId="217"/>
    <cellStyle name="s4202" xfId="647"/>
    <cellStyle name="s4203" xfId="216"/>
    <cellStyle name="s4204" xfId="648"/>
    <cellStyle name="s4205" xfId="649"/>
    <cellStyle name="s4206" xfId="650"/>
    <cellStyle name="s4207" xfId="651"/>
    <cellStyle name="s4208" xfId="652"/>
    <cellStyle name="s4209" xfId="653"/>
    <cellStyle name="s4210" xfId="654"/>
    <cellStyle name="s4211" xfId="655"/>
    <cellStyle name="s4212" xfId="656"/>
    <cellStyle name="s4213" xfId="657"/>
    <cellStyle name="s4214" xfId="658"/>
    <cellStyle name="s4215" xfId="659"/>
    <cellStyle name="s4216" xfId="660"/>
    <cellStyle name="s4217" xfId="661"/>
    <cellStyle name="s4218" xfId="662"/>
    <cellStyle name="s4219" xfId="663"/>
    <cellStyle name="s4220" xfId="664"/>
    <cellStyle name="s4221" xfId="665"/>
    <cellStyle name="s4222" xfId="666"/>
    <cellStyle name="s4223" xfId="667"/>
    <cellStyle name="s4224" xfId="668"/>
    <cellStyle name="s4225" xfId="669"/>
    <cellStyle name="s4226" xfId="670"/>
    <cellStyle name="s4227" xfId="671"/>
    <cellStyle name="s4228" xfId="672"/>
    <cellStyle name="s4229" xfId="673"/>
    <cellStyle name="s4230" xfId="674"/>
    <cellStyle name="s4231" xfId="675"/>
    <cellStyle name="s4232" xfId="676"/>
    <cellStyle name="s4233" xfId="677"/>
    <cellStyle name="s4234" xfId="678"/>
    <cellStyle name="s4235" xfId="679"/>
    <cellStyle name="s4236" xfId="680"/>
    <cellStyle name="s4237" xfId="681"/>
    <cellStyle name="s4238" xfId="682"/>
    <cellStyle name="s4239" xfId="683"/>
    <cellStyle name="s4240" xfId="684"/>
    <cellStyle name="s4241" xfId="685"/>
    <cellStyle name="s4242" xfId="686"/>
    <cellStyle name="s4243" xfId="687"/>
    <cellStyle name="s4244" xfId="688"/>
    <cellStyle name="s4245" xfId="689"/>
    <cellStyle name="s4246" xfId="690"/>
    <cellStyle name="s4247" xfId="691"/>
    <cellStyle name="s4248" xfId="692"/>
    <cellStyle name="s4249" xfId="693"/>
    <cellStyle name="s4250" xfId="694"/>
    <cellStyle name="s4251" xfId="695"/>
    <cellStyle name="s4252" xfId="696"/>
    <cellStyle name="s4253" xfId="697"/>
    <cellStyle name="s4254" xfId="698"/>
    <cellStyle name="s4255" xfId="699"/>
    <cellStyle name="s4256" xfId="700"/>
    <cellStyle name="s4257" xfId="701"/>
    <cellStyle name="s4258" xfId="702"/>
    <cellStyle name="s4259" xfId="703"/>
    <cellStyle name="s4260" xfId="704"/>
    <cellStyle name="s4261" xfId="705"/>
    <cellStyle name="s4262" xfId="706"/>
    <cellStyle name="s4263" xfId="707"/>
    <cellStyle name="s4264" xfId="708"/>
    <cellStyle name="s4265" xfId="709"/>
    <cellStyle name="s4266" xfId="710"/>
    <cellStyle name="s4267" xfId="711"/>
    <cellStyle name="s4268" xfId="712"/>
    <cellStyle name="s4269" xfId="713"/>
    <cellStyle name="s4270" xfId="714"/>
    <cellStyle name="s4271" xfId="715"/>
    <cellStyle name="s4272" xfId="716"/>
    <cellStyle name="s4273" xfId="717"/>
    <cellStyle name="s4274" xfId="718"/>
    <cellStyle name="s4275" xfId="719"/>
    <cellStyle name="s4276" xfId="720"/>
    <cellStyle name="s4277" xfId="721"/>
    <cellStyle name="s4278" xfId="722"/>
    <cellStyle name="s4279" xfId="723"/>
    <cellStyle name="s4280" xfId="207"/>
    <cellStyle name="s4281" xfId="724"/>
    <cellStyle name="s4282" xfId="725"/>
    <cellStyle name="s4283" xfId="726"/>
    <cellStyle name="s4284" xfId="727"/>
    <cellStyle name="s4285" xfId="728"/>
    <cellStyle name="s4286" xfId="729"/>
    <cellStyle name="s4287" xfId="730"/>
    <cellStyle name="s4288" xfId="731"/>
    <cellStyle name="s4289" xfId="732"/>
    <cellStyle name="s4290" xfId="733"/>
    <cellStyle name="s4291" xfId="734"/>
    <cellStyle name="s4292" xfId="735"/>
    <cellStyle name="s4293" xfId="736"/>
    <cellStyle name="s4294" xfId="737"/>
    <cellStyle name="s4295" xfId="738"/>
    <cellStyle name="s4296" xfId="739"/>
    <cellStyle name="s4297" xfId="740"/>
    <cellStyle name="s4298" xfId="741"/>
    <cellStyle name="s4299" xfId="742"/>
    <cellStyle name="s4300" xfId="743"/>
    <cellStyle name="s4301" xfId="744"/>
    <cellStyle name="s4302" xfId="745"/>
    <cellStyle name="s4303" xfId="746"/>
    <cellStyle name="s4304" xfId="747"/>
    <cellStyle name="s4305" xfId="748"/>
    <cellStyle name="s4306" xfId="749"/>
    <cellStyle name="s4307" xfId="750"/>
    <cellStyle name="s4308" xfId="751"/>
    <cellStyle name="s4309" xfId="752"/>
    <cellStyle name="s4310" xfId="753"/>
    <cellStyle name="s4311" xfId="754"/>
    <cellStyle name="s4312" xfId="97"/>
    <cellStyle name="s4313" xfId="755"/>
    <cellStyle name="s4314" xfId="756"/>
    <cellStyle name="s4315" xfId="757"/>
    <cellStyle name="s4316" xfId="758"/>
    <cellStyle name="s4317" xfId="759"/>
    <cellStyle name="s4318" xfId="760"/>
    <cellStyle name="s4319" xfId="761"/>
    <cellStyle name="s4320" xfId="762"/>
    <cellStyle name="s4321" xfId="763"/>
    <cellStyle name="s4322" xfId="764"/>
    <cellStyle name="s4323" xfId="765"/>
    <cellStyle name="s4324" xfId="766"/>
    <cellStyle name="s4325" xfId="767"/>
    <cellStyle name="s4326" xfId="768"/>
    <cellStyle name="s4327" xfId="769"/>
    <cellStyle name="s4328" xfId="770"/>
    <cellStyle name="s4329" xfId="771"/>
    <cellStyle name="s4330" xfId="772"/>
    <cellStyle name="s4331" xfId="773"/>
    <cellStyle name="s4332" xfId="774"/>
    <cellStyle name="s4333" xfId="775"/>
    <cellStyle name="s4334" xfId="776"/>
    <cellStyle name="s4335" xfId="777"/>
    <cellStyle name="s4336" xfId="778"/>
    <cellStyle name="s4337" xfId="779"/>
    <cellStyle name="s4338" xfId="780"/>
    <cellStyle name="s4339" xfId="781"/>
    <cellStyle name="s4340" xfId="782"/>
    <cellStyle name="s4341" xfId="783"/>
    <cellStyle name="s4342" xfId="784"/>
    <cellStyle name="s4343" xfId="785"/>
    <cellStyle name="s4344" xfId="786"/>
    <cellStyle name="s4345" xfId="787"/>
    <cellStyle name="s4346" xfId="788"/>
    <cellStyle name="s4347" xfId="789"/>
    <cellStyle name="s4348" xfId="790"/>
    <cellStyle name="s4349" xfId="791"/>
    <cellStyle name="s4350" xfId="792"/>
    <cellStyle name="s4351" xfId="793"/>
    <cellStyle name="s4352" xfId="794"/>
    <cellStyle name="s4353" xfId="795"/>
    <cellStyle name="s4354" xfId="796"/>
    <cellStyle name="s4355" xfId="797"/>
    <cellStyle name="s4356" xfId="798"/>
    <cellStyle name="s4357" xfId="799"/>
    <cellStyle name="s4358" xfId="800"/>
    <cellStyle name="s4359" xfId="801"/>
    <cellStyle name="s4360" xfId="802"/>
    <cellStyle name="s4361" xfId="803"/>
    <cellStyle name="s4362" xfId="804"/>
    <cellStyle name="s4363" xfId="805"/>
    <cellStyle name="s4364" xfId="806"/>
    <cellStyle name="s4365" xfId="807"/>
    <cellStyle name="s4366" xfId="808"/>
    <cellStyle name="s4367" xfId="11"/>
    <cellStyle name="s4368" xfId="809"/>
    <cellStyle name="s4369" xfId="810"/>
    <cellStyle name="s4370" xfId="811"/>
    <cellStyle name="s4371" xfId="812"/>
    <cellStyle name="s4372" xfId="813"/>
    <cellStyle name="s4373" xfId="814"/>
    <cellStyle name="s4374" xfId="815"/>
    <cellStyle name="s4375" xfId="816"/>
    <cellStyle name="s4376" xfId="817"/>
    <cellStyle name="s4377" xfId="818"/>
    <cellStyle name="s4378" xfId="819"/>
    <cellStyle name="s4379" xfId="820"/>
    <cellStyle name="s4380" xfId="821"/>
    <cellStyle name="s4381" xfId="822"/>
    <cellStyle name="s4382" xfId="823"/>
    <cellStyle name="s4383" xfId="824"/>
    <cellStyle name="s4384" xfId="825"/>
    <cellStyle name="s4385" xfId="826"/>
    <cellStyle name="s4386" xfId="827"/>
    <cellStyle name="s4387" xfId="828"/>
    <cellStyle name="s4388" xfId="829"/>
    <cellStyle name="s4389" xfId="830"/>
    <cellStyle name="s4390" xfId="831"/>
    <cellStyle name="s4391" xfId="832"/>
    <cellStyle name="s4392" xfId="833"/>
    <cellStyle name="s4393" xfId="834"/>
    <cellStyle name="s4394" xfId="835"/>
    <cellStyle name="s4395" xfId="836"/>
    <cellStyle name="s4396" xfId="837"/>
    <cellStyle name="s4397" xfId="838"/>
    <cellStyle name="s4398" xfId="839"/>
    <cellStyle name="s4399" xfId="840"/>
    <cellStyle name="s4400" xfId="841"/>
    <cellStyle name="s4401" xfId="842"/>
    <cellStyle name="s4402" xfId="843"/>
    <cellStyle name="s4403" xfId="844"/>
    <cellStyle name="s4404" xfId="845"/>
    <cellStyle name="s4405" xfId="846"/>
    <cellStyle name="s4406" xfId="847"/>
    <cellStyle name="s4407" xfId="113"/>
    <cellStyle name="s4408" xfId="848"/>
    <cellStyle name="s4409" xfId="849"/>
    <cellStyle name="s4410" xfId="850"/>
    <cellStyle name="s4411" xfId="112"/>
    <cellStyle name="s4412" xfId="851"/>
    <cellStyle name="s4413" xfId="852"/>
    <cellStyle name="s4414" xfId="853"/>
    <cellStyle name="s4415" xfId="854"/>
    <cellStyle name="s4416" xfId="855"/>
    <cellStyle name="s4417" xfId="856"/>
    <cellStyle name="s4418" xfId="857"/>
    <cellStyle name="s4419" xfId="858"/>
    <cellStyle name="s4420" xfId="859"/>
    <cellStyle name="s4421" xfId="860"/>
    <cellStyle name="s4422" xfId="861"/>
    <cellStyle name="s4423" xfId="862"/>
    <cellStyle name="s4424" xfId="863"/>
    <cellStyle name="s4425" xfId="864"/>
    <cellStyle name="s4426" xfId="865"/>
    <cellStyle name="s4427" xfId="866"/>
    <cellStyle name="s4428" xfId="867"/>
    <cellStyle name="s4429" xfId="868"/>
    <cellStyle name="s4430" xfId="869"/>
    <cellStyle name="s4431" xfId="870"/>
    <cellStyle name="s4432" xfId="871"/>
    <cellStyle name="s4433" xfId="872"/>
    <cellStyle name="s4434" xfId="873"/>
    <cellStyle name="s4435" xfId="874"/>
    <cellStyle name="s4436" xfId="875"/>
    <cellStyle name="s4437" xfId="876"/>
    <cellStyle name="s4438" xfId="877"/>
    <cellStyle name="s4439" xfId="878"/>
    <cellStyle name="s4440" xfId="879"/>
    <cellStyle name="s4441" xfId="880"/>
    <cellStyle name="s4442" xfId="881"/>
    <cellStyle name="s4443" xfId="882"/>
    <cellStyle name="s4444" xfId="883"/>
    <cellStyle name="s4445" xfId="884"/>
    <cellStyle name="s4446" xfId="885"/>
    <cellStyle name="s4447" xfId="886"/>
    <cellStyle name="s4448" xfId="887"/>
    <cellStyle name="s4449" xfId="888"/>
    <cellStyle name="s4450" xfId="889"/>
    <cellStyle name="s4451" xfId="890"/>
    <cellStyle name="s4452" xfId="891"/>
    <cellStyle name="s4453" xfId="892"/>
    <cellStyle name="s4454" xfId="893"/>
    <cellStyle name="s4455" xfId="894"/>
    <cellStyle name="s4456" xfId="895"/>
    <cellStyle name="s4457" xfId="896"/>
    <cellStyle name="s4458" xfId="897"/>
    <cellStyle name="s4459" xfId="898"/>
    <cellStyle name="s4460" xfId="899"/>
    <cellStyle name="s4461" xfId="900"/>
    <cellStyle name="s4462" xfId="901"/>
    <cellStyle name="s4463" xfId="902"/>
    <cellStyle name="s4464" xfId="903"/>
    <cellStyle name="s4465" xfId="904"/>
    <cellStyle name="s4466" xfId="905"/>
    <cellStyle name="s4467" xfId="906"/>
    <cellStyle name="s4468" xfId="907"/>
    <cellStyle name="s4469" xfId="908"/>
    <cellStyle name="s4470" xfId="909"/>
    <cellStyle name="s4471" xfId="910"/>
    <cellStyle name="s4472" xfId="911"/>
    <cellStyle name="s4473" xfId="912"/>
    <cellStyle name="s4474" xfId="913"/>
    <cellStyle name="s4475" xfId="914"/>
    <cellStyle name="s4476" xfId="915"/>
    <cellStyle name="s4477" xfId="916"/>
    <cellStyle name="s4478" xfId="917"/>
    <cellStyle name="s4479" xfId="918"/>
    <cellStyle name="s4480" xfId="919"/>
    <cellStyle name="s4481" xfId="920"/>
    <cellStyle name="s4482" xfId="921"/>
    <cellStyle name="s4483" xfId="922"/>
    <cellStyle name="s4484" xfId="923"/>
    <cellStyle name="s4485" xfId="924"/>
    <cellStyle name="s4486" xfId="925"/>
    <cellStyle name="s4487" xfId="926"/>
    <cellStyle name="s4488" xfId="927"/>
    <cellStyle name="s4489" xfId="928"/>
    <cellStyle name="s4490" xfId="929"/>
    <cellStyle name="s4491" xfId="930"/>
    <cellStyle name="s4492" xfId="931"/>
    <cellStyle name="s4493" xfId="932"/>
    <cellStyle name="s4494" xfId="933"/>
    <cellStyle name="s4495" xfId="934"/>
    <cellStyle name="s4496" xfId="935"/>
    <cellStyle name="s4497" xfId="936"/>
    <cellStyle name="s4498" xfId="937"/>
    <cellStyle name="s4499" xfId="938"/>
    <cellStyle name="s4500" xfId="939"/>
    <cellStyle name="s4501" xfId="940"/>
    <cellStyle name="s4502" xfId="941"/>
    <cellStyle name="s4503" xfId="942"/>
    <cellStyle name="s4504" xfId="943"/>
    <cellStyle name="s4505" xfId="944"/>
    <cellStyle name="s4506" xfId="945"/>
    <cellStyle name="s4507" xfId="946"/>
    <cellStyle name="s4508" xfId="947"/>
    <cellStyle name="s4509" xfId="948"/>
    <cellStyle name="s4510" xfId="949"/>
    <cellStyle name="s4511" xfId="54"/>
    <cellStyle name="s4512" xfId="21"/>
    <cellStyle name="s4513" xfId="950"/>
    <cellStyle name="s4514" xfId="951"/>
    <cellStyle name="s4515" xfId="952"/>
    <cellStyle name="s4516" xfId="953"/>
    <cellStyle name="s4517" xfId="954"/>
    <cellStyle name="s4518" xfId="955"/>
    <cellStyle name="s4519" xfId="61"/>
    <cellStyle name="s4520" xfId="82"/>
    <cellStyle name="s4521" xfId="60"/>
    <cellStyle name="s4522" xfId="956"/>
    <cellStyle name="s4523" xfId="957"/>
    <cellStyle name="s4524" xfId="958"/>
    <cellStyle name="s4525" xfId="959"/>
    <cellStyle name="s4526" xfId="960"/>
    <cellStyle name="s4527" xfId="961"/>
    <cellStyle name="s4528" xfId="962"/>
    <cellStyle name="s4529" xfId="92"/>
    <cellStyle name="s4530" xfId="963"/>
    <cellStyle name="s4531" xfId="67"/>
    <cellStyle name="s4532" xfId="53"/>
    <cellStyle name="s4533" xfId="964"/>
    <cellStyle name="s4534" xfId="965"/>
    <cellStyle name="s4535" xfId="966"/>
    <cellStyle name="s4536" xfId="967"/>
    <cellStyle name="s4537" xfId="968"/>
    <cellStyle name="s4538" xfId="969"/>
    <cellStyle name="s4539" xfId="970"/>
    <cellStyle name="s4540" xfId="971"/>
    <cellStyle name="s4541" xfId="972"/>
    <cellStyle name="s4542" xfId="973"/>
    <cellStyle name="s4543" xfId="974"/>
    <cellStyle name="s4544" xfId="975"/>
    <cellStyle name="s4545" xfId="976"/>
    <cellStyle name="s4546" xfId="977"/>
    <cellStyle name="s4547" xfId="978"/>
    <cellStyle name="s4548" xfId="979"/>
    <cellStyle name="s4549" xfId="980"/>
    <cellStyle name="s4550" xfId="981"/>
    <cellStyle name="s4551" xfId="982"/>
    <cellStyle name="s4552" xfId="983"/>
    <cellStyle name="s4553" xfId="984"/>
    <cellStyle name="s4554" xfId="985"/>
    <cellStyle name="s4555" xfId="986"/>
    <cellStyle name="s4556" xfId="987"/>
    <cellStyle name="s4557" xfId="988"/>
    <cellStyle name="s4558" xfId="989"/>
    <cellStyle name="s4559" xfId="990"/>
    <cellStyle name="s4560" xfId="991"/>
    <cellStyle name="s4561" xfId="992"/>
    <cellStyle name="s4562" xfId="993"/>
    <cellStyle name="s4563" xfId="994"/>
    <cellStyle name="s4564" xfId="995"/>
    <cellStyle name="s4565" xfId="996"/>
    <cellStyle name="s4566" xfId="997"/>
    <cellStyle name="s4567" xfId="88"/>
    <cellStyle name="s4568" xfId="998"/>
    <cellStyle name="s4569" xfId="999"/>
    <cellStyle name="s4570" xfId="1000"/>
    <cellStyle name="s4571" xfId="1001"/>
    <cellStyle name="s4572" xfId="1002"/>
    <cellStyle name="s4573" xfId="1003"/>
    <cellStyle name="s4574" xfId="1004"/>
    <cellStyle name="s4575" xfId="1005"/>
    <cellStyle name="s4576" xfId="1006"/>
    <cellStyle name="s4577" xfId="1007"/>
    <cellStyle name="s4578" xfId="1008"/>
    <cellStyle name="s4579" xfId="1009"/>
    <cellStyle name="s4580" xfId="1010"/>
    <cellStyle name="s4581" xfId="1011"/>
    <cellStyle name="s4582" xfId="1012"/>
    <cellStyle name="s4583" xfId="1013"/>
    <cellStyle name="s4584" xfId="1014"/>
    <cellStyle name="s4585" xfId="1015"/>
    <cellStyle name="s4586" xfId="1016"/>
    <cellStyle name="s4587" xfId="1017"/>
    <cellStyle name="s4588" xfId="1018"/>
    <cellStyle name="s4589" xfId="1019"/>
    <cellStyle name="s4590" xfId="1020"/>
    <cellStyle name="s4591" xfId="1021"/>
    <cellStyle name="s4592" xfId="1022"/>
    <cellStyle name="s4593" xfId="218"/>
    <cellStyle name="s4594" xfId="1023"/>
    <cellStyle name="s4595" xfId="1024"/>
    <cellStyle name="s4596" xfId="1025"/>
    <cellStyle name="s4597" xfId="1026"/>
    <cellStyle name="s4598" xfId="1027"/>
    <cellStyle name="s4599" xfId="1028"/>
    <cellStyle name="s4600" xfId="1029"/>
    <cellStyle name="s4601" xfId="1030"/>
    <cellStyle name="s4602" xfId="1031"/>
    <cellStyle name="s4603" xfId="1032"/>
    <cellStyle name="s4604" xfId="1033"/>
    <cellStyle name="s4605" xfId="1034"/>
    <cellStyle name="s4606" xfId="1035"/>
    <cellStyle name="s4607" xfId="1036"/>
    <cellStyle name="s4608" xfId="1037"/>
    <cellStyle name="s4609" xfId="62"/>
    <cellStyle name="s4610" xfId="68"/>
    <cellStyle name="s4611" xfId="1038"/>
    <cellStyle name="s4612" xfId="1039"/>
    <cellStyle name="s4613" xfId="1040"/>
    <cellStyle name="s4614" xfId="1041"/>
    <cellStyle name="s4615" xfId="1042"/>
    <cellStyle name="s4616" xfId="1043"/>
    <cellStyle name="s4617" xfId="1044"/>
    <cellStyle name="s4618" xfId="1045"/>
    <cellStyle name="s4619" xfId="1046"/>
    <cellStyle name="s4620" xfId="1047"/>
    <cellStyle name="s4621" xfId="1048"/>
    <cellStyle name="s4622" xfId="1049"/>
    <cellStyle name="s4623" xfId="1050"/>
    <cellStyle name="s4624" xfId="1051"/>
    <cellStyle name="s4625" xfId="1052"/>
    <cellStyle name="s4626" xfId="1053"/>
    <cellStyle name="s4627" xfId="1054"/>
    <cellStyle name="s4628" xfId="1055"/>
    <cellStyle name="s4629" xfId="1056"/>
    <cellStyle name="s4630" xfId="1057"/>
    <cellStyle name="s4631" xfId="1058"/>
    <cellStyle name="s4632" xfId="1059"/>
    <cellStyle name="s4633" xfId="1060"/>
    <cellStyle name="s4634" xfId="1061"/>
    <cellStyle name="s4635" xfId="1062"/>
    <cellStyle name="s4636" xfId="1063"/>
    <cellStyle name="s4637" xfId="1064"/>
    <cellStyle name="s4638" xfId="1065"/>
    <cellStyle name="s4639" xfId="1066"/>
    <cellStyle name="s4640" xfId="1067"/>
    <cellStyle name="s4641" xfId="1068"/>
    <cellStyle name="s4642" xfId="1069"/>
    <cellStyle name="s4643" xfId="135"/>
    <cellStyle name="s4644" xfId="144"/>
    <cellStyle name="s4645" xfId="1070"/>
    <cellStyle name="s4646" xfId="1071"/>
    <cellStyle name="s4647" xfId="49"/>
    <cellStyle name="s4648" xfId="141"/>
    <cellStyle name="s4649" xfId="1072"/>
    <cellStyle name="s4650" xfId="1073"/>
    <cellStyle name="s4651" xfId="1074"/>
    <cellStyle name="s4652" xfId="1075"/>
    <cellStyle name="s4653" xfId="1076"/>
    <cellStyle name="s4654" xfId="1077"/>
    <cellStyle name="s4655" xfId="1078"/>
    <cellStyle name="s4656" xfId="1079"/>
    <cellStyle name="s4657" xfId="1080"/>
    <cellStyle name="s4658" xfId="1081"/>
    <cellStyle name="s4659" xfId="1082"/>
    <cellStyle name="s4660" xfId="1083"/>
    <cellStyle name="s4661" xfId="1084"/>
    <cellStyle name="s4662" xfId="1085"/>
    <cellStyle name="s4663" xfId="1086"/>
    <cellStyle name="s4664" xfId="1087"/>
    <cellStyle name="s4665" xfId="1088"/>
    <cellStyle name="s4666" xfId="1089"/>
    <cellStyle name="s4667" xfId="1090"/>
    <cellStyle name="s4668" xfId="1091"/>
    <cellStyle name="s4669" xfId="1092"/>
    <cellStyle name="s4670" xfId="87"/>
    <cellStyle name="s4671" xfId="1093"/>
    <cellStyle name="s4672" xfId="1094"/>
    <cellStyle name="s4673" xfId="1095"/>
    <cellStyle name="s4674" xfId="1096"/>
    <cellStyle name="s4675" xfId="1097"/>
    <cellStyle name="s4676" xfId="1098"/>
    <cellStyle name="s4677" xfId="1099"/>
    <cellStyle name="s4678" xfId="1100"/>
    <cellStyle name="s4679" xfId="190"/>
    <cellStyle name="s4680" xfId="1101"/>
    <cellStyle name="s4681" xfId="1102"/>
    <cellStyle name="s4682" xfId="1103"/>
    <cellStyle name="s4683" xfId="1104"/>
    <cellStyle name="s4684" xfId="1105"/>
    <cellStyle name="s4685" xfId="1106"/>
    <cellStyle name="s4686" xfId="1107"/>
    <cellStyle name="s4687" xfId="1108"/>
    <cellStyle name="s4688" xfId="1109"/>
    <cellStyle name="s4689" xfId="1110"/>
    <cellStyle name="s4690" xfId="1111"/>
    <cellStyle name="s4691" xfId="1112"/>
    <cellStyle name="s4692" xfId="1113"/>
    <cellStyle name="s4693" xfId="1114"/>
    <cellStyle name="s4694" xfId="1115"/>
    <cellStyle name="s4695" xfId="1116"/>
    <cellStyle name="s4696" xfId="1117"/>
    <cellStyle name="s4697" xfId="1118"/>
    <cellStyle name="s4698" xfId="1119"/>
    <cellStyle name="s4699" xfId="1120"/>
    <cellStyle name="s4700" xfId="1121"/>
    <cellStyle name="s4701" xfId="1122"/>
    <cellStyle name="s4702" xfId="1123"/>
    <cellStyle name="s4703" xfId="6"/>
    <cellStyle name="s4704" xfId="1124"/>
    <cellStyle name="s4705" xfId="1125"/>
    <cellStyle name="s4706" xfId="1126"/>
    <cellStyle name="s4707" xfId="1127"/>
    <cellStyle name="s4708" xfId="1128"/>
    <cellStyle name="s4709" xfId="1129"/>
    <cellStyle name="s4710" xfId="1130"/>
    <cellStyle name="s4711" xfId="1131"/>
    <cellStyle name="s4712" xfId="30"/>
    <cellStyle name="s4713" xfId="1132"/>
    <cellStyle name="s4714" xfId="1133"/>
    <cellStyle name="s4715" xfId="1134"/>
    <cellStyle name="s4716" xfId="147"/>
    <cellStyle name="s4717" xfId="1135"/>
    <cellStyle name="s4718" xfId="1136"/>
    <cellStyle name="s4719" xfId="1137"/>
    <cellStyle name="s4720" xfId="1138"/>
    <cellStyle name="s4721" xfId="1139"/>
    <cellStyle name="s4722" xfId="1140"/>
    <cellStyle name="s4723" xfId="1141"/>
    <cellStyle name="s4724" xfId="1142"/>
    <cellStyle name="s4725" xfId="1143"/>
    <cellStyle name="s4726" xfId="1144"/>
    <cellStyle name="s4727" xfId="1145"/>
    <cellStyle name="s4728" xfId="1146"/>
    <cellStyle name="s4729" xfId="1147"/>
    <cellStyle name="s4730" xfId="1148"/>
    <cellStyle name="s4731" xfId="1149"/>
    <cellStyle name="s4732" xfId="1150"/>
    <cellStyle name="s4733" xfId="1151"/>
    <cellStyle name="s4734" xfId="1152"/>
    <cellStyle name="s4735" xfId="1153"/>
    <cellStyle name="s4736" xfId="1154"/>
    <cellStyle name="s4737" xfId="51"/>
    <cellStyle name="s4738" xfId="1155"/>
    <cellStyle name="s4739" xfId="1156"/>
    <cellStyle name="s4740" xfId="1157"/>
    <cellStyle name="s4741" xfId="1158"/>
    <cellStyle name="s4742" xfId="1159"/>
    <cellStyle name="s4743" xfId="1160"/>
    <cellStyle name="s4744" xfId="1161"/>
    <cellStyle name="s4745" xfId="1162"/>
    <cellStyle name="s4746" xfId="1163"/>
    <cellStyle name="s4747" xfId="1164"/>
    <cellStyle name="s4748" xfId="1165"/>
    <cellStyle name="s4749" xfId="1166"/>
    <cellStyle name="s4750" xfId="1167"/>
    <cellStyle name="s4751" xfId="1168"/>
    <cellStyle name="s4752" xfId="1169"/>
    <cellStyle name="s4753" xfId="1170"/>
    <cellStyle name="s4754" xfId="1171"/>
    <cellStyle name="s4755" xfId="1172"/>
    <cellStyle name="s4756" xfId="1173"/>
    <cellStyle name="s4757" xfId="1174"/>
    <cellStyle name="s4758" xfId="1175"/>
    <cellStyle name="s4759" xfId="1176"/>
    <cellStyle name="s4760" xfId="1177"/>
    <cellStyle name="s4761" xfId="1178"/>
    <cellStyle name="s4762" xfId="1179"/>
    <cellStyle name="s4763" xfId="1180"/>
    <cellStyle name="s4764" xfId="1181"/>
    <cellStyle name="s4765" xfId="1182"/>
    <cellStyle name="s4766" xfId="1183"/>
    <cellStyle name="s4767" xfId="1184"/>
    <cellStyle name="s4768" xfId="1185"/>
    <cellStyle name="s4769" xfId="1186"/>
    <cellStyle name="s4770" xfId="1187"/>
    <cellStyle name="s4771" xfId="1188"/>
    <cellStyle name="s4772" xfId="1189"/>
    <cellStyle name="s4773" xfId="1190"/>
    <cellStyle name="s4774" xfId="1191"/>
    <cellStyle name="s4775" xfId="146"/>
    <cellStyle name="s4776" xfId="1192"/>
    <cellStyle name="s4777" xfId="1193"/>
    <cellStyle name="s4778" xfId="1194"/>
    <cellStyle name="s4779" xfId="1195"/>
    <cellStyle name="s4780" xfId="1196"/>
    <cellStyle name="s4781" xfId="1197"/>
    <cellStyle name="s4782" xfId="1198"/>
    <cellStyle name="s4783" xfId="1199"/>
    <cellStyle name="s4784" xfId="1200"/>
    <cellStyle name="s4785" xfId="1201"/>
    <cellStyle name="s4786" xfId="1202"/>
    <cellStyle name="s4787" xfId="1203"/>
    <cellStyle name="s4788" xfId="1204"/>
    <cellStyle name="s4789" xfId="79"/>
    <cellStyle name="s4790" xfId="1205"/>
    <cellStyle name="s4791" xfId="1206"/>
    <cellStyle name="s4792" xfId="1207"/>
    <cellStyle name="s4793" xfId="1208"/>
    <cellStyle name="s4794" xfId="1209"/>
    <cellStyle name="s4795" xfId="1210"/>
    <cellStyle name="s4796" xfId="1211"/>
    <cellStyle name="s4797" xfId="1212"/>
    <cellStyle name="s4798" xfId="1213"/>
    <cellStyle name="s4799" xfId="1214"/>
    <cellStyle name="s4800" xfId="1215"/>
    <cellStyle name="s4801" xfId="1216"/>
    <cellStyle name="s4802" xfId="1217"/>
    <cellStyle name="s4803" xfId="1218"/>
    <cellStyle name="s4804" xfId="1219"/>
    <cellStyle name="s4805" xfId="1220"/>
    <cellStyle name="s4806" xfId="1221"/>
    <cellStyle name="s4807" xfId="1222"/>
    <cellStyle name="s4808" xfId="1223"/>
    <cellStyle name="s4809" xfId="1224"/>
    <cellStyle name="s4810" xfId="1225"/>
    <cellStyle name="s4811" xfId="1226"/>
    <cellStyle name="s4812" xfId="1227"/>
    <cellStyle name="s4813" xfId="1228"/>
    <cellStyle name="s4814" xfId="1229"/>
    <cellStyle name="s4815" xfId="1230"/>
    <cellStyle name="s4816" xfId="1231"/>
    <cellStyle name="s4817" xfId="1232"/>
    <cellStyle name="s4818" xfId="1233"/>
    <cellStyle name="s4819" xfId="1234"/>
    <cellStyle name="s4820" xfId="1235"/>
    <cellStyle name="s4821" xfId="1236"/>
    <cellStyle name="s4822" xfId="1237"/>
    <cellStyle name="s4823" xfId="1238"/>
    <cellStyle name="s4824" xfId="1239"/>
    <cellStyle name="s4825" xfId="1240"/>
    <cellStyle name="s4826" xfId="1241"/>
    <cellStyle name="s4827" xfId="1242"/>
    <cellStyle name="s4828" xfId="1243"/>
    <cellStyle name="s4829" xfId="1244"/>
    <cellStyle name="s4830" xfId="1245"/>
    <cellStyle name="s4831" xfId="1246"/>
    <cellStyle name="s4832" xfId="1247"/>
    <cellStyle name="s4833" xfId="1248"/>
    <cellStyle name="s4834" xfId="38"/>
    <cellStyle name="s4835" xfId="1249"/>
    <cellStyle name="s4836" xfId="1250"/>
    <cellStyle name="s4837" xfId="1251"/>
    <cellStyle name="s4838" xfId="1252"/>
    <cellStyle name="s4839" xfId="1253"/>
    <cellStyle name="s4840" xfId="1254"/>
    <cellStyle name="s4841" xfId="1255"/>
    <cellStyle name="s4842" xfId="148"/>
    <cellStyle name="s4843" xfId="1256"/>
    <cellStyle name="s4844" xfId="1257"/>
    <cellStyle name="s4845" xfId="1258"/>
    <cellStyle name="s4846" xfId="1259"/>
    <cellStyle name="s4847" xfId="1260"/>
    <cellStyle name="s4848" xfId="1261"/>
    <cellStyle name="s4849" xfId="1262"/>
    <cellStyle name="s4850" xfId="1263"/>
    <cellStyle name="s4851" xfId="1264"/>
    <cellStyle name="s4852" xfId="1265"/>
    <cellStyle name="s4853" xfId="1266"/>
    <cellStyle name="s4854" xfId="1267"/>
    <cellStyle name="s4855" xfId="1268"/>
    <cellStyle name="s4856" xfId="1269"/>
    <cellStyle name="s4857" xfId="1270"/>
    <cellStyle name="s4858" xfId="1271"/>
    <cellStyle name="s4859" xfId="1272"/>
    <cellStyle name="s4860" xfId="139"/>
    <cellStyle name="s4861" xfId="1273"/>
    <cellStyle name="s4862" xfId="1274"/>
    <cellStyle name="s4863" xfId="1275"/>
    <cellStyle name="s4864" xfId="1276"/>
    <cellStyle name="s4865" xfId="5"/>
    <cellStyle name="s4866" xfId="10"/>
    <cellStyle name="s4867" xfId="15"/>
    <cellStyle name="s4868" xfId="16"/>
    <cellStyle name="s4869" xfId="17"/>
    <cellStyle name="s4870" xfId="18"/>
    <cellStyle name="s4871" xfId="19"/>
    <cellStyle name="s4872" xfId="1277"/>
    <cellStyle name="s4873" xfId="1278"/>
    <cellStyle name="s4874" xfId="1279"/>
    <cellStyle name="s4875" xfId="20"/>
    <cellStyle name="s4876" xfId="1280"/>
    <cellStyle name="s4877" xfId="25"/>
    <cellStyle name="s4878" xfId="26"/>
    <cellStyle name="s4879" xfId="27"/>
    <cellStyle name="s4880" xfId="28"/>
    <cellStyle name="s4881" xfId="1281"/>
    <cellStyle name="s4882" xfId="1282"/>
    <cellStyle name="s4883" xfId="29"/>
    <cellStyle name="s4884" xfId="1283"/>
    <cellStyle name="s4885" xfId="1284"/>
    <cellStyle name="s4886" xfId="1285"/>
    <cellStyle name="s4887" xfId="31"/>
    <cellStyle name="s4888" xfId="33"/>
    <cellStyle name="s4889" xfId="34"/>
    <cellStyle name="s4890" xfId="35"/>
    <cellStyle name="s4891" xfId="36"/>
    <cellStyle name="s4892" xfId="32"/>
    <cellStyle name="s4893" xfId="37"/>
    <cellStyle name="s4894" xfId="1286"/>
    <cellStyle name="s4895" xfId="1287"/>
    <cellStyle name="s4896" xfId="1288"/>
    <cellStyle name="s4897" xfId="1289"/>
    <cellStyle name="s4898" xfId="1290"/>
    <cellStyle name="s4899" xfId="1291"/>
    <cellStyle name="s4900" xfId="40"/>
    <cellStyle name="s4901" xfId="41"/>
    <cellStyle name="s4902" xfId="42"/>
    <cellStyle name="s4903" xfId="1292"/>
    <cellStyle name="s4904" xfId="1293"/>
    <cellStyle name="s4905" xfId="43"/>
    <cellStyle name="s4906" xfId="44"/>
    <cellStyle name="s4907" xfId="46"/>
    <cellStyle name="s4908" xfId="47"/>
    <cellStyle name="s4909" xfId="1294"/>
    <cellStyle name="s4910" xfId="1295"/>
    <cellStyle name="s4911" xfId="48"/>
    <cellStyle name="s4912" xfId="50"/>
    <cellStyle name="s4913" xfId="80"/>
    <cellStyle name="s4914" xfId="52"/>
    <cellStyle name="s4915" xfId="55"/>
    <cellStyle name="s4916" xfId="56"/>
    <cellStyle name="s4917" xfId="58"/>
    <cellStyle name="s4918" xfId="59"/>
    <cellStyle name="s4919" xfId="1296"/>
    <cellStyle name="s4920" xfId="63"/>
    <cellStyle name="s4921" xfId="64"/>
    <cellStyle name="s4922" xfId="65"/>
    <cellStyle name="s4923" xfId="66"/>
    <cellStyle name="s4924" xfId="69"/>
    <cellStyle name="s4925" xfId="70"/>
    <cellStyle name="s4926" xfId="71"/>
    <cellStyle name="s4927" xfId="72"/>
    <cellStyle name="s4928" xfId="73"/>
    <cellStyle name="s4929" xfId="74"/>
    <cellStyle name="s4930" xfId="75"/>
    <cellStyle name="s4931" xfId="76"/>
    <cellStyle name="s4932" xfId="209"/>
    <cellStyle name="s4933" xfId="78"/>
    <cellStyle name="s4934" xfId="81"/>
    <cellStyle name="s4935" xfId="83"/>
    <cellStyle name="s4936" xfId="84"/>
    <cellStyle name="s4937" xfId="85"/>
    <cellStyle name="s4938" xfId="89"/>
    <cellStyle name="s4939" xfId="90"/>
    <cellStyle name="s4940" xfId="91"/>
    <cellStyle name="s4941" xfId="1297"/>
    <cellStyle name="s4942" xfId="93"/>
    <cellStyle name="s4943" xfId="94"/>
    <cellStyle name="s4944" xfId="95"/>
    <cellStyle name="s4945" xfId="96"/>
    <cellStyle name="s4946" xfId="106"/>
    <cellStyle name="s4947" xfId="99"/>
    <cellStyle name="s4948" xfId="100"/>
    <cellStyle name="s4949" xfId="1298"/>
    <cellStyle name="s4950" xfId="1299"/>
    <cellStyle name="s4951" xfId="101"/>
    <cellStyle name="s4952" xfId="102"/>
    <cellStyle name="s4953" xfId="103"/>
    <cellStyle name="s4954" xfId="104"/>
    <cellStyle name="s4955" xfId="105"/>
    <cellStyle name="s4956" xfId="107"/>
    <cellStyle name="s4957" xfId="117"/>
    <cellStyle name="s4958" xfId="108"/>
    <cellStyle name="s4959" xfId="109"/>
    <cellStyle name="s4960" xfId="208"/>
    <cellStyle name="s4961" xfId="110"/>
    <cellStyle name="s4962" xfId="1300"/>
    <cellStyle name="s4963" xfId="111"/>
    <cellStyle name="s4964" xfId="1301"/>
    <cellStyle name="s4965" xfId="1302"/>
    <cellStyle name="s4966" xfId="1303"/>
    <cellStyle name="s4967" xfId="1304"/>
    <cellStyle name="s4968" xfId="122"/>
    <cellStyle name="s4969" xfId="114"/>
    <cellStyle name="s4970" xfId="115"/>
    <cellStyle name="s4971" xfId="1305"/>
    <cellStyle name="s4972" xfId="116"/>
    <cellStyle name="s4973" xfId="1306"/>
    <cellStyle name="s4974" xfId="1307"/>
    <cellStyle name="s4975" xfId="1308"/>
    <cellStyle name="s4976" xfId="118"/>
    <cellStyle name="s4977" xfId="119"/>
    <cellStyle name="s4978" xfId="120"/>
    <cellStyle name="s4979" xfId="121"/>
    <cellStyle name="s4980" xfId="123"/>
    <cellStyle name="s4981" xfId="124"/>
    <cellStyle name="s4982" xfId="125"/>
    <cellStyle name="s4983" xfId="126"/>
    <cellStyle name="s4984" xfId="1309"/>
    <cellStyle name="s4985" xfId="127"/>
    <cellStyle name="s4986" xfId="128"/>
    <cellStyle name="s4987" xfId="129"/>
    <cellStyle name="s4988" xfId="130"/>
    <cellStyle name="s4989" xfId="131"/>
    <cellStyle name="s4990" xfId="134"/>
    <cellStyle name="s4991" xfId="1310"/>
    <cellStyle name="s4992" xfId="132"/>
    <cellStyle name="s4993" xfId="133"/>
    <cellStyle name="s4994" xfId="136"/>
    <cellStyle name="s4995" xfId="1311"/>
    <cellStyle name="s4996" xfId="138"/>
    <cellStyle name="s4997" xfId="140"/>
    <cellStyle name="s4998" xfId="1312"/>
    <cellStyle name="s4999" xfId="1313"/>
    <cellStyle name="s5000" xfId="205"/>
    <cellStyle name="s5001" xfId="143"/>
    <cellStyle name="s5002" xfId="1314"/>
    <cellStyle name="s5003" xfId="145"/>
    <cellStyle name="s5004" xfId="149"/>
    <cellStyle name="s5005" xfId="150"/>
    <cellStyle name="s5006" xfId="151"/>
    <cellStyle name="s5007" xfId="152"/>
    <cellStyle name="s5008" xfId="153"/>
    <cellStyle name="s5009" xfId="154"/>
    <cellStyle name="s5010" xfId="155"/>
    <cellStyle name="s5011" xfId="156"/>
    <cellStyle name="s5012" xfId="157"/>
    <cellStyle name="s5013" xfId="158"/>
    <cellStyle name="s5014" xfId="159"/>
    <cellStyle name="s5015" xfId="161"/>
    <cellStyle name="s5016" xfId="162"/>
    <cellStyle name="s5017" xfId="163"/>
    <cellStyle name="s5018" xfId="164"/>
    <cellStyle name="s5019" xfId="166"/>
    <cellStyle name="s5020" xfId="167"/>
    <cellStyle name="s5021" xfId="168"/>
    <cellStyle name="s5022" xfId="169"/>
    <cellStyle name="s5023" xfId="170"/>
    <cellStyle name="s5024" xfId="171"/>
    <cellStyle name="s5025" xfId="172"/>
    <cellStyle name="s5026" xfId="173"/>
    <cellStyle name="s5027" xfId="174"/>
    <cellStyle name="s5028" xfId="175"/>
    <cellStyle name="s5029" xfId="176"/>
    <cellStyle name="s5030" xfId="180"/>
    <cellStyle name="s5031" xfId="177"/>
    <cellStyle name="s5032" xfId="179"/>
    <cellStyle name="s5033" xfId="181"/>
    <cellStyle name="s5034" xfId="182"/>
    <cellStyle name="s5035" xfId="183"/>
    <cellStyle name="s5036" xfId="184"/>
    <cellStyle name="s5037" xfId="185"/>
    <cellStyle name="s5038" xfId="186"/>
    <cellStyle name="s5039" xfId="187"/>
    <cellStyle name="s5040" xfId="188"/>
    <cellStyle name="s5041" xfId="189"/>
    <cellStyle name="s5042" xfId="191"/>
    <cellStyle name="s5043" xfId="192"/>
    <cellStyle name="s5044" xfId="193"/>
    <cellStyle name="s5045" xfId="1315"/>
    <cellStyle name="s5046" xfId="206"/>
    <cellStyle name="s5047" xfId="196"/>
    <cellStyle name="s5048" xfId="197"/>
    <cellStyle name="s5049" xfId="1316"/>
    <cellStyle name="s5050" xfId="199"/>
    <cellStyle name="s5051" xfId="198"/>
    <cellStyle name="s5052" xfId="200"/>
    <cellStyle name="s5053" xfId="201"/>
    <cellStyle name="s5054" xfId="1317"/>
    <cellStyle name="s5055" xfId="202"/>
    <cellStyle name="s5056" xfId="203"/>
    <cellStyle name="s5057" xfId="204"/>
    <cellStyle name="s5058" xfId="1318"/>
    <cellStyle name="s5059" xfId="1319"/>
    <cellStyle name="s5060" xfId="1320"/>
    <cellStyle name="s5061" xfId="210"/>
    <cellStyle name="s5062" xfId="1321"/>
    <cellStyle name="s5063" xfId="1322"/>
    <cellStyle name="s5064" xfId="1323"/>
    <cellStyle name="s5065" xfId="1324"/>
    <cellStyle name="s5066" xfId="1325"/>
    <cellStyle name="s5067" xfId="1326"/>
    <cellStyle name="s5068" xfId="1327"/>
    <cellStyle name="s5069" xfId="1328"/>
    <cellStyle name="s5070" xfId="211"/>
    <cellStyle name="s5071" xfId="212"/>
    <cellStyle name="s5072" xfId="1329"/>
    <cellStyle name="s5073" xfId="213"/>
    <cellStyle name="s5074" xfId="214"/>
    <cellStyle name="s5075" xfId="1330"/>
    <cellStyle name="s5076" xfId="1331"/>
    <cellStyle name="s5077" xfId="1332"/>
    <cellStyle name="s5078" xfId="1333"/>
    <cellStyle name="s5079" xfId="1334"/>
    <cellStyle name="s5080" xfId="1335"/>
    <cellStyle name="s5081" xfId="1336"/>
    <cellStyle name="s5082" xfId="1337"/>
    <cellStyle name="s5083" xfId="1338"/>
    <cellStyle name="s5084" xfId="1339"/>
    <cellStyle name="s5085" xfId="1340"/>
    <cellStyle name="s5086" xfId="1341"/>
    <cellStyle name="s5087" xfId="1342"/>
    <cellStyle name="s5088" xfId="1343"/>
    <cellStyle name="s5089" xfId="1344"/>
    <cellStyle name="s5090" xfId="1345"/>
    <cellStyle name="s5091" xfId="1346"/>
    <cellStyle name="s5092" xfId="1347"/>
    <cellStyle name="s5093" xfId="1348"/>
    <cellStyle name="s5094" xfId="1349"/>
    <cellStyle name="s5095" xfId="1350"/>
    <cellStyle name="s5096" xfId="1351"/>
    <cellStyle name="s5097" xfId="1352"/>
    <cellStyle name="s5098" xfId="1353"/>
    <cellStyle name="s5099" xfId="1354"/>
    <cellStyle name="s5100" xfId="1355"/>
    <cellStyle name="s5101" xfId="1356"/>
    <cellStyle name="s5102" xfId="1357"/>
    <cellStyle name="s5103" xfId="1358"/>
    <cellStyle name="s5104" xfId="1359"/>
    <cellStyle name="s5105" xfId="1360"/>
    <cellStyle name="s5106" xfId="1361"/>
    <cellStyle name="s5107" xfId="1362"/>
    <cellStyle name="s5108" xfId="1363"/>
    <cellStyle name="s5109" xfId="1364"/>
    <cellStyle name="s5110" xfId="1365"/>
    <cellStyle name="s5111" xfId="1366"/>
    <cellStyle name="s5112" xfId="1367"/>
    <cellStyle name="s5113" xfId="1368"/>
    <cellStyle name="s5114" xfId="1369"/>
    <cellStyle name="s5115" xfId="1370"/>
    <cellStyle name="s5116" xfId="1371"/>
    <cellStyle name="s5117" xfId="1372"/>
    <cellStyle name="s5118" xfId="1373"/>
    <cellStyle name="s5119" xfId="1374"/>
    <cellStyle name="s5120" xfId="1375"/>
    <cellStyle name="s5121" xfId="1376"/>
    <cellStyle name="s5122" xfId="1377"/>
    <cellStyle name="s5123" xfId="1378"/>
    <cellStyle name="s5124" xfId="1379"/>
    <cellStyle name="s5125" xfId="1380"/>
    <cellStyle name="s5126" xfId="1381"/>
    <cellStyle name="s5127" xfId="1382"/>
    <cellStyle name="s5128" xfId="1383"/>
    <cellStyle name="s5129" xfId="1384"/>
    <cellStyle name="s5130" xfId="1385"/>
    <cellStyle name="s5131" xfId="1386"/>
    <cellStyle name="s5132" xfId="1387"/>
    <cellStyle name="s5133" xfId="1388"/>
    <cellStyle name="s5134" xfId="1389"/>
    <cellStyle name="s5135" xfId="1390"/>
    <cellStyle name="s5136" xfId="1391"/>
    <cellStyle name="s5137" xfId="1392"/>
    <cellStyle name="s5138" xfId="1393"/>
    <cellStyle name="s5139" xfId="1394"/>
    <cellStyle name="s5140" xfId="1395"/>
    <cellStyle name="s5141" xfId="1396"/>
    <cellStyle name="s5142" xfId="1397"/>
    <cellStyle name="s5143" xfId="1398"/>
    <cellStyle name="s5144" xfId="1399"/>
    <cellStyle name="s5145" xfId="1400"/>
    <cellStyle name="s5146" xfId="1401"/>
    <cellStyle name="s5147" xfId="1402"/>
    <cellStyle name="s5148" xfId="1403"/>
    <cellStyle name="s5149" xfId="1404"/>
    <cellStyle name="s5150" xfId="1405"/>
    <cellStyle name="s5151" xfId="1406"/>
    <cellStyle name="s5152" xfId="1407"/>
    <cellStyle name="s5153" xfId="1408"/>
    <cellStyle name="s5154" xfId="1409"/>
    <cellStyle name="s5155" xfId="1410"/>
    <cellStyle name="s5156" xfId="1411"/>
    <cellStyle name="s5157" xfId="1412"/>
    <cellStyle name="s5158" xfId="1413"/>
    <cellStyle name="s5159" xfId="1414"/>
    <cellStyle name="s5160" xfId="1415"/>
    <cellStyle name="s5161" xfId="1416"/>
    <cellStyle name="s5162" xfId="1417"/>
    <cellStyle name="s5163" xfId="1418"/>
    <cellStyle name="s5164" xfId="1419"/>
    <cellStyle name="s5165" xfId="1420"/>
    <cellStyle name="s5166" xfId="1421"/>
    <cellStyle name="s5167" xfId="1422"/>
    <cellStyle name="s5168" xfId="1423"/>
    <cellStyle name="s5169" xfId="1424"/>
    <cellStyle name="s5170" xfId="1425"/>
    <cellStyle name="s5171" xfId="1426"/>
    <cellStyle name="s5172" xfId="1427"/>
    <cellStyle name="s5173" xfId="1428"/>
    <cellStyle name="s5174" xfId="1429"/>
    <cellStyle name="s5175" xfId="1430"/>
    <cellStyle name="s5176" xfId="1431"/>
    <cellStyle name="s5177" xfId="1432"/>
    <cellStyle name="s5178" xfId="1433"/>
    <cellStyle name="s5179" xfId="1434"/>
    <cellStyle name="s5180" xfId="1435"/>
    <cellStyle name="s5181" xfId="1436"/>
    <cellStyle name="s5182" xfId="1437"/>
    <cellStyle name="s5183" xfId="1438"/>
    <cellStyle name="s5184" xfId="1439"/>
    <cellStyle name="s5185" xfId="1440"/>
    <cellStyle name="s5186" xfId="1441"/>
    <cellStyle name="s5187" xfId="1442"/>
    <cellStyle name="s5188" xfId="1443"/>
    <cellStyle name="s5189" xfId="1444"/>
    <cellStyle name="s5190" xfId="1445"/>
    <cellStyle name="s5191" xfId="1446"/>
    <cellStyle name="s5192" xfId="1447"/>
    <cellStyle name="s5193" xfId="1448"/>
    <cellStyle name="s5194" xfId="1449"/>
    <cellStyle name="s5195" xfId="1450"/>
    <cellStyle name="s5196" xfId="1451"/>
    <cellStyle name="s5197" xfId="1452"/>
    <cellStyle name="s5198" xfId="1453"/>
    <cellStyle name="s5199" xfId="1454"/>
    <cellStyle name="s5200" xfId="1455"/>
    <cellStyle name="s5201" xfId="1456"/>
    <cellStyle name="s5202" xfId="1457"/>
    <cellStyle name="s5203" xfId="1458"/>
    <cellStyle name="s5204" xfId="1459"/>
    <cellStyle name="s5205" xfId="1460"/>
    <cellStyle name="s5206" xfId="1461"/>
    <cellStyle name="s5207" xfId="1462"/>
    <cellStyle name="s5208" xfId="1463"/>
    <cellStyle name="s5209" xfId="1464"/>
    <cellStyle name="s5210" xfId="1465"/>
    <cellStyle name="s5211" xfId="1466"/>
    <cellStyle name="s5212" xfId="1467"/>
    <cellStyle name="s5213" xfId="1468"/>
    <cellStyle name="s5214" xfId="1469"/>
    <cellStyle name="s5215" xfId="1470"/>
    <cellStyle name="s5216" xfId="1471"/>
    <cellStyle name="s5217" xfId="1472"/>
    <cellStyle name="s5218" xfId="1473"/>
    <cellStyle name="s5219" xfId="1474"/>
    <cellStyle name="s5220" xfId="1475"/>
    <cellStyle name="s5221" xfId="1476"/>
    <cellStyle name="s5222" xfId="1477"/>
    <cellStyle name="s5223" xfId="1478"/>
    <cellStyle name="s5224" xfId="1479"/>
    <cellStyle name="s5225" xfId="1480"/>
    <cellStyle name="s5226" xfId="1481"/>
    <cellStyle name="s5227" xfId="1482"/>
    <cellStyle name="s5228" xfId="1483"/>
    <cellStyle name="s5229" xfId="1484"/>
    <cellStyle name="s5230" xfId="1485"/>
    <cellStyle name="s5231" xfId="1486"/>
    <cellStyle name="s5232" xfId="1487"/>
    <cellStyle name="s5233" xfId="1488"/>
    <cellStyle name="s5234" xfId="1489"/>
    <cellStyle name="s5235" xfId="1490"/>
    <cellStyle name="s5236" xfId="1491"/>
    <cellStyle name="s5237" xfId="1492"/>
    <cellStyle name="s5238" xfId="1493"/>
    <cellStyle name="s5239" xfId="1494"/>
    <cellStyle name="s5240" xfId="1495"/>
    <cellStyle name="s5241" xfId="1496"/>
    <cellStyle name="s5242" xfId="1497"/>
    <cellStyle name="s5243" xfId="1498"/>
    <cellStyle name="s5244" xfId="1499"/>
    <cellStyle name="s5245" xfId="1500"/>
    <cellStyle name="s5246" xfId="1501"/>
    <cellStyle name="s5247" xfId="1502"/>
    <cellStyle name="s5248" xfId="1503"/>
    <cellStyle name="s5249" xfId="1504"/>
    <cellStyle name="s5250" xfId="1505"/>
    <cellStyle name="s5251" xfId="1506"/>
    <cellStyle name="s5252" xfId="1507"/>
    <cellStyle name="s5253" xfId="1508"/>
    <cellStyle name="s5254" xfId="1509"/>
    <cellStyle name="s5255" xfId="1510"/>
    <cellStyle name="s5256" xfId="1511"/>
    <cellStyle name="s5257" xfId="1512"/>
    <cellStyle name="s5258" xfId="1513"/>
    <cellStyle name="s5259" xfId="1514"/>
    <cellStyle name="s5260" xfId="1515"/>
    <cellStyle name="s5261" xfId="1516"/>
    <cellStyle name="s5262" xfId="1517"/>
    <cellStyle name="s5263" xfId="1518"/>
    <cellStyle name="s5264" xfId="1519"/>
    <cellStyle name="s5265" xfId="1520"/>
    <cellStyle name="s5266" xfId="1521"/>
    <cellStyle name="s5267" xfId="1522"/>
    <cellStyle name="s5268" xfId="1523"/>
    <cellStyle name="s5269" xfId="1524"/>
    <cellStyle name="s5270" xfId="1525"/>
    <cellStyle name="s5271" xfId="1526"/>
    <cellStyle name="s5272" xfId="1527"/>
    <cellStyle name="s5273" xfId="1528"/>
    <cellStyle name="s5274" xfId="1529"/>
    <cellStyle name="s5275" xfId="1530"/>
    <cellStyle name="s5276" xfId="1531"/>
    <cellStyle name="s5277" xfId="1532"/>
    <cellStyle name="s5278" xfId="1533"/>
    <cellStyle name="s5279" xfId="1534"/>
    <cellStyle name="s5280" xfId="1535"/>
    <cellStyle name="s5281" xfId="1536"/>
    <cellStyle name="s5282" xfId="1537"/>
    <cellStyle name="s5283" xfId="1538"/>
    <cellStyle name="s5284" xfId="1539"/>
    <cellStyle name="s5285" xfId="1540"/>
    <cellStyle name="s5286" xfId="1541"/>
    <cellStyle name="s5287" xfId="1542"/>
    <cellStyle name="s5288" xfId="1543"/>
    <cellStyle name="s5289" xfId="1544"/>
    <cellStyle name="s5290" xfId="1545"/>
    <cellStyle name="s5291" xfId="1546"/>
    <cellStyle name="s5292" xfId="1547"/>
    <cellStyle name="s5293" xfId="1548"/>
    <cellStyle name="s5294" xfId="1549"/>
    <cellStyle name="s5295" xfId="1550"/>
    <cellStyle name="s5296" xfId="1551"/>
    <cellStyle name="s5297" xfId="1552"/>
    <cellStyle name="s5298" xfId="1553"/>
    <cellStyle name="s5299" xfId="1554"/>
    <cellStyle name="s5300" xfId="1555"/>
    <cellStyle name="s5301" xfId="1556"/>
    <cellStyle name="s5302" xfId="1557"/>
    <cellStyle name="s5303" xfId="1558"/>
    <cellStyle name="s5304" xfId="1559"/>
    <cellStyle name="s5305" xfId="1560"/>
    <cellStyle name="s5306" xfId="1561"/>
    <cellStyle name="s5307" xfId="1562"/>
    <cellStyle name="s5308" xfId="1563"/>
    <cellStyle name="s5309" xfId="1564"/>
    <cellStyle name="s5310" xfId="1565"/>
    <cellStyle name="s5311" xfId="1566"/>
    <cellStyle name="s5312" xfId="1567"/>
    <cellStyle name="s5313" xfId="1568"/>
    <cellStyle name="s5314" xfId="1569"/>
    <cellStyle name="s5315" xfId="1570"/>
    <cellStyle name="s5316" xfId="1571"/>
    <cellStyle name="s5317" xfId="1572"/>
    <cellStyle name="s5318" xfId="1573"/>
    <cellStyle name="s5319" xfId="1574"/>
    <cellStyle name="s5320" xfId="1575"/>
    <cellStyle name="s5321" xfId="1576"/>
    <cellStyle name="s5322" xfId="1577"/>
    <cellStyle name="s5323" xfId="1578"/>
    <cellStyle name="s5324" xfId="1579"/>
    <cellStyle name="s5325" xfId="1580"/>
    <cellStyle name="s5326" xfId="1581"/>
    <cellStyle name="s5327" xfId="1582"/>
    <cellStyle name="s5328" xfId="1583"/>
    <cellStyle name="s5329" xfId="1584"/>
    <cellStyle name="s5330" xfId="1585"/>
    <cellStyle name="s5331" xfId="1586"/>
    <cellStyle name="s5332" xfId="1587"/>
    <cellStyle name="s5333" xfId="1588"/>
    <cellStyle name="s5334" xfId="1589"/>
    <cellStyle name="s5335" xfId="1590"/>
    <cellStyle name="s5336" xfId="1591"/>
    <cellStyle name="s5337" xfId="1592"/>
    <cellStyle name="s5338" xfId="1593"/>
    <cellStyle name="s5339" xfId="1594"/>
    <cellStyle name="s5340" xfId="1595"/>
    <cellStyle name="s5341" xfId="1596"/>
    <cellStyle name="s5342" xfId="1597"/>
    <cellStyle name="s5343" xfId="1598"/>
    <cellStyle name="s5344" xfId="1599"/>
    <cellStyle name="s5345" xfId="1600"/>
    <cellStyle name="s5346" xfId="1601"/>
    <cellStyle name="s5347" xfId="1602"/>
    <cellStyle name="s5348" xfId="1603"/>
    <cellStyle name="s5349" xfId="1604"/>
    <cellStyle name="s5350" xfId="1605"/>
    <cellStyle name="s5351" xfId="1606"/>
    <cellStyle name="s5352" xfId="1607"/>
    <cellStyle name="s5353" xfId="1608"/>
    <cellStyle name="s5354" xfId="1609"/>
    <cellStyle name="s5355" xfId="1610"/>
    <cellStyle name="s5356" xfId="1611"/>
    <cellStyle name="s5357" xfId="1612"/>
    <cellStyle name="s5358" xfId="1613"/>
    <cellStyle name="s5359" xfId="1614"/>
    <cellStyle name="s5360" xfId="1615"/>
    <cellStyle name="s5361" xfId="1616"/>
    <cellStyle name="s5362" xfId="1617"/>
    <cellStyle name="s5363" xfId="1618"/>
    <cellStyle name="s5364" xfId="1619"/>
    <cellStyle name="s5365" xfId="1620"/>
    <cellStyle name="s5366" xfId="1621"/>
    <cellStyle name="s5367" xfId="1622"/>
    <cellStyle name="s5368" xfId="1623"/>
    <cellStyle name="s5369" xfId="1624"/>
    <cellStyle name="s5370" xfId="1625"/>
    <cellStyle name="s5371" xfId="1626"/>
    <cellStyle name="s5372" xfId="1627"/>
    <cellStyle name="s5373" xfId="1628"/>
    <cellStyle name="s5374" xfId="1629"/>
    <cellStyle name="s5375" xfId="1630"/>
    <cellStyle name="s5376" xfId="1631"/>
    <cellStyle name="s5377" xfId="1632"/>
    <cellStyle name="s5378" xfId="1633"/>
    <cellStyle name="s5379" xfId="1634"/>
    <cellStyle name="s5380" xfId="1635"/>
    <cellStyle name="s5381" xfId="1636"/>
    <cellStyle name="s5382" xfId="1637"/>
    <cellStyle name="s5383" xfId="1638"/>
    <cellStyle name="s5384" xfId="1639"/>
    <cellStyle name="s5385" xfId="1640"/>
    <cellStyle name="s5386" xfId="1641"/>
    <cellStyle name="s5387" xfId="1642"/>
    <cellStyle name="s5388" xfId="1643"/>
    <cellStyle name="s5389" xfId="1644"/>
    <cellStyle name="s5390" xfId="1645"/>
    <cellStyle name="s5391" xfId="1646"/>
    <cellStyle name="s5392" xfId="1647"/>
    <cellStyle name="s5393" xfId="1648"/>
    <cellStyle name="s5394" xfId="1649"/>
    <cellStyle name="s5395" xfId="1650"/>
    <cellStyle name="s5396" xfId="1651"/>
    <cellStyle name="s5397" xfId="1652"/>
    <cellStyle name="s5398" xfId="1653"/>
    <cellStyle name="s5399" xfId="1654"/>
    <cellStyle name="s5400" xfId="1655"/>
    <cellStyle name="s5401" xfId="1656"/>
    <cellStyle name="s5402" xfId="1657"/>
    <cellStyle name="s5403" xfId="1658"/>
    <cellStyle name="s5404" xfId="1659"/>
    <cellStyle name="s5405" xfId="1660"/>
    <cellStyle name="s5406" xfId="1661"/>
    <cellStyle name="s5407" xfId="1662"/>
    <cellStyle name="s5408" xfId="1663"/>
    <cellStyle name="s5409" xfId="1664"/>
    <cellStyle name="s5410" xfId="1665"/>
    <cellStyle name="s5411" xfId="1666"/>
    <cellStyle name="s5412" xfId="1667"/>
    <cellStyle name="s5413" xfId="1668"/>
    <cellStyle name="s5414" xfId="1669"/>
    <cellStyle name="s5415" xfId="1670"/>
    <cellStyle name="s5416" xfId="1671"/>
    <cellStyle name="s5417" xfId="1672"/>
    <cellStyle name="s5418" xfId="1673"/>
    <cellStyle name="s5419" xfId="1674"/>
    <cellStyle name="s5420" xfId="1675"/>
    <cellStyle name="s5421" xfId="1676"/>
    <cellStyle name="s5422" xfId="1677"/>
    <cellStyle name="s5423" xfId="1678"/>
    <cellStyle name="s5424" xfId="1679"/>
    <cellStyle name="s5425" xfId="1680"/>
    <cellStyle name="s5426" xfId="1681"/>
    <cellStyle name="s5427" xfId="1682"/>
    <cellStyle name="s5428" xfId="1683"/>
    <cellStyle name="s5429" xfId="1684"/>
    <cellStyle name="s5430" xfId="1685"/>
    <cellStyle name="s5431" xfId="1686"/>
    <cellStyle name="s5432" xfId="1687"/>
    <cellStyle name="s5433" xfId="1688"/>
    <cellStyle name="s5434" xfId="1689"/>
    <cellStyle name="s5435" xfId="1690"/>
    <cellStyle name="s5436" xfId="1691"/>
    <cellStyle name="s5437" xfId="1692"/>
    <cellStyle name="s5438" xfId="1693"/>
    <cellStyle name="s5439" xfId="1694"/>
    <cellStyle name="s5440" xfId="1695"/>
    <cellStyle name="s5441" xfId="1696"/>
    <cellStyle name="s5442" xfId="1697"/>
    <cellStyle name="s5443" xfId="1698"/>
    <cellStyle name="s5444" xfId="1699"/>
    <cellStyle name="s5445" xfId="1700"/>
    <cellStyle name="s5446" xfId="1701"/>
    <cellStyle name="s5447" xfId="1702"/>
    <cellStyle name="s5448" xfId="1703"/>
    <cellStyle name="s5449" xfId="1704"/>
    <cellStyle name="s5450" xfId="1705"/>
    <cellStyle name="s5451" xfId="1706"/>
    <cellStyle name="s5452" xfId="1707"/>
    <cellStyle name="s5453" xfId="1708"/>
    <cellStyle name="s5454" xfId="1709"/>
    <cellStyle name="s5455" xfId="1710"/>
    <cellStyle name="s5456" xfId="1711"/>
    <cellStyle name="s5457" xfId="1712"/>
    <cellStyle name="s5458" xfId="1713"/>
    <cellStyle name="s5459" xfId="1714"/>
    <cellStyle name="s5460" xfId="1715"/>
    <cellStyle name="s5461" xfId="1716"/>
    <cellStyle name="s5462" xfId="1717"/>
    <cellStyle name="s5463" xfId="1718"/>
    <cellStyle name="s5464" xfId="1719"/>
    <cellStyle name="s5465" xfId="1720"/>
    <cellStyle name="s5466" xfId="1721"/>
    <cellStyle name="s5467" xfId="1722"/>
    <cellStyle name="s5468" xfId="1723"/>
    <cellStyle name="s5469" xfId="1724"/>
    <cellStyle name="s5470" xfId="1725"/>
    <cellStyle name="s5471" xfId="1726"/>
    <cellStyle name="s5472" xfId="1727"/>
    <cellStyle name="s5473" xfId="1728"/>
    <cellStyle name="s5474" xfId="1729"/>
    <cellStyle name="s5475" xfId="1730"/>
    <cellStyle name="s5476" xfId="1731"/>
    <cellStyle name="s5477" xfId="1732"/>
    <cellStyle name="s5478" xfId="1733"/>
    <cellStyle name="s5479" xfId="1734"/>
    <cellStyle name="s5480" xfId="1735"/>
    <cellStyle name="s5481" xfId="1736"/>
    <cellStyle name="s5482" xfId="1737"/>
    <cellStyle name="s5483" xfId="1738"/>
    <cellStyle name="s5484" xfId="1739"/>
    <cellStyle name="s5485" xfId="1740"/>
    <cellStyle name="s5486" xfId="1741"/>
    <cellStyle name="s5487" xfId="1742"/>
    <cellStyle name="s5488" xfId="1743"/>
    <cellStyle name="s5489" xfId="1744"/>
    <cellStyle name="s5490" xfId="1745"/>
    <cellStyle name="s5491" xfId="1746"/>
    <cellStyle name="s5492" xfId="1747"/>
    <cellStyle name="s5493" xfId="1748"/>
    <cellStyle name="s5494" xfId="1749"/>
    <cellStyle name="s5495" xfId="1750"/>
    <cellStyle name="s5496" xfId="1751"/>
    <cellStyle name="s5497" xfId="1752"/>
    <cellStyle name="s5498" xfId="1753"/>
    <cellStyle name="s5499" xfId="1754"/>
    <cellStyle name="s5500" xfId="1755"/>
    <cellStyle name="s5501" xfId="1756"/>
    <cellStyle name="s5502" xfId="1757"/>
    <cellStyle name="s5503" xfId="1758"/>
    <cellStyle name="s5504" xfId="1759"/>
    <cellStyle name="s5505" xfId="1760"/>
    <cellStyle name="s5506" xfId="1761"/>
    <cellStyle name="s5507" xfId="1762"/>
    <cellStyle name="s5508" xfId="1763"/>
    <cellStyle name="s5509" xfId="1764"/>
    <cellStyle name="s5510" xfId="1765"/>
    <cellStyle name="s5511" xfId="1766"/>
    <cellStyle name="s5512" xfId="1767"/>
    <cellStyle name="s5513" xfId="1768"/>
    <cellStyle name="s5514" xfId="1769"/>
    <cellStyle name="s5515" xfId="1770"/>
    <cellStyle name="s5516" xfId="1771"/>
    <cellStyle name="s5517" xfId="1772"/>
    <cellStyle name="s5518" xfId="1773"/>
    <cellStyle name="s5519" xfId="1774"/>
    <cellStyle name="s5520" xfId="1775"/>
    <cellStyle name="s5521" xfId="1776"/>
    <cellStyle name="s5522" xfId="1777"/>
    <cellStyle name="s5523" xfId="1778"/>
    <cellStyle name="s5524" xfId="1779"/>
    <cellStyle name="s5525" xfId="1780"/>
    <cellStyle name="s5526" xfId="1781"/>
    <cellStyle name="s5527" xfId="1782"/>
    <cellStyle name="s5528" xfId="1783"/>
    <cellStyle name="s5529" xfId="1784"/>
    <cellStyle name="s5530" xfId="1785"/>
    <cellStyle name="s5531" xfId="1786"/>
    <cellStyle name="s5532" xfId="1787"/>
    <cellStyle name="s5533" xfId="1788"/>
    <cellStyle name="s5534" xfId="1789"/>
    <cellStyle name="s5535" xfId="1790"/>
    <cellStyle name="s5536" xfId="1791"/>
    <cellStyle name="s5537" xfId="1792"/>
    <cellStyle name="s5538" xfId="1793"/>
    <cellStyle name="s5539" xfId="1794"/>
    <cellStyle name="s5540" xfId="1795"/>
    <cellStyle name="s5541" xfId="1796"/>
    <cellStyle name="s5542" xfId="1797"/>
    <cellStyle name="s5543" xfId="1798"/>
    <cellStyle name="s5544" xfId="1799"/>
    <cellStyle name="s5545" xfId="1800"/>
    <cellStyle name="s5546" xfId="1801"/>
    <cellStyle name="s5547" xfId="1802"/>
    <cellStyle name="s5548" xfId="1803"/>
    <cellStyle name="s5549" xfId="1804"/>
    <cellStyle name="s5550" xfId="1805"/>
    <cellStyle name="s5551" xfId="1806"/>
    <cellStyle name="s5552" xfId="1807"/>
    <cellStyle name="s5553" xfId="1808"/>
    <cellStyle name="s5554" xfId="1809"/>
    <cellStyle name="s5555" xfId="1810"/>
    <cellStyle name="s5556" xfId="1811"/>
    <cellStyle name="s5557" xfId="1812"/>
    <cellStyle name="s5558" xfId="1813"/>
    <cellStyle name="s5559" xfId="1814"/>
    <cellStyle name="s5560" xfId="1815"/>
    <cellStyle name="s5561" xfId="1816"/>
    <cellStyle name="s5562" xfId="1817"/>
    <cellStyle name="s5563" xfId="1818"/>
    <cellStyle name="s5564" xfId="1819"/>
    <cellStyle name="s5565" xfId="1820"/>
    <cellStyle name="s5566" xfId="1821"/>
    <cellStyle name="s5567" xfId="1822"/>
    <cellStyle name="s5568" xfId="1823"/>
    <cellStyle name="s5569" xfId="1824"/>
    <cellStyle name="s5570" xfId="1825"/>
    <cellStyle name="s5571" xfId="1826"/>
    <cellStyle name="s5572" xfId="1827"/>
    <cellStyle name="s5573" xfId="1828"/>
    <cellStyle name="s5574" xfId="1829"/>
    <cellStyle name="s5575" xfId="1830"/>
    <cellStyle name="s5576" xfId="1831"/>
    <cellStyle name="s5577" xfId="1832"/>
    <cellStyle name="s5578" xfId="1833"/>
    <cellStyle name="s5579" xfId="1834"/>
    <cellStyle name="s5580" xfId="1835"/>
    <cellStyle name="s5581" xfId="1836"/>
    <cellStyle name="s5582" xfId="1837"/>
    <cellStyle name="s5583" xfId="1838"/>
    <cellStyle name="s5584" xfId="1839"/>
    <cellStyle name="s5585" xfId="1840"/>
    <cellStyle name="s5586" xfId="1841"/>
    <cellStyle name="s5587" xfId="1842"/>
    <cellStyle name="s5588" xfId="1843"/>
    <cellStyle name="s5589" xfId="1844"/>
    <cellStyle name="s5590" xfId="1845"/>
    <cellStyle name="s5591" xfId="1846"/>
    <cellStyle name="s5592" xfId="1847"/>
    <cellStyle name="s5593" xfId="1848"/>
    <cellStyle name="s5594" xfId="1849"/>
    <cellStyle name="s5595" xfId="1850"/>
    <cellStyle name="s5596" xfId="1851"/>
    <cellStyle name="s5597" xfId="1852"/>
    <cellStyle name="s5598" xfId="1853"/>
    <cellStyle name="s5599" xfId="1854"/>
    <cellStyle name="s5600" xfId="1855"/>
    <cellStyle name="s5601" xfId="1856"/>
    <cellStyle name="s5602" xfId="1857"/>
    <cellStyle name="s5603" xfId="1858"/>
    <cellStyle name="s5604" xfId="1859"/>
    <cellStyle name="s5605" xfId="1860"/>
    <cellStyle name="s5606" xfId="1861"/>
    <cellStyle name="s5607" xfId="1862"/>
    <cellStyle name="s5608" xfId="1863"/>
    <cellStyle name="s5609" xfId="1864"/>
    <cellStyle name="s5610" xfId="1865"/>
    <cellStyle name="s5611" xfId="1866"/>
    <cellStyle name="s5612" xfId="1867"/>
    <cellStyle name="s5613" xfId="1868"/>
    <cellStyle name="s5614" xfId="1869"/>
    <cellStyle name="s5615" xfId="1870"/>
    <cellStyle name="s5616" xfId="1871"/>
    <cellStyle name="s5617" xfId="1872"/>
    <cellStyle name="s5618" xfId="1873"/>
    <cellStyle name="s5619" xfId="1874"/>
    <cellStyle name="s5620" xfId="1875"/>
    <cellStyle name="s5621" xfId="1876"/>
    <cellStyle name="s5622" xfId="1877"/>
    <cellStyle name="s5623" xfId="1878"/>
    <cellStyle name="s5624" xfId="1879"/>
    <cellStyle name="s5625" xfId="1880"/>
    <cellStyle name="s5626" xfId="1881"/>
    <cellStyle name="s5627" xfId="1882"/>
    <cellStyle name="s5628" xfId="1883"/>
    <cellStyle name="s5629" xfId="1884"/>
    <cellStyle name="s5630" xfId="1885"/>
    <cellStyle name="s5631" xfId="1886"/>
    <cellStyle name="s5632" xfId="1887"/>
    <cellStyle name="s5633" xfId="1888"/>
    <cellStyle name="s5634" xfId="1889"/>
    <cellStyle name="s5635" xfId="1890"/>
    <cellStyle name="s5636" xfId="1891"/>
    <cellStyle name="s5637" xfId="1892"/>
    <cellStyle name="s5638" xfId="1893"/>
    <cellStyle name="s5639" xfId="1894"/>
    <cellStyle name="s5640" xfId="1895"/>
    <cellStyle name="s5641" xfId="1896"/>
    <cellStyle name="s5642" xfId="1897"/>
    <cellStyle name="s5643" xfId="1898"/>
    <cellStyle name="s5644" xfId="1899"/>
    <cellStyle name="s5645" xfId="1900"/>
    <cellStyle name="s5646" xfId="1901"/>
    <cellStyle name="s5647" xfId="1902"/>
    <cellStyle name="s5648" xfId="1903"/>
    <cellStyle name="s5649" xfId="1904"/>
    <cellStyle name="s5650" xfId="1905"/>
    <cellStyle name="s5651" xfId="1906"/>
    <cellStyle name="s5652" xfId="1907"/>
    <cellStyle name="s5653" xfId="1908"/>
    <cellStyle name="s5654" xfId="1909"/>
    <cellStyle name="s5655" xfId="1910"/>
    <cellStyle name="s5656" xfId="1911"/>
    <cellStyle name="s5657" xfId="1912"/>
    <cellStyle name="s5658" xfId="1913"/>
    <cellStyle name="s5659" xfId="1914"/>
    <cellStyle name="s5660" xfId="1915"/>
    <cellStyle name="s5661" xfId="1916"/>
    <cellStyle name="s5662" xfId="1917"/>
    <cellStyle name="s5663" xfId="1918"/>
    <cellStyle name="s5664" xfId="1919"/>
    <cellStyle name="s5665" xfId="1920"/>
    <cellStyle name="s5666" xfId="1921"/>
    <cellStyle name="s5667" xfId="1922"/>
    <cellStyle name="s5668" xfId="1923"/>
    <cellStyle name="s5669" xfId="1924"/>
    <cellStyle name="s5670" xfId="1925"/>
    <cellStyle name="s5671" xfId="1926"/>
    <cellStyle name="s5672" xfId="1927"/>
    <cellStyle name="s5673" xfId="1928"/>
    <cellStyle name="s5674" xfId="1929"/>
    <cellStyle name="s5675" xfId="1930"/>
    <cellStyle name="s5676" xfId="1931"/>
    <cellStyle name="s5677" xfId="1932"/>
    <cellStyle name="s5678" xfId="1933"/>
    <cellStyle name="s5679" xfId="1934"/>
    <cellStyle name="s5680" xfId="1935"/>
    <cellStyle name="s5681" xfId="1936"/>
    <cellStyle name="s5682" xfId="1937"/>
    <cellStyle name="s5683" xfId="1938"/>
    <cellStyle name="s5684" xfId="1939"/>
    <cellStyle name="s5685" xfId="1940"/>
    <cellStyle name="s5686" xfId="1941"/>
    <cellStyle name="s5687" xfId="1942"/>
    <cellStyle name="s5688" xfId="1943"/>
    <cellStyle name="s5689" xfId="1944"/>
    <cellStyle name="s5690" xfId="1945"/>
    <cellStyle name="s5691" xfId="1946"/>
    <cellStyle name="s5692" xfId="1947"/>
    <cellStyle name="s5693" xfId="1948"/>
    <cellStyle name="s5694" xfId="1949"/>
    <cellStyle name="s5695" xfId="1950"/>
    <cellStyle name="s5696" xfId="1951"/>
    <cellStyle name="s5697" xfId="1952"/>
    <cellStyle name="s5698" xfId="1953"/>
    <cellStyle name="s5699" xfId="1954"/>
    <cellStyle name="s5700" xfId="1955"/>
    <cellStyle name="s5701" xfId="1956"/>
    <cellStyle name="s5702" xfId="1957"/>
    <cellStyle name="s5703" xfId="1958"/>
    <cellStyle name="s5704" xfId="1959"/>
    <cellStyle name="s5705" xfId="1960"/>
    <cellStyle name="s5706" xfId="1961"/>
    <cellStyle name="s5707" xfId="1962"/>
    <cellStyle name="s5708" xfId="1963"/>
    <cellStyle name="s5709" xfId="1964"/>
    <cellStyle name="s5710" xfId="1965"/>
    <cellStyle name="s5711" xfId="1966"/>
    <cellStyle name="s5712" xfId="1967"/>
    <cellStyle name="s5713" xfId="1968"/>
    <cellStyle name="s5714" xfId="1969"/>
    <cellStyle name="s5715" xfId="1970"/>
    <cellStyle name="s5716" xfId="1971"/>
    <cellStyle name="s5717" xfId="1972"/>
    <cellStyle name="s5718" xfId="1973"/>
    <cellStyle name="s5719" xfId="1974"/>
    <cellStyle name="s5720" xfId="1975"/>
    <cellStyle name="s5721" xfId="1976"/>
    <cellStyle name="s5722" xfId="1977"/>
    <cellStyle name="s5723" xfId="1978"/>
    <cellStyle name="s5724" xfId="1979"/>
    <cellStyle name="s5725" xfId="1980"/>
    <cellStyle name="s5726" xfId="1981"/>
    <cellStyle name="s5727" xfId="1982"/>
    <cellStyle name="s5728" xfId="1983"/>
    <cellStyle name="s5729" xfId="1984"/>
    <cellStyle name="s5730" xfId="1985"/>
    <cellStyle name="s5731" xfId="1986"/>
    <cellStyle name="s5732" xfId="1987"/>
    <cellStyle name="s5733" xfId="1988"/>
    <cellStyle name="s5734" xfId="1989"/>
    <cellStyle name="s5735" xfId="1990"/>
    <cellStyle name="s5736" xfId="1991"/>
    <cellStyle name="s5737" xfId="1992"/>
    <cellStyle name="s5738" xfId="1993"/>
    <cellStyle name="s5739" xfId="1994"/>
    <cellStyle name="s5740" xfId="1995"/>
    <cellStyle name="s5741" xfId="1996"/>
    <cellStyle name="s5742" xfId="1997"/>
    <cellStyle name="s5743" xfId="1998"/>
    <cellStyle name="s5744" xfId="1999"/>
    <cellStyle name="s5745" xfId="2000"/>
    <cellStyle name="s5746" xfId="2001"/>
    <cellStyle name="s5747" xfId="2002"/>
    <cellStyle name="s5748" xfId="2003"/>
    <cellStyle name="s5749" xfId="2004"/>
    <cellStyle name="s5750" xfId="2005"/>
    <cellStyle name="s5751" xfId="2006"/>
    <cellStyle name="s5752" xfId="2007"/>
    <cellStyle name="s5753" xfId="2008"/>
    <cellStyle name="s5754" xfId="2009"/>
    <cellStyle name="s5755" xfId="2010"/>
    <cellStyle name="s5756" xfId="2011"/>
    <cellStyle name="s5757" xfId="2012"/>
    <cellStyle name="s5758" xfId="2013"/>
    <cellStyle name="s5759" xfId="2014"/>
    <cellStyle name="s5760" xfId="2015"/>
    <cellStyle name="s5761" xfId="2016"/>
    <cellStyle name="s5762" xfId="2017"/>
    <cellStyle name="s5763" xfId="2018"/>
    <cellStyle name="s5764" xfId="2019"/>
    <cellStyle name="s5765" xfId="2020"/>
    <cellStyle name="s5766" xfId="2021"/>
    <cellStyle name="s5767" xfId="2022"/>
    <cellStyle name="s5768" xfId="2023"/>
    <cellStyle name="s5769" xfId="2024"/>
    <cellStyle name="s5770" xfId="2025"/>
    <cellStyle name="s5771" xfId="2026"/>
    <cellStyle name="s5772" xfId="2027"/>
    <cellStyle name="s5773" xfId="2028"/>
    <cellStyle name="s5774" xfId="2029"/>
    <cellStyle name="s5775" xfId="2030"/>
    <cellStyle name="s5776" xfId="2031"/>
    <cellStyle name="s5777" xfId="2032"/>
    <cellStyle name="s5778" xfId="2033"/>
    <cellStyle name="s5779" xfId="2034"/>
    <cellStyle name="s5780" xfId="2035"/>
    <cellStyle name="s5781" xfId="2036"/>
    <cellStyle name="s5782" xfId="2037"/>
    <cellStyle name="s5783" xfId="2038"/>
    <cellStyle name="s5784" xfId="2039"/>
    <cellStyle name="s5785" xfId="2040"/>
    <cellStyle name="s5786" xfId="2041"/>
    <cellStyle name="s5787" xfId="2042"/>
    <cellStyle name="s5788" xfId="2043"/>
    <cellStyle name="s5789" xfId="2044"/>
    <cellStyle name="s5790" xfId="2045"/>
    <cellStyle name="s5791" xfId="2046"/>
    <cellStyle name="s5792" xfId="2047"/>
    <cellStyle name="s5793" xfId="2048"/>
    <cellStyle name="s5794" xfId="2049"/>
    <cellStyle name="s5795" xfId="2050"/>
    <cellStyle name="s5796" xfId="2051"/>
    <cellStyle name="s5797" xfId="2052"/>
    <cellStyle name="s5798" xfId="2053"/>
    <cellStyle name="s5799" xfId="2054"/>
    <cellStyle name="s5800" xfId="2055"/>
    <cellStyle name="s5801" xfId="2056"/>
    <cellStyle name="s5802" xfId="2057"/>
    <cellStyle name="s5803" xfId="2058"/>
    <cellStyle name="s5804" xfId="2059"/>
    <cellStyle name="s5805" xfId="2060"/>
    <cellStyle name="s5806" xfId="2061"/>
    <cellStyle name="s5807" xfId="2062"/>
    <cellStyle name="s5808" xfId="2063"/>
    <cellStyle name="s5809" xfId="2064"/>
    <cellStyle name="s5810" xfId="2065"/>
    <cellStyle name="s5811" xfId="2066"/>
    <cellStyle name="s5812" xfId="2067"/>
    <cellStyle name="s5813" xfId="2068"/>
    <cellStyle name="s5814" xfId="2069"/>
    <cellStyle name="s5815" xfId="2070"/>
    <cellStyle name="s5816" xfId="2071"/>
    <cellStyle name="s5817" xfId="2072"/>
    <cellStyle name="s5818" xfId="2073"/>
    <cellStyle name="s5819" xfId="2074"/>
    <cellStyle name="s5820" xfId="2075"/>
    <cellStyle name="s5821" xfId="2076"/>
    <cellStyle name="s5822" xfId="2077"/>
    <cellStyle name="s5823" xfId="2078"/>
    <cellStyle name="s5824" xfId="2079"/>
    <cellStyle name="s5825" xfId="2080"/>
    <cellStyle name="s5826" xfId="2081"/>
    <cellStyle name="s5827" xfId="2082"/>
    <cellStyle name="s5828" xfId="2083"/>
    <cellStyle name="s5829" xfId="2084"/>
    <cellStyle name="s5830" xfId="2085"/>
    <cellStyle name="s5831" xfId="2086"/>
    <cellStyle name="s5832" xfId="2087"/>
    <cellStyle name="s5833" xfId="2088"/>
    <cellStyle name="s5834" xfId="2089"/>
    <cellStyle name="s5835" xfId="2090"/>
    <cellStyle name="s5836" xfId="2091"/>
    <cellStyle name="s5837" xfId="2092"/>
    <cellStyle name="s5838" xfId="2093"/>
    <cellStyle name="s5839" xfId="2094"/>
    <cellStyle name="s5840" xfId="2095"/>
    <cellStyle name="s5841" xfId="2096"/>
    <cellStyle name="s5842" xfId="2097"/>
    <cellStyle name="s5843" xfId="2098"/>
    <cellStyle name="s5844" xfId="2099"/>
    <cellStyle name="s5845" xfId="2100"/>
    <cellStyle name="s5846" xfId="2101"/>
    <cellStyle name="s5847" xfId="2102"/>
    <cellStyle name="s5848" xfId="2103"/>
    <cellStyle name="s5849" xfId="2104"/>
    <cellStyle name="s5850" xfId="2105"/>
    <cellStyle name="s5851" xfId="2106"/>
    <cellStyle name="s5852" xfId="2107"/>
    <cellStyle name="s5853" xfId="2108"/>
    <cellStyle name="s5854" xfId="2109"/>
    <cellStyle name="s5855" xfId="2110"/>
    <cellStyle name="s5856" xfId="2111"/>
    <cellStyle name="s5857" xfId="2112"/>
    <cellStyle name="s5858" xfId="2113"/>
    <cellStyle name="s5859" xfId="2114"/>
    <cellStyle name="s5860" xfId="2115"/>
    <cellStyle name="s5861" xfId="2116"/>
    <cellStyle name="s5862" xfId="2117"/>
    <cellStyle name="s5863" xfId="2118"/>
    <cellStyle name="s5864" xfId="2119"/>
    <cellStyle name="s5865" xfId="2120"/>
    <cellStyle name="s5866" xfId="2121"/>
    <cellStyle name="s5867" xfId="2122"/>
    <cellStyle name="s5868" xfId="2123"/>
    <cellStyle name="s5869" xfId="2124"/>
    <cellStyle name="s5870" xfId="2125"/>
    <cellStyle name="s5871" xfId="2126"/>
    <cellStyle name="s5872" xfId="2127"/>
    <cellStyle name="s5873" xfId="2128"/>
    <cellStyle name="s5874" xfId="2129"/>
    <cellStyle name="s5875" xfId="2130"/>
    <cellStyle name="s5876" xfId="2131"/>
    <cellStyle name="s5877" xfId="2132"/>
    <cellStyle name="s5878" xfId="2133"/>
    <cellStyle name="s5879" xfId="2134"/>
    <cellStyle name="s5880" xfId="2135"/>
    <cellStyle name="s5881" xfId="2136"/>
    <cellStyle name="s5882" xfId="2137"/>
    <cellStyle name="s5883" xfId="2138"/>
    <cellStyle name="s5884" xfId="2139"/>
    <cellStyle name="s5885" xfId="2140"/>
    <cellStyle name="s5886" xfId="2141"/>
    <cellStyle name="s5887" xfId="2142"/>
    <cellStyle name="s5888" xfId="2143"/>
    <cellStyle name="s5889" xfId="2144"/>
    <cellStyle name="s5890" xfId="2145"/>
    <cellStyle name="s5891" xfId="2146"/>
    <cellStyle name="s5892" xfId="2147"/>
    <cellStyle name="s5893" xfId="2148"/>
    <cellStyle name="s5894" xfId="2149"/>
    <cellStyle name="s5895" xfId="2150"/>
    <cellStyle name="s5896" xfId="2151"/>
    <cellStyle name="s5897" xfId="2152"/>
    <cellStyle name="s5898" xfId="2153"/>
    <cellStyle name="s5899" xfId="2154"/>
    <cellStyle name="s5900" xfId="2155"/>
    <cellStyle name="s5901" xfId="2156"/>
    <cellStyle name="s5902" xfId="2157"/>
    <cellStyle name="s5903" xfId="2158"/>
    <cellStyle name="s5904" xfId="2159"/>
    <cellStyle name="s5905" xfId="2160"/>
    <cellStyle name="s5906" xfId="2161"/>
    <cellStyle name="s5907" xfId="2162"/>
    <cellStyle name="s5908" xfId="2163"/>
    <cellStyle name="s5909" xfId="2164"/>
    <cellStyle name="s5910" xfId="2165"/>
    <cellStyle name="s5911" xfId="2166"/>
    <cellStyle name="s5912" xfId="2167"/>
    <cellStyle name="s5913" xfId="2168"/>
    <cellStyle name="s5914" xfId="2169"/>
    <cellStyle name="s5915" xfId="2170"/>
    <cellStyle name="s5916" xfId="2171"/>
    <cellStyle name="s5917" xfId="2172"/>
    <cellStyle name="s5918" xfId="2173"/>
    <cellStyle name="s5919" xfId="2174"/>
    <cellStyle name="s5920" xfId="2175"/>
    <cellStyle name="s5921" xfId="2176"/>
    <cellStyle name="s5922" xfId="2177"/>
    <cellStyle name="s5923" xfId="2178"/>
    <cellStyle name="s5924" xfId="2179"/>
    <cellStyle name="s5925" xfId="2180"/>
    <cellStyle name="s5926" xfId="2181"/>
    <cellStyle name="s5927" xfId="2182"/>
    <cellStyle name="s5928" xfId="2183"/>
    <cellStyle name="s5929" xfId="2184"/>
    <cellStyle name="s5930" xfId="2185"/>
    <cellStyle name="s5931" xfId="2186"/>
    <cellStyle name="s5932" xfId="2187"/>
    <cellStyle name="s5933" xfId="2188"/>
    <cellStyle name="s5934" xfId="2189"/>
    <cellStyle name="s5935" xfId="2190"/>
    <cellStyle name="s5936" xfId="2191"/>
    <cellStyle name="s5937" xfId="2192"/>
    <cellStyle name="s5938" xfId="2193"/>
    <cellStyle name="s5939" xfId="2194"/>
    <cellStyle name="s5940" xfId="2195"/>
    <cellStyle name="s5941" xfId="2196"/>
    <cellStyle name="s5942" xfId="2197"/>
    <cellStyle name="s5943" xfId="2198"/>
    <cellStyle name="s5944" xfId="2199"/>
    <cellStyle name="s5945" xfId="2200"/>
    <cellStyle name="s5946" xfId="2201"/>
    <cellStyle name="s5947" xfId="2202"/>
    <cellStyle name="s5948" xfId="2203"/>
    <cellStyle name="s5949" xfId="2204"/>
    <cellStyle name="s5950" xfId="2205"/>
    <cellStyle name="s5951" xfId="2206"/>
    <cellStyle name="s5952" xfId="2207"/>
    <cellStyle name="s5953" xfId="2208"/>
    <cellStyle name="s5954" xfId="2209"/>
    <cellStyle name="s5955" xfId="2210"/>
    <cellStyle name="s5956" xfId="2211"/>
    <cellStyle name="s5957" xfId="2212"/>
    <cellStyle name="s5958" xfId="2213"/>
    <cellStyle name="s5959" xfId="2214"/>
    <cellStyle name="s5960" xfId="2215"/>
    <cellStyle name="s5961" xfId="2216"/>
    <cellStyle name="s5962" xfId="2217"/>
    <cellStyle name="s5963" xfId="2218"/>
    <cellStyle name="s5964" xfId="2219"/>
    <cellStyle name="s5965" xfId="2220"/>
    <cellStyle name="s5966" xfId="2221"/>
    <cellStyle name="s5967" xfId="2222"/>
    <cellStyle name="s5968" xfId="2223"/>
    <cellStyle name="s5969" xfId="2224"/>
    <cellStyle name="s5970" xfId="2225"/>
    <cellStyle name="s5971" xfId="2226"/>
    <cellStyle name="s5972" xfId="2227"/>
    <cellStyle name="s5973" xfId="2228"/>
    <cellStyle name="s5974" xfId="2229"/>
    <cellStyle name="s5975" xfId="2230"/>
    <cellStyle name="s5976" xfId="2231"/>
    <cellStyle name="s5977" xfId="2232"/>
    <cellStyle name="s5978" xfId="2233"/>
    <cellStyle name="s5979" xfId="2234"/>
    <cellStyle name="s5980" xfId="2235"/>
    <cellStyle name="s5981" xfId="2236"/>
    <cellStyle name="s5982" xfId="2237"/>
    <cellStyle name="s5983" xfId="2238"/>
    <cellStyle name="s5984" xfId="2239"/>
    <cellStyle name="s5985" xfId="2240"/>
    <cellStyle name="s5986" xfId="2241"/>
    <cellStyle name="s5987" xfId="2242"/>
    <cellStyle name="s5988" xfId="2243"/>
    <cellStyle name="s5989" xfId="2244"/>
    <cellStyle name="s5990" xfId="2245"/>
    <cellStyle name="s5991" xfId="2246"/>
    <cellStyle name="s5992" xfId="2247"/>
    <cellStyle name="s5993" xfId="2248"/>
    <cellStyle name="s5994" xfId="2249"/>
    <cellStyle name="s5995" xfId="2250"/>
    <cellStyle name="s5996" xfId="2251"/>
    <cellStyle name="s5997" xfId="2252"/>
    <cellStyle name="s5998" xfId="2253"/>
    <cellStyle name="s5999" xfId="2254"/>
    <cellStyle name="s6000" xfId="2255"/>
    <cellStyle name="s6001" xfId="2256"/>
    <cellStyle name="s6002" xfId="2257"/>
    <cellStyle name="s6003" xfId="2258"/>
    <cellStyle name="s6004" xfId="2259"/>
    <cellStyle name="s6005" xfId="2260"/>
    <cellStyle name="s6006" xfId="2261"/>
    <cellStyle name="s6007" xfId="2262"/>
    <cellStyle name="s6008" xfId="2263"/>
    <cellStyle name="s6009" xfId="2264"/>
    <cellStyle name="s6010" xfId="2265"/>
    <cellStyle name="s6011" xfId="2266"/>
    <cellStyle name="s6012" xfId="2267"/>
    <cellStyle name="s6013" xfId="2268"/>
    <cellStyle name="s6014" xfId="2269"/>
    <cellStyle name="s6015" xfId="2270"/>
    <cellStyle name="s6016" xfId="2271"/>
    <cellStyle name="s6017" xfId="2272"/>
    <cellStyle name="s6018" xfId="2273"/>
    <cellStyle name="s6019" xfId="2274"/>
    <cellStyle name="s6020" xfId="2275"/>
    <cellStyle name="s6021" xfId="2276"/>
    <cellStyle name="s6022" xfId="2277"/>
    <cellStyle name="s6023" xfId="2278"/>
    <cellStyle name="s6024" xfId="2279"/>
    <cellStyle name="s6025" xfId="2280"/>
    <cellStyle name="s6026" xfId="2281"/>
    <cellStyle name="s6027" xfId="2282"/>
    <cellStyle name="s6028" xfId="2283"/>
    <cellStyle name="s6029" xfId="2284"/>
    <cellStyle name="s6030" xfId="2285"/>
    <cellStyle name="s6031" xfId="2286"/>
    <cellStyle name="s6032" xfId="2287"/>
    <cellStyle name="s6033" xfId="2288"/>
    <cellStyle name="s6034" xfId="2289"/>
    <cellStyle name="s6035" xfId="2290"/>
    <cellStyle name="s6036" xfId="2291"/>
    <cellStyle name="s6037" xfId="2292"/>
    <cellStyle name="s6038" xfId="2293"/>
    <cellStyle name="s6039" xfId="2294"/>
    <cellStyle name="s6040" xfId="2295"/>
    <cellStyle name="s6041" xfId="2296"/>
    <cellStyle name="s6042" xfId="2297"/>
    <cellStyle name="s6043" xfId="2298"/>
    <cellStyle name="s6044" xfId="2299"/>
    <cellStyle name="s6045" xfId="2300"/>
    <cellStyle name="s6046" xfId="2301"/>
    <cellStyle name="s6047" xfId="2302"/>
    <cellStyle name="s6048" xfId="2303"/>
    <cellStyle name="s6049" xfId="2304"/>
    <cellStyle name="s6050" xfId="2305"/>
    <cellStyle name="s6051" xfId="2306"/>
    <cellStyle name="s6052" xfId="2307"/>
    <cellStyle name="s6053" xfId="2308"/>
    <cellStyle name="s6054" xfId="2309"/>
    <cellStyle name="s6055" xfId="2310"/>
    <cellStyle name="s6056" xfId="2311"/>
    <cellStyle name="s6057" xfId="2312"/>
    <cellStyle name="s6058" xfId="2313"/>
    <cellStyle name="s6059" xfId="2314"/>
    <cellStyle name="s6060" xfId="2315"/>
    <cellStyle name="s6061" xfId="2316"/>
    <cellStyle name="s6062" xfId="2317"/>
    <cellStyle name="s6063" xfId="2318"/>
    <cellStyle name="s6064" xfId="2319"/>
    <cellStyle name="s6065" xfId="2320"/>
    <cellStyle name="s6066" xfId="2321"/>
    <cellStyle name="s6067" xfId="2322"/>
    <cellStyle name="s6068" xfId="2323"/>
    <cellStyle name="s6069" xfId="2324"/>
    <cellStyle name="s6070" xfId="2325"/>
    <cellStyle name="s6071" xfId="2326"/>
    <cellStyle name="s6072" xfId="2327"/>
    <cellStyle name="s6073" xfId="2328"/>
    <cellStyle name="s6074" xfId="2329"/>
    <cellStyle name="s6075" xfId="2330"/>
    <cellStyle name="s6076" xfId="2331"/>
    <cellStyle name="s6077" xfId="2332"/>
    <cellStyle name="s6078" xfId="2333"/>
    <cellStyle name="s6079" xfId="2334"/>
    <cellStyle name="s6080" xfId="2335"/>
    <cellStyle name="s6081" xfId="2336"/>
    <cellStyle name="s6082" xfId="2337"/>
    <cellStyle name="s6083" xfId="2338"/>
    <cellStyle name="s6084" xfId="2339"/>
    <cellStyle name="s6085" xfId="2340"/>
    <cellStyle name="s6086" xfId="2341"/>
    <cellStyle name="s6087" xfId="2342"/>
    <cellStyle name="s6088" xfId="2343"/>
    <cellStyle name="s6089" xfId="2344"/>
    <cellStyle name="s6090" xfId="2345"/>
    <cellStyle name="s6091" xfId="2346"/>
    <cellStyle name="s6092" xfId="2347"/>
    <cellStyle name="s6093" xfId="2348"/>
    <cellStyle name="s6094" xfId="2349"/>
    <cellStyle name="s6095" xfId="2350"/>
    <cellStyle name="s6096" xfId="2351"/>
    <cellStyle name="s6097" xfId="2352"/>
    <cellStyle name="s6098" xfId="2353"/>
    <cellStyle name="s6099" xfId="2354"/>
    <cellStyle name="s6100" xfId="2355"/>
    <cellStyle name="s6101" xfId="2356"/>
    <cellStyle name="s6102" xfId="2357"/>
    <cellStyle name="s6103" xfId="2358"/>
    <cellStyle name="s6104" xfId="2359"/>
    <cellStyle name="s6105" xfId="2360"/>
    <cellStyle name="s6106" xfId="2361"/>
    <cellStyle name="s6107" xfId="2362"/>
    <cellStyle name="s6108" xfId="2363"/>
    <cellStyle name="s6109" xfId="2364"/>
    <cellStyle name="s6110" xfId="2365"/>
    <cellStyle name="s6111" xfId="2366"/>
    <cellStyle name="s6112" xfId="2367"/>
    <cellStyle name="s6113" xfId="2368"/>
    <cellStyle name="s6114" xfId="2369"/>
    <cellStyle name="s6115" xfId="2370"/>
    <cellStyle name="s6116" xfId="2371"/>
    <cellStyle name="s6117" xfId="2372"/>
    <cellStyle name="s6118" xfId="2373"/>
    <cellStyle name="s6119" xfId="2374"/>
    <cellStyle name="s6120" xfId="2375"/>
    <cellStyle name="s6121" xfId="2376"/>
    <cellStyle name="s6122" xfId="2377"/>
    <cellStyle name="s6123" xfId="2378"/>
    <cellStyle name="s6124" xfId="2379"/>
    <cellStyle name="s6125" xfId="2380"/>
    <cellStyle name="s6126" xfId="2381"/>
    <cellStyle name="s6127" xfId="2382"/>
    <cellStyle name="s6128" xfId="2383"/>
    <cellStyle name="s6129" xfId="2384"/>
    <cellStyle name="s6130" xfId="2385"/>
    <cellStyle name="s6131" xfId="2386"/>
    <cellStyle name="s6132" xfId="2387"/>
    <cellStyle name="s6133" xfId="2388"/>
    <cellStyle name="s6134" xfId="2389"/>
    <cellStyle name="s6135" xfId="2390"/>
    <cellStyle name="s6136" xfId="2391"/>
    <cellStyle name="s6137" xfId="2392"/>
    <cellStyle name="s6138" xfId="2393"/>
    <cellStyle name="s6139" xfId="2394"/>
    <cellStyle name="s6140" xfId="2395"/>
    <cellStyle name="s6141" xfId="2396"/>
    <cellStyle name="s6142" xfId="2397"/>
    <cellStyle name="s6143" xfId="2398"/>
    <cellStyle name="s6144" xfId="2399"/>
    <cellStyle name="s6145" xfId="2400"/>
    <cellStyle name="s6146" xfId="2401"/>
    <cellStyle name="s6147" xfId="2402"/>
    <cellStyle name="s6148" xfId="2403"/>
    <cellStyle name="s6149" xfId="2404"/>
    <cellStyle name="s6150" xfId="2405"/>
    <cellStyle name="s6151" xfId="2406"/>
    <cellStyle name="s6152" xfId="2407"/>
    <cellStyle name="s6153" xfId="2408"/>
    <cellStyle name="s6154" xfId="2409"/>
    <cellStyle name="s6155" xfId="2410"/>
    <cellStyle name="s6156" xfId="2411"/>
    <cellStyle name="s6157" xfId="2412"/>
    <cellStyle name="s6158" xfId="2413"/>
    <cellStyle name="s6159" xfId="2414"/>
    <cellStyle name="s6160" xfId="2415"/>
    <cellStyle name="s6161" xfId="2416"/>
    <cellStyle name="s6162" xfId="2417"/>
    <cellStyle name="s6163" xfId="2418"/>
    <cellStyle name="s6164" xfId="2419"/>
    <cellStyle name="s6165" xfId="2420"/>
    <cellStyle name="s6166" xfId="2421"/>
    <cellStyle name="s6167" xfId="2422"/>
    <cellStyle name="s6168" xfId="2423"/>
    <cellStyle name="s6169" xfId="2424"/>
    <cellStyle name="s6170" xfId="2425"/>
    <cellStyle name="s6171" xfId="2426"/>
    <cellStyle name="s6172" xfId="2427"/>
    <cellStyle name="s6173" xfId="2428"/>
    <cellStyle name="s6174" xfId="2429"/>
    <cellStyle name="s6175" xfId="2430"/>
    <cellStyle name="s6176" xfId="2431"/>
    <cellStyle name="s6177" xfId="2432"/>
    <cellStyle name="s6178" xfId="2433"/>
    <cellStyle name="s6179" xfId="2434"/>
    <cellStyle name="s6180" xfId="2435"/>
    <cellStyle name="s6181" xfId="2436"/>
    <cellStyle name="s6182" xfId="2437"/>
    <cellStyle name="s6183" xfId="2438"/>
    <cellStyle name="s6184" xfId="2439"/>
    <cellStyle name="s6185" xfId="2440"/>
    <cellStyle name="s6186" xfId="2441"/>
    <cellStyle name="s6187" xfId="2442"/>
    <cellStyle name="s6188" xfId="2443"/>
    <cellStyle name="s6189" xfId="2444"/>
    <cellStyle name="s6190" xfId="2445"/>
    <cellStyle name="s6191" xfId="2446"/>
    <cellStyle name="s6192" xfId="2447"/>
    <cellStyle name="s6193" xfId="2448"/>
    <cellStyle name="s6194" xfId="2449"/>
    <cellStyle name="s6195" xfId="2450"/>
    <cellStyle name="s6196" xfId="2451"/>
    <cellStyle name="s6197" xfId="2452"/>
    <cellStyle name="s6198" xfId="2453"/>
    <cellStyle name="s6199" xfId="2454"/>
    <cellStyle name="s6200" xfId="2455"/>
    <cellStyle name="s6201" xfId="2456"/>
    <cellStyle name="s6202" xfId="2457"/>
    <cellStyle name="s6203" xfId="2458"/>
    <cellStyle name="s6204" xfId="2459"/>
    <cellStyle name="s6205" xfId="2460"/>
    <cellStyle name="s6206" xfId="2461"/>
    <cellStyle name="s6207" xfId="2462"/>
    <cellStyle name="s6208" xfId="2463"/>
    <cellStyle name="s6209" xfId="2464"/>
    <cellStyle name="s6210" xfId="2465"/>
    <cellStyle name="s6211" xfId="2466"/>
    <cellStyle name="s6212" xfId="2467"/>
    <cellStyle name="s6213" xfId="2468"/>
    <cellStyle name="s6214" xfId="2469"/>
    <cellStyle name="s6215" xfId="2470"/>
    <cellStyle name="s6216" xfId="2471"/>
    <cellStyle name="s6217" xfId="2472"/>
    <cellStyle name="s6218" xfId="2473"/>
    <cellStyle name="s6219" xfId="2474"/>
    <cellStyle name="s6220" xfId="2475"/>
    <cellStyle name="s6221" xfId="2476"/>
    <cellStyle name="s6222" xfId="2477"/>
    <cellStyle name="s6223" xfId="2478"/>
    <cellStyle name="s6224" xfId="2479"/>
    <cellStyle name="s6225" xfId="2480"/>
    <cellStyle name="s6226" xfId="2481"/>
    <cellStyle name="s6227" xfId="2482"/>
    <cellStyle name="s6228" xfId="2483"/>
    <cellStyle name="s6229" xfId="2484"/>
    <cellStyle name="s6230" xfId="2485"/>
    <cellStyle name="s6231" xfId="2486"/>
    <cellStyle name="s6232" xfId="2487"/>
    <cellStyle name="s6233" xfId="2488"/>
    <cellStyle name="s6234" xfId="2489"/>
    <cellStyle name="s6235" xfId="2490"/>
    <cellStyle name="s6236" xfId="2491"/>
    <cellStyle name="s6237" xfId="2492"/>
    <cellStyle name="s6238" xfId="2493"/>
    <cellStyle name="s6239" xfId="2494"/>
    <cellStyle name="s6240" xfId="2495"/>
    <cellStyle name="s6241" xfId="2496"/>
    <cellStyle name="s6242" xfId="2497"/>
    <cellStyle name="s6243" xfId="2498"/>
    <cellStyle name="s6244" xfId="2499"/>
    <cellStyle name="s6245" xfId="2500"/>
    <cellStyle name="s6246" xfId="2501"/>
    <cellStyle name="s6247" xfId="2502"/>
    <cellStyle name="s6248" xfId="2503"/>
    <cellStyle name="s6249" xfId="2504"/>
    <cellStyle name="s6250" xfId="2505"/>
    <cellStyle name="s6251" xfId="2506"/>
    <cellStyle name="s6252" xfId="2507"/>
    <cellStyle name="s6253" xfId="2508"/>
    <cellStyle name="s6254" xfId="2509"/>
    <cellStyle name="s6255" xfId="2510"/>
    <cellStyle name="s6256" xfId="2511"/>
    <cellStyle name="s6257" xfId="2512"/>
    <cellStyle name="s6258" xfId="2513"/>
    <cellStyle name="s6259" xfId="2514"/>
    <cellStyle name="s6260" xfId="2515"/>
    <cellStyle name="s6261" xfId="2516"/>
    <cellStyle name="s6262" xfId="2517"/>
    <cellStyle name="s6263" xfId="2518"/>
    <cellStyle name="s6264" xfId="2519"/>
    <cellStyle name="s6265" xfId="2520"/>
    <cellStyle name="s6266" xfId="2521"/>
    <cellStyle name="s6267" xfId="2522"/>
    <cellStyle name="s6268" xfId="2523"/>
    <cellStyle name="s6269" xfId="2524"/>
    <cellStyle name="s6270" xfId="2525"/>
    <cellStyle name="s6271" xfId="2526"/>
    <cellStyle name="s6272" xfId="2527"/>
    <cellStyle name="s6273" xfId="2528"/>
    <cellStyle name="s6274" xfId="2529"/>
    <cellStyle name="s6275" xfId="2530"/>
    <cellStyle name="s6276" xfId="2531"/>
    <cellStyle name="s6277" xfId="2532"/>
    <cellStyle name="s6278" xfId="2533"/>
    <cellStyle name="s6279" xfId="2534"/>
    <cellStyle name="s6280" xfId="2535"/>
    <cellStyle name="s6281" xfId="2536"/>
    <cellStyle name="s6282" xfId="2537"/>
    <cellStyle name="s6283" xfId="2538"/>
    <cellStyle name="s6284" xfId="2539"/>
    <cellStyle name="s6285" xfId="2540"/>
    <cellStyle name="s6286" xfId="2541"/>
    <cellStyle name="s6287" xfId="2542"/>
    <cellStyle name="s6288" xfId="2543"/>
    <cellStyle name="s6289" xfId="2544"/>
    <cellStyle name="s6290" xfId="2545"/>
    <cellStyle name="s6291" xfId="2546"/>
    <cellStyle name="s6292" xfId="2547"/>
    <cellStyle name="s6293" xfId="2548"/>
    <cellStyle name="s6294" xfId="2549"/>
    <cellStyle name="s6295" xfId="2550"/>
    <cellStyle name="s6296" xfId="2551"/>
    <cellStyle name="s6297" xfId="2552"/>
    <cellStyle name="s6298" xfId="2553"/>
    <cellStyle name="s6299" xfId="2554"/>
    <cellStyle name="s6300" xfId="2555"/>
    <cellStyle name="s6301" xfId="2556"/>
    <cellStyle name="s6302" xfId="2557"/>
    <cellStyle name="s6303" xfId="2558"/>
    <cellStyle name="s6304" xfId="2559"/>
    <cellStyle name="s6305" xfId="2560"/>
    <cellStyle name="s6306" xfId="2561"/>
    <cellStyle name="s6307" xfId="2562"/>
    <cellStyle name="s6308" xfId="2563"/>
    <cellStyle name="s6309" xfId="2564"/>
    <cellStyle name="s6310" xfId="2565"/>
    <cellStyle name="s6311" xfId="2566"/>
    <cellStyle name="s6312" xfId="2567"/>
    <cellStyle name="s6313" xfId="2568"/>
    <cellStyle name="s6314" xfId="2569"/>
    <cellStyle name="s6315" xfId="2570"/>
    <cellStyle name="s6316" xfId="2571"/>
    <cellStyle name="s6317" xfId="2572"/>
    <cellStyle name="s6318" xfId="2573"/>
    <cellStyle name="s6319" xfId="2574"/>
    <cellStyle name="s6320" xfId="2575"/>
    <cellStyle name="s6321" xfId="2576"/>
    <cellStyle name="s6322" xfId="2577"/>
    <cellStyle name="s6323" xfId="2578"/>
    <cellStyle name="s6324" xfId="2579"/>
    <cellStyle name="s6325" xfId="2580"/>
    <cellStyle name="s6326" xfId="2581"/>
    <cellStyle name="s6327" xfId="2582"/>
    <cellStyle name="s6328" xfId="2583"/>
    <cellStyle name="s6329" xfId="2584"/>
    <cellStyle name="s6330" xfId="2585"/>
    <cellStyle name="s6331" xfId="2586"/>
    <cellStyle name="s6332" xfId="2587"/>
    <cellStyle name="s6333" xfId="2588"/>
    <cellStyle name="s6334" xfId="2589"/>
    <cellStyle name="s6335" xfId="2590"/>
    <cellStyle name="s6336" xfId="2591"/>
    <cellStyle name="s6337" xfId="2592"/>
    <cellStyle name="s6338" xfId="2593"/>
    <cellStyle name="s6339" xfId="2594"/>
    <cellStyle name="s6340" xfId="2595"/>
    <cellStyle name="s6341" xfId="2596"/>
    <cellStyle name="s6342" xfId="2597"/>
    <cellStyle name="s6343" xfId="2598"/>
    <cellStyle name="s6344" xfId="2599"/>
    <cellStyle name="s6345" xfId="2600"/>
    <cellStyle name="s6346" xfId="2601"/>
    <cellStyle name="s6347" xfId="2602"/>
    <cellStyle name="s6348" xfId="2603"/>
    <cellStyle name="s6349" xfId="2604"/>
    <cellStyle name="s6350" xfId="2605"/>
    <cellStyle name="s6351" xfId="2606"/>
    <cellStyle name="s6352" xfId="2607"/>
    <cellStyle name="s6353" xfId="2608"/>
    <cellStyle name="s6354" xfId="2609"/>
    <cellStyle name="s6355" xfId="2610"/>
    <cellStyle name="s6356" xfId="2611"/>
    <cellStyle name="s6357" xfId="2612"/>
    <cellStyle name="s6358" xfId="2613"/>
    <cellStyle name="s6359" xfId="2614"/>
    <cellStyle name="s6360" xfId="2615"/>
    <cellStyle name="s6361" xfId="2616"/>
    <cellStyle name="s6362" xfId="2617"/>
    <cellStyle name="s6363" xfId="2618"/>
    <cellStyle name="s6364" xfId="2619"/>
    <cellStyle name="s6365" xfId="2620"/>
    <cellStyle name="s6366" xfId="2621"/>
    <cellStyle name="s6367" xfId="2622"/>
    <cellStyle name="s6368" xfId="2623"/>
    <cellStyle name="s6369" xfId="2624"/>
    <cellStyle name="s6370" xfId="2625"/>
    <cellStyle name="s6371" xfId="2626"/>
    <cellStyle name="s6372" xfId="2627"/>
    <cellStyle name="s6373" xfId="2628"/>
    <cellStyle name="s6374" xfId="2629"/>
    <cellStyle name="s6375" xfId="2630"/>
    <cellStyle name="s6376" xfId="2631"/>
    <cellStyle name="s6377" xfId="2632"/>
    <cellStyle name="s6378" xfId="2633"/>
    <cellStyle name="s6379" xfId="2634"/>
    <cellStyle name="s6380" xfId="2635"/>
    <cellStyle name="s6381" xfId="2636"/>
    <cellStyle name="s6382" xfId="2637"/>
    <cellStyle name="s6383" xfId="2638"/>
    <cellStyle name="s6384" xfId="2639"/>
    <cellStyle name="s6385" xfId="2640"/>
    <cellStyle name="s6386" xfId="2641"/>
    <cellStyle name="s6387" xfId="2642"/>
    <cellStyle name="s6388" xfId="2643"/>
    <cellStyle name="s6389" xfId="2644"/>
    <cellStyle name="s6390" xfId="2645"/>
    <cellStyle name="s6391" xfId="2646"/>
    <cellStyle name="s6392" xfId="2647"/>
    <cellStyle name="s6393" xfId="2648"/>
    <cellStyle name="s6394" xfId="2649"/>
    <cellStyle name="s6395" xfId="2650"/>
    <cellStyle name="s6396" xfId="2651"/>
    <cellStyle name="s6397" xfId="2652"/>
    <cellStyle name="s6398" xfId="2653"/>
    <cellStyle name="s6399" xfId="2654"/>
    <cellStyle name="s6400" xfId="2655"/>
    <cellStyle name="s6401" xfId="2656"/>
    <cellStyle name="s6402" xfId="2657"/>
    <cellStyle name="s6403" xfId="2658"/>
    <cellStyle name="s6404" xfId="2659"/>
    <cellStyle name="s6405" xfId="2660"/>
    <cellStyle name="s6406" xfId="2661"/>
    <cellStyle name="s6407" xfId="2662"/>
    <cellStyle name="s6408" xfId="2663"/>
    <cellStyle name="s6409" xfId="2664"/>
    <cellStyle name="s6410" xfId="2665"/>
    <cellStyle name="s6411" xfId="2666"/>
    <cellStyle name="s6412" xfId="2667"/>
    <cellStyle name="s6413" xfId="2668"/>
    <cellStyle name="s6414" xfId="2669"/>
    <cellStyle name="s6415" xfId="2670"/>
    <cellStyle name="s6416" xfId="2671"/>
    <cellStyle name="s6417" xfId="2672"/>
    <cellStyle name="s6418" xfId="2673"/>
    <cellStyle name="s6419" xfId="2674"/>
    <cellStyle name="s6420" xfId="2675"/>
    <cellStyle name="s6421" xfId="2676"/>
    <cellStyle name="s6422" xfId="2677"/>
    <cellStyle name="s6423" xfId="2678"/>
    <cellStyle name="s6424" xfId="2679"/>
    <cellStyle name="s6425" xfId="2680"/>
    <cellStyle name="s6426" xfId="2681"/>
    <cellStyle name="s6427" xfId="2682"/>
    <cellStyle name="s6428" xfId="2683"/>
    <cellStyle name="s6429" xfId="2684"/>
    <cellStyle name="s6430" xfId="2685"/>
    <cellStyle name="s6431" xfId="2686"/>
    <cellStyle name="s6432" xfId="2687"/>
    <cellStyle name="s6433" xfId="2688"/>
    <cellStyle name="s6434" xfId="2689"/>
    <cellStyle name="s6435" xfId="2690"/>
    <cellStyle name="s6436" xfId="2691"/>
    <cellStyle name="s6437" xfId="2692"/>
    <cellStyle name="s6438" xfId="2693"/>
    <cellStyle name="s6439" xfId="2694"/>
    <cellStyle name="s6440" xfId="2695"/>
    <cellStyle name="s6441" xfId="2696"/>
    <cellStyle name="s6442" xfId="2697"/>
    <cellStyle name="s6443" xfId="2698"/>
    <cellStyle name="s6444" xfId="2699"/>
    <cellStyle name="s6445" xfId="2700"/>
    <cellStyle name="s6446" xfId="2701"/>
    <cellStyle name="s6447" xfId="2702"/>
    <cellStyle name="s6448" xfId="2703"/>
    <cellStyle name="s6449" xfId="2704"/>
    <cellStyle name="s6450" xfId="2705"/>
    <cellStyle name="s6451" xfId="2706"/>
    <cellStyle name="s6452" xfId="2707"/>
    <cellStyle name="s6453" xfId="2708"/>
    <cellStyle name="s6454" xfId="2709"/>
    <cellStyle name="s6455" xfId="2710"/>
    <cellStyle name="s6456" xfId="2711"/>
    <cellStyle name="s6457" xfId="2712"/>
    <cellStyle name="s6458" xfId="2713"/>
    <cellStyle name="s6459" xfId="2714"/>
    <cellStyle name="s6460" xfId="2715"/>
    <cellStyle name="s6461" xfId="2716"/>
    <cellStyle name="s6462" xfId="2717"/>
    <cellStyle name="s6463" xfId="2718"/>
    <cellStyle name="s6464" xfId="2719"/>
    <cellStyle name="s6465" xfId="2720"/>
    <cellStyle name="s6466" xfId="2721"/>
    <cellStyle name="s6467" xfId="2722"/>
    <cellStyle name="s6468" xfId="2723"/>
    <cellStyle name="s6469" xfId="2724"/>
    <cellStyle name="s6470" xfId="2725"/>
    <cellStyle name="s6471" xfId="2726"/>
    <cellStyle name="s6472" xfId="2727"/>
    <cellStyle name="s6473" xfId="2728"/>
    <cellStyle name="s6474" xfId="2729"/>
    <cellStyle name="s6475" xfId="2730"/>
    <cellStyle name="s6476" xfId="2731"/>
    <cellStyle name="s6477" xfId="2732"/>
    <cellStyle name="s6478" xfId="2733"/>
    <cellStyle name="s6479" xfId="2734"/>
    <cellStyle name="s6480" xfId="2735"/>
    <cellStyle name="s6481" xfId="2736"/>
    <cellStyle name="s6482" xfId="2737"/>
    <cellStyle name="s6483" xfId="2738"/>
    <cellStyle name="s6484" xfId="2739"/>
    <cellStyle name="s6485" xfId="2740"/>
    <cellStyle name="s6486" xfId="2741"/>
    <cellStyle name="s6487" xfId="2742"/>
    <cellStyle name="s6488" xfId="2743"/>
    <cellStyle name="s6489" xfId="2744"/>
    <cellStyle name="s6490" xfId="2745"/>
    <cellStyle name="s6491" xfId="2746"/>
    <cellStyle name="s6492" xfId="2747"/>
    <cellStyle name="s6493" xfId="2748"/>
    <cellStyle name="s6494" xfId="2749"/>
    <cellStyle name="s6495" xfId="2750"/>
    <cellStyle name="s6496" xfId="2751"/>
    <cellStyle name="s6497" xfId="2752"/>
    <cellStyle name="s6498" xfId="2753"/>
    <cellStyle name="s6499" xfId="2754"/>
    <cellStyle name="s6500" xfId="2755"/>
    <cellStyle name="s6501" xfId="2756"/>
    <cellStyle name="s6502" xfId="2757"/>
    <cellStyle name="s6503" xfId="2758"/>
    <cellStyle name="s6504" xfId="2759"/>
    <cellStyle name="s6505" xfId="2760"/>
    <cellStyle name="s6506" xfId="2761"/>
    <cellStyle name="s6507" xfId="2762"/>
    <cellStyle name="s6508" xfId="2763"/>
    <cellStyle name="s6509" xfId="2764"/>
    <cellStyle name="s6510" xfId="2765"/>
    <cellStyle name="s6511" xfId="2766"/>
    <cellStyle name="s6512" xfId="2767"/>
    <cellStyle name="s6513" xfId="2768"/>
    <cellStyle name="s6514" xfId="2769"/>
    <cellStyle name="s6515" xfId="2770"/>
    <cellStyle name="s6516" xfId="2771"/>
    <cellStyle name="s6517" xfId="2772"/>
    <cellStyle name="s6518" xfId="2773"/>
    <cellStyle name="s6519" xfId="2774"/>
    <cellStyle name="s6520" xfId="2775"/>
    <cellStyle name="s6521" xfId="2776"/>
    <cellStyle name="s6522" xfId="2777"/>
    <cellStyle name="s6523" xfId="2778"/>
    <cellStyle name="s6524" xfId="2779"/>
    <cellStyle name="s6525" xfId="2780"/>
    <cellStyle name="s6526" xfId="2781"/>
    <cellStyle name="s6527" xfId="2782"/>
    <cellStyle name="s6528" xfId="2783"/>
    <cellStyle name="s6529" xfId="2784"/>
    <cellStyle name="s6530" xfId="2785"/>
    <cellStyle name="s6531" xfId="2786"/>
    <cellStyle name="s6532" xfId="2787"/>
    <cellStyle name="s6533" xfId="2788"/>
    <cellStyle name="s6534" xfId="2789"/>
    <cellStyle name="s6535" xfId="2790"/>
    <cellStyle name="s6536" xfId="2791"/>
    <cellStyle name="s6537" xfId="2792"/>
    <cellStyle name="s6538" xfId="2793"/>
    <cellStyle name="s6539" xfId="2794"/>
    <cellStyle name="s6540" xfId="2795"/>
    <cellStyle name="s6541" xfId="2796"/>
    <cellStyle name="s6542" xfId="2797"/>
    <cellStyle name="s6543" xfId="2798"/>
    <cellStyle name="s6544" xfId="2799"/>
    <cellStyle name="s6545" xfId="2800"/>
    <cellStyle name="s6546" xfId="2801"/>
    <cellStyle name="s6547" xfId="2802"/>
    <cellStyle name="s6548" xfId="2803"/>
    <cellStyle name="s6549" xfId="2804"/>
    <cellStyle name="s6550" xfId="2805"/>
    <cellStyle name="s6551" xfId="2806"/>
    <cellStyle name="s6552" xfId="2807"/>
    <cellStyle name="s6553" xfId="2808"/>
    <cellStyle name="s6554" xfId="2809"/>
    <cellStyle name="s6555" xfId="2810"/>
    <cellStyle name="s6556" xfId="2811"/>
    <cellStyle name="s6557" xfId="2812"/>
    <cellStyle name="s6558" xfId="2813"/>
    <cellStyle name="s6559" xfId="2814"/>
    <cellStyle name="s6560" xfId="2815"/>
    <cellStyle name="s6561" xfId="2816"/>
    <cellStyle name="s6562" xfId="2817"/>
    <cellStyle name="s6563" xfId="2818"/>
    <cellStyle name="s6564" xfId="2819"/>
    <cellStyle name="s6565" xfId="2820"/>
    <cellStyle name="s6566" xfId="2821"/>
    <cellStyle name="s6567" xfId="2822"/>
    <cellStyle name="s6568" xfId="2823"/>
    <cellStyle name="s6569" xfId="2824"/>
    <cellStyle name="s6570" xfId="2825"/>
    <cellStyle name="s6571" xfId="2826"/>
    <cellStyle name="s6572" xfId="2827"/>
    <cellStyle name="s6573" xfId="2828"/>
    <cellStyle name="s6574" xfId="2829"/>
    <cellStyle name="s6575" xfId="2830"/>
    <cellStyle name="s6576" xfId="2831"/>
    <cellStyle name="s6577" xfId="2832"/>
    <cellStyle name="s6578" xfId="2833"/>
    <cellStyle name="s6579" xfId="2834"/>
    <cellStyle name="s6580" xfId="2835"/>
    <cellStyle name="s6581" xfId="2836"/>
    <cellStyle name="s6582" xfId="2837"/>
    <cellStyle name="s6583" xfId="2838"/>
    <cellStyle name="s6584" xfId="2839"/>
    <cellStyle name="s6585" xfId="2840"/>
    <cellStyle name="s6586" xfId="2841"/>
    <cellStyle name="s6587" xfId="2842"/>
    <cellStyle name="s6588" xfId="2843"/>
    <cellStyle name="s6589" xfId="2844"/>
    <cellStyle name="s6590" xfId="2845"/>
    <cellStyle name="s6591" xfId="2846"/>
    <cellStyle name="s6592" xfId="2847"/>
    <cellStyle name="s6593" xfId="2848"/>
    <cellStyle name="s6594" xfId="2849"/>
    <cellStyle name="s6595" xfId="2850"/>
    <cellStyle name="s6596" xfId="2851"/>
    <cellStyle name="s6597" xfId="2852"/>
    <cellStyle name="s6598" xfId="2853"/>
    <cellStyle name="s6599" xfId="2854"/>
    <cellStyle name="s6600" xfId="2855"/>
    <cellStyle name="s6601" xfId="2856"/>
    <cellStyle name="s6602" xfId="2857"/>
    <cellStyle name="s6603" xfId="2858"/>
    <cellStyle name="s6604" xfId="2859"/>
    <cellStyle name="s6605" xfId="2860"/>
    <cellStyle name="s6606" xfId="2861"/>
    <cellStyle name="s6607" xfId="2862"/>
    <cellStyle name="s6608" xfId="2863"/>
    <cellStyle name="s6609" xfId="2864"/>
    <cellStyle name="s6610" xfId="2865"/>
    <cellStyle name="s6611" xfId="2866"/>
    <cellStyle name="s6612" xfId="2867"/>
    <cellStyle name="s6613" xfId="2868"/>
    <cellStyle name="s6614" xfId="2869"/>
    <cellStyle name="s6615" xfId="2870"/>
    <cellStyle name="s6616" xfId="2871"/>
    <cellStyle name="s6617" xfId="2872"/>
    <cellStyle name="s6618" xfId="2873"/>
    <cellStyle name="s6619" xfId="2874"/>
    <cellStyle name="s6620" xfId="2875"/>
    <cellStyle name="s6621" xfId="2876"/>
    <cellStyle name="s6622" xfId="2877"/>
    <cellStyle name="s6623" xfId="2878"/>
    <cellStyle name="s6624" xfId="2879"/>
    <cellStyle name="s6625" xfId="2880"/>
    <cellStyle name="s6626" xfId="2881"/>
    <cellStyle name="s6627" xfId="2882"/>
    <cellStyle name="s6628" xfId="2883"/>
    <cellStyle name="s6629" xfId="2884"/>
    <cellStyle name="s6630" xfId="2885"/>
    <cellStyle name="s6631" xfId="2886"/>
    <cellStyle name="s6632" xfId="2887"/>
    <cellStyle name="s6633" xfId="2888"/>
    <cellStyle name="s6634" xfId="2889"/>
    <cellStyle name="s6635" xfId="2890"/>
    <cellStyle name="s6636" xfId="2891"/>
    <cellStyle name="s6637" xfId="2892"/>
    <cellStyle name="s6638" xfId="2893"/>
    <cellStyle name="s6639" xfId="2894"/>
    <cellStyle name="s6640" xfId="2895"/>
    <cellStyle name="s6641" xfId="2896"/>
    <cellStyle name="s6642" xfId="2897"/>
    <cellStyle name="s6643" xfId="2898"/>
    <cellStyle name="s6644" xfId="2899"/>
    <cellStyle name="s6645" xfId="2900"/>
    <cellStyle name="s6646" xfId="2901"/>
    <cellStyle name="s6647" xfId="2902"/>
    <cellStyle name="s6648" xfId="2903"/>
    <cellStyle name="s6649" xfId="2904"/>
    <cellStyle name="s6650" xfId="2905"/>
    <cellStyle name="s6651" xfId="2906"/>
    <cellStyle name="s6652" xfId="2907"/>
    <cellStyle name="s6653" xfId="2908"/>
    <cellStyle name="s6654" xfId="2909"/>
    <cellStyle name="s6655" xfId="2910"/>
    <cellStyle name="s6656" xfId="2911"/>
    <cellStyle name="s6657" xfId="2912"/>
    <cellStyle name="s6658" xfId="2913"/>
    <cellStyle name="s6659" xfId="2914"/>
    <cellStyle name="s6660" xfId="2915"/>
    <cellStyle name="s6661" xfId="2916"/>
    <cellStyle name="s6662" xfId="2917"/>
    <cellStyle name="s6663" xfId="2918"/>
    <cellStyle name="s6664" xfId="2919"/>
    <cellStyle name="s6665" xfId="2920"/>
    <cellStyle name="s6666" xfId="2921"/>
    <cellStyle name="s6667" xfId="2922"/>
    <cellStyle name="s6668" xfId="2923"/>
    <cellStyle name="s6669" xfId="2924"/>
    <cellStyle name="s6670" xfId="2925"/>
    <cellStyle name="s6671" xfId="2926"/>
    <cellStyle name="s6672" xfId="2927"/>
    <cellStyle name="s6673" xfId="2928"/>
    <cellStyle name="s6674" xfId="2929"/>
    <cellStyle name="s6675" xfId="2930"/>
    <cellStyle name="s6676" xfId="2931"/>
    <cellStyle name="s6677" xfId="2932"/>
    <cellStyle name="s6678" xfId="2933"/>
    <cellStyle name="s6679" xfId="2934"/>
    <cellStyle name="s6680" xfId="2935"/>
    <cellStyle name="s6681" xfId="2936"/>
    <cellStyle name="s6682" xfId="2937"/>
    <cellStyle name="s6683" xfId="2938"/>
    <cellStyle name="s6684" xfId="2939"/>
    <cellStyle name="s6685" xfId="2940"/>
    <cellStyle name="s6686" xfId="2941"/>
    <cellStyle name="s6687" xfId="2942"/>
    <cellStyle name="s6688" xfId="2943"/>
    <cellStyle name="s6689" xfId="2944"/>
    <cellStyle name="s6690" xfId="2945"/>
    <cellStyle name="s6691" xfId="2946"/>
    <cellStyle name="s6692" xfId="2947"/>
    <cellStyle name="s6693" xfId="2948"/>
    <cellStyle name="s6694" xfId="2949"/>
    <cellStyle name="s6695" xfId="2950"/>
    <cellStyle name="s6696" xfId="2951"/>
    <cellStyle name="s6697" xfId="2952"/>
    <cellStyle name="s6698" xfId="2953"/>
    <cellStyle name="s6699" xfId="2954"/>
    <cellStyle name="s6700" xfId="2955"/>
    <cellStyle name="s6701" xfId="2956"/>
    <cellStyle name="s6702" xfId="2957"/>
    <cellStyle name="s6703" xfId="2958"/>
    <cellStyle name="s6704" xfId="2959"/>
    <cellStyle name="s6705" xfId="2960"/>
    <cellStyle name="s6706" xfId="2961"/>
    <cellStyle name="s6707" xfId="2962"/>
    <cellStyle name="s6708" xfId="2963"/>
    <cellStyle name="s6709" xfId="2964"/>
    <cellStyle name="s6710" xfId="2965"/>
    <cellStyle name="s6711" xfId="2966"/>
    <cellStyle name="s6712" xfId="2967"/>
    <cellStyle name="s6713" xfId="2968"/>
    <cellStyle name="s6714" xfId="2969"/>
    <cellStyle name="s6715" xfId="2970"/>
    <cellStyle name="s6716" xfId="2971"/>
    <cellStyle name="s6717" xfId="2972"/>
    <cellStyle name="s6718" xfId="2973"/>
    <cellStyle name="s6719" xfId="2974"/>
    <cellStyle name="s6720" xfId="2975"/>
    <cellStyle name="s6721" xfId="2976"/>
    <cellStyle name="s6722" xfId="2977"/>
    <cellStyle name="s6723" xfId="2978"/>
    <cellStyle name="s6724" xfId="2979"/>
    <cellStyle name="s6725" xfId="2980"/>
    <cellStyle name="s6726" xfId="2981"/>
    <cellStyle name="s6727" xfId="2982"/>
    <cellStyle name="s6728" xfId="2983"/>
    <cellStyle name="s6729" xfId="2984"/>
    <cellStyle name="s6730" xfId="2985"/>
    <cellStyle name="s6731" xfId="2986"/>
    <cellStyle name="s6732" xfId="2987"/>
    <cellStyle name="s6733" xfId="2988"/>
    <cellStyle name="s6734" xfId="2989"/>
    <cellStyle name="s6735" xfId="2990"/>
    <cellStyle name="s6736" xfId="2991"/>
    <cellStyle name="s6737" xfId="2992"/>
    <cellStyle name="s6738" xfId="2993"/>
    <cellStyle name="s6739" xfId="2994"/>
    <cellStyle name="s6740" xfId="2995"/>
    <cellStyle name="s6741" xfId="2996"/>
    <cellStyle name="s6742" xfId="2997"/>
    <cellStyle name="s6743" xfId="2998"/>
    <cellStyle name="s6744" xfId="2999"/>
    <cellStyle name="s6745" xfId="3000"/>
    <cellStyle name="s6746" xfId="3001"/>
    <cellStyle name="s6747" xfId="3002"/>
    <cellStyle name="s6748" xfId="3003"/>
    <cellStyle name="s6749" xfId="3004"/>
    <cellStyle name="s6750" xfId="3005"/>
    <cellStyle name="s6751" xfId="3006"/>
    <cellStyle name="s6752" xfId="3007"/>
    <cellStyle name="s6753" xfId="3008"/>
    <cellStyle name="s6754" xfId="3009"/>
    <cellStyle name="s6755" xfId="3010"/>
    <cellStyle name="s6756" xfId="3011"/>
    <cellStyle name="s6757" xfId="3012"/>
    <cellStyle name="s6758" xfId="3013"/>
    <cellStyle name="s6759" xfId="3014"/>
    <cellStyle name="s6760" xfId="3015"/>
    <cellStyle name="s6761" xfId="3016"/>
    <cellStyle name="s6762" xfId="3017"/>
    <cellStyle name="s6763" xfId="3018"/>
    <cellStyle name="s6764" xfId="3019"/>
    <cellStyle name="s6765" xfId="3020"/>
    <cellStyle name="s6766" xfId="3021"/>
    <cellStyle name="s6767" xfId="3022"/>
    <cellStyle name="s6768" xfId="3023"/>
    <cellStyle name="s6769" xfId="3024"/>
    <cellStyle name="s6770" xfId="3025"/>
    <cellStyle name="s6771" xfId="3026"/>
    <cellStyle name="s6772" xfId="3027"/>
    <cellStyle name="s6773" xfId="3028"/>
    <cellStyle name="s6774" xfId="3029"/>
    <cellStyle name="s6775" xfId="3030"/>
    <cellStyle name="s6776" xfId="3031"/>
    <cellStyle name="s6777" xfId="3032"/>
    <cellStyle name="s6778" xfId="3033"/>
    <cellStyle name="s6779" xfId="3034"/>
    <cellStyle name="s6780" xfId="3035"/>
    <cellStyle name="s6781" xfId="3036"/>
    <cellStyle name="s6782" xfId="3037"/>
    <cellStyle name="s6783" xfId="3038"/>
    <cellStyle name="s6784" xfId="3039"/>
    <cellStyle name="s6785" xfId="3040"/>
    <cellStyle name="s6786" xfId="3041"/>
    <cellStyle name="s6787" xfId="3042"/>
    <cellStyle name="s6788" xfId="3043"/>
    <cellStyle name="s6789" xfId="3044"/>
    <cellStyle name="s6790" xfId="3045"/>
    <cellStyle name="s6791" xfId="3046"/>
    <cellStyle name="s6792" xfId="3047"/>
    <cellStyle name="s6793" xfId="3048"/>
    <cellStyle name="s6794" xfId="3049"/>
    <cellStyle name="s6795" xfId="3050"/>
    <cellStyle name="s6796" xfId="3051"/>
    <cellStyle name="s6797" xfId="3052"/>
    <cellStyle name="s6798" xfId="3053"/>
    <cellStyle name="s6799" xfId="3054"/>
    <cellStyle name="s6800" xfId="3055"/>
    <cellStyle name="s6801" xfId="3056"/>
    <cellStyle name="s6802" xfId="3057"/>
    <cellStyle name="s6803" xfId="3058"/>
    <cellStyle name="s6804" xfId="3059"/>
    <cellStyle name="s6805" xfId="3060"/>
    <cellStyle name="s6806" xfId="3061"/>
    <cellStyle name="s6807" xfId="3062"/>
    <cellStyle name="s6808" xfId="3063"/>
    <cellStyle name="s6809" xfId="3064"/>
    <cellStyle name="s6810" xfId="3065"/>
    <cellStyle name="s6811" xfId="3066"/>
    <cellStyle name="s6812" xfId="3067"/>
    <cellStyle name="s6813" xfId="3068"/>
    <cellStyle name="s6814" xfId="3069"/>
    <cellStyle name="s6815" xfId="3070"/>
    <cellStyle name="s6816" xfId="3071"/>
    <cellStyle name="s6817" xfId="3072"/>
    <cellStyle name="s6818" xfId="3073"/>
    <cellStyle name="s6819" xfId="3074"/>
    <cellStyle name="s6820" xfId="3075"/>
    <cellStyle name="s6821" xfId="3076"/>
    <cellStyle name="s6822" xfId="3077"/>
    <cellStyle name="s6823" xfId="3078"/>
    <cellStyle name="s6824" xfId="3079"/>
    <cellStyle name="s6825" xfId="3080"/>
    <cellStyle name="s6826" xfId="3081"/>
    <cellStyle name="s6827" xfId="3082"/>
    <cellStyle name="s6828" xfId="3083"/>
    <cellStyle name="s6829" xfId="3084"/>
    <cellStyle name="s6830" xfId="3085"/>
    <cellStyle name="s6831" xfId="3086"/>
    <cellStyle name="s6832" xfId="3087"/>
    <cellStyle name="s6833" xfId="3088"/>
    <cellStyle name="s6834" xfId="3089"/>
    <cellStyle name="s6835" xfId="3090"/>
    <cellStyle name="s6836" xfId="3091"/>
    <cellStyle name="s6837" xfId="3092"/>
    <cellStyle name="s6838" xfId="3093"/>
    <cellStyle name="s6839" xfId="3094"/>
    <cellStyle name="s6840" xfId="3095"/>
    <cellStyle name="s6841" xfId="3096"/>
    <cellStyle name="s6842" xfId="3097"/>
    <cellStyle name="s6843" xfId="3098"/>
    <cellStyle name="s6844" xfId="3099"/>
    <cellStyle name="s6845" xfId="3100"/>
    <cellStyle name="s6846" xfId="3101"/>
    <cellStyle name="s6847" xfId="3102"/>
    <cellStyle name="s6848" xfId="3103"/>
    <cellStyle name="s6849" xfId="3104"/>
    <cellStyle name="s6850" xfId="3105"/>
    <cellStyle name="s6851" xfId="3106"/>
    <cellStyle name="s6852" xfId="3107"/>
    <cellStyle name="s6853" xfId="3108"/>
    <cellStyle name="s6854" xfId="3109"/>
    <cellStyle name="s6855" xfId="3110"/>
    <cellStyle name="s6856" xfId="3111"/>
    <cellStyle name="s6857" xfId="3112"/>
    <cellStyle name="s6858" xfId="3113"/>
    <cellStyle name="s6859" xfId="3114"/>
    <cellStyle name="s6860" xfId="3115"/>
    <cellStyle name="s6861" xfId="3116"/>
    <cellStyle name="s6862" xfId="3117"/>
    <cellStyle name="s6863" xfId="3118"/>
    <cellStyle name="s6864" xfId="3119"/>
    <cellStyle name="s6865" xfId="3120"/>
    <cellStyle name="s6866" xfId="3121"/>
    <cellStyle name="s6867" xfId="3122"/>
    <cellStyle name="s6868" xfId="3123"/>
    <cellStyle name="s6869" xfId="3124"/>
    <cellStyle name="s6870" xfId="3125"/>
    <cellStyle name="s6871" xfId="3126"/>
    <cellStyle name="s6872" xfId="3127"/>
    <cellStyle name="s6873" xfId="3128"/>
    <cellStyle name="s6874" xfId="3129"/>
    <cellStyle name="s6875" xfId="3130"/>
    <cellStyle name="s6876" xfId="3131"/>
    <cellStyle name="s6877" xfId="3132"/>
    <cellStyle name="s6878" xfId="3133"/>
    <cellStyle name="s6879" xfId="3134"/>
    <cellStyle name="s6880" xfId="3135"/>
    <cellStyle name="s6881" xfId="3136"/>
    <cellStyle name="s6882" xfId="3137"/>
    <cellStyle name="s6883" xfId="3138"/>
    <cellStyle name="s6884" xfId="3139"/>
    <cellStyle name="s6885" xfId="3140"/>
    <cellStyle name="s6886" xfId="3141"/>
    <cellStyle name="s6887" xfId="3142"/>
    <cellStyle name="s6888" xfId="3143"/>
    <cellStyle name="s6889" xfId="3144"/>
    <cellStyle name="s6890" xfId="3145"/>
    <cellStyle name="s6891" xfId="3146"/>
    <cellStyle name="s6892" xfId="3147"/>
    <cellStyle name="s6893" xfId="3148"/>
    <cellStyle name="s6894" xfId="3149"/>
    <cellStyle name="s6895" xfId="3150"/>
    <cellStyle name="s6896" xfId="3151"/>
    <cellStyle name="s6897" xfId="3152"/>
    <cellStyle name="s6898" xfId="3153"/>
    <cellStyle name="s6899" xfId="3154"/>
    <cellStyle name="s6900" xfId="3155"/>
    <cellStyle name="s6901" xfId="3156"/>
    <cellStyle name="s6902" xfId="3157"/>
    <cellStyle name="s6903" xfId="3158"/>
    <cellStyle name="s6904" xfId="3159"/>
    <cellStyle name="s6905" xfId="3160"/>
    <cellStyle name="s6906" xfId="3161"/>
    <cellStyle name="s6907" xfId="3162"/>
    <cellStyle name="s6908" xfId="3163"/>
    <cellStyle name="s6909" xfId="3164"/>
    <cellStyle name="s6910" xfId="3165"/>
    <cellStyle name="s6911" xfId="3166"/>
    <cellStyle name="s6912" xfId="3167"/>
    <cellStyle name="s6913" xfId="3168"/>
    <cellStyle name="s6914" xfId="3169"/>
    <cellStyle name="s6915" xfId="3170"/>
    <cellStyle name="s6916" xfId="3171"/>
    <cellStyle name="s6917" xfId="3172"/>
    <cellStyle name="s6918" xfId="3173"/>
    <cellStyle name="s6919" xfId="3174"/>
    <cellStyle name="s6920" xfId="3175"/>
    <cellStyle name="s6921" xfId="3176"/>
    <cellStyle name="s6922" xfId="3177"/>
    <cellStyle name="s6923" xfId="3178"/>
    <cellStyle name="s6924" xfId="3179"/>
    <cellStyle name="s6925" xfId="3180"/>
    <cellStyle name="s6926" xfId="3181"/>
    <cellStyle name="s6927" xfId="3182"/>
    <cellStyle name="s6928" xfId="3183"/>
    <cellStyle name="s6929" xfId="3184"/>
    <cellStyle name="s6930" xfId="3185"/>
    <cellStyle name="s6931" xfId="3186"/>
    <cellStyle name="s6932" xfId="3187"/>
    <cellStyle name="s6933" xfId="3188"/>
    <cellStyle name="s6934" xfId="3189"/>
    <cellStyle name="s6935" xfId="3190"/>
    <cellStyle name="s6936" xfId="3191"/>
    <cellStyle name="s6937" xfId="3192"/>
    <cellStyle name="s6938" xfId="3193"/>
    <cellStyle name="s6939" xfId="3194"/>
    <cellStyle name="s6940" xfId="3195"/>
    <cellStyle name="s6941" xfId="3196"/>
    <cellStyle name="s6942" xfId="3197"/>
    <cellStyle name="s6943" xfId="3198"/>
    <cellStyle name="s6944" xfId="3199"/>
    <cellStyle name="s6945" xfId="3200"/>
    <cellStyle name="s6946" xfId="3201"/>
    <cellStyle name="s6947" xfId="3202"/>
    <cellStyle name="s6948" xfId="3203"/>
    <cellStyle name="s6949" xfId="3204"/>
    <cellStyle name="s6950" xfId="3205"/>
    <cellStyle name="s6951" xfId="3206"/>
    <cellStyle name="s6952" xfId="3207"/>
    <cellStyle name="s6953" xfId="3208"/>
    <cellStyle name="s6954" xfId="3209"/>
    <cellStyle name="s6955" xfId="3210"/>
    <cellStyle name="s6956" xfId="3211"/>
    <cellStyle name="s6957" xfId="3212"/>
    <cellStyle name="s6958" xfId="3213"/>
    <cellStyle name="s6959" xfId="3214"/>
    <cellStyle name="s6960" xfId="3215"/>
    <cellStyle name="s6961" xfId="3216"/>
    <cellStyle name="s6962" xfId="3217"/>
    <cellStyle name="s6963" xfId="3218"/>
    <cellStyle name="s6964" xfId="3219"/>
    <cellStyle name="s6965" xfId="3220"/>
    <cellStyle name="s6966" xfId="3221"/>
    <cellStyle name="s6967" xfId="3222"/>
    <cellStyle name="s6968" xfId="3223"/>
    <cellStyle name="s6969" xfId="3224"/>
    <cellStyle name="s6970" xfId="3225"/>
    <cellStyle name="s6971" xfId="3226"/>
    <cellStyle name="s6972" xfId="3227"/>
    <cellStyle name="s6973" xfId="3228"/>
    <cellStyle name="s6974" xfId="3229"/>
    <cellStyle name="s6975" xfId="3230"/>
    <cellStyle name="s6976" xfId="3231"/>
    <cellStyle name="s6977" xfId="3232"/>
    <cellStyle name="s6978" xfId="3233"/>
    <cellStyle name="s6979" xfId="3234"/>
    <cellStyle name="s6980" xfId="3235"/>
    <cellStyle name="s6981" xfId="3236"/>
    <cellStyle name="s6982" xfId="3237"/>
    <cellStyle name="s6983" xfId="3238"/>
    <cellStyle name="s6984" xfId="3239"/>
    <cellStyle name="s6985" xfId="3240"/>
    <cellStyle name="s6986" xfId="3241"/>
    <cellStyle name="s6987" xfId="3242"/>
    <cellStyle name="s6988" xfId="3243"/>
    <cellStyle name="s6989" xfId="3244"/>
    <cellStyle name="s6990" xfId="3245"/>
    <cellStyle name="s6991" xfId="3246"/>
    <cellStyle name="s6992" xfId="3247"/>
    <cellStyle name="s6993" xfId="3248"/>
    <cellStyle name="s6994" xfId="3249"/>
    <cellStyle name="s6995" xfId="3250"/>
    <cellStyle name="s6996" xfId="3251"/>
    <cellStyle name="s6997" xfId="3252"/>
    <cellStyle name="s6998" xfId="3253"/>
    <cellStyle name="s6999" xfId="3254"/>
    <cellStyle name="s7000" xfId="3255"/>
    <cellStyle name="s7001" xfId="3256"/>
    <cellStyle name="s7002" xfId="3257"/>
    <cellStyle name="s7003" xfId="3258"/>
    <cellStyle name="s7004" xfId="3259"/>
    <cellStyle name="s7005" xfId="3260"/>
    <cellStyle name="s7006" xfId="3261"/>
    <cellStyle name="s7007" xfId="3262"/>
    <cellStyle name="s7008" xfId="3263"/>
    <cellStyle name="s7009" xfId="3264"/>
    <cellStyle name="s7010" xfId="3265"/>
    <cellStyle name="s7011" xfId="3266"/>
    <cellStyle name="s7012" xfId="3267"/>
    <cellStyle name="s7013" xfId="3268"/>
    <cellStyle name="s7014" xfId="3269"/>
    <cellStyle name="s7015" xfId="3270"/>
    <cellStyle name="s7016" xfId="3271"/>
    <cellStyle name="s7017" xfId="3272"/>
    <cellStyle name="s7018" xfId="3273"/>
    <cellStyle name="s7019" xfId="3274"/>
    <cellStyle name="s7020" xfId="3275"/>
    <cellStyle name="s7021" xfId="3276"/>
    <cellStyle name="s7022" xfId="3277"/>
    <cellStyle name="s7023" xfId="3278"/>
    <cellStyle name="s7024" xfId="3279"/>
    <cellStyle name="s7025" xfId="3280"/>
    <cellStyle name="s7026" xfId="3281"/>
    <cellStyle name="s7027" xfId="3282"/>
    <cellStyle name="s7028" xfId="3283"/>
    <cellStyle name="s7029" xfId="3284"/>
    <cellStyle name="s7030" xfId="3285"/>
    <cellStyle name="s7031" xfId="3286"/>
    <cellStyle name="s7032" xfId="3287"/>
    <cellStyle name="s7033" xfId="3288"/>
    <cellStyle name="s7034" xfId="3289"/>
    <cellStyle name="s7035" xfId="3290"/>
    <cellStyle name="s7036" xfId="3291"/>
    <cellStyle name="s7037" xfId="3292"/>
    <cellStyle name="s7038" xfId="3293"/>
    <cellStyle name="s7039" xfId="3294"/>
    <cellStyle name="s7040" xfId="3295"/>
    <cellStyle name="s7041" xfId="3296"/>
    <cellStyle name="s7042" xfId="3297"/>
    <cellStyle name="s7043" xfId="3298"/>
    <cellStyle name="s7044" xfId="3299"/>
    <cellStyle name="s7045" xfId="3300"/>
    <cellStyle name="s7046" xfId="3301"/>
    <cellStyle name="s7047" xfId="3302"/>
    <cellStyle name="s7048" xfId="3303"/>
    <cellStyle name="s7049" xfId="3304"/>
    <cellStyle name="s7050" xfId="3305"/>
    <cellStyle name="s7051" xfId="3306"/>
    <cellStyle name="s7052" xfId="3307"/>
    <cellStyle name="s7053" xfId="3308"/>
    <cellStyle name="s7054" xfId="3309"/>
    <cellStyle name="s7055" xfId="3310"/>
    <cellStyle name="s7056" xfId="3311"/>
    <cellStyle name="s7057" xfId="3312"/>
    <cellStyle name="s7058" xfId="3313"/>
    <cellStyle name="s7059" xfId="3314"/>
    <cellStyle name="s7060" xfId="3315"/>
    <cellStyle name="s7061" xfId="3316"/>
    <cellStyle name="s7062" xfId="3317"/>
    <cellStyle name="s7063" xfId="3318"/>
    <cellStyle name="s7064" xfId="3319"/>
    <cellStyle name="s7065" xfId="3320"/>
    <cellStyle name="s7066" xfId="3321"/>
    <cellStyle name="s7067" xfId="3322"/>
    <cellStyle name="s7068" xfId="3323"/>
    <cellStyle name="s7069" xfId="3324"/>
    <cellStyle name="s7070" xfId="3325"/>
    <cellStyle name="s7071" xfId="3326"/>
    <cellStyle name="s7072" xfId="3327"/>
    <cellStyle name="s7073" xfId="3328"/>
    <cellStyle name="s7074" xfId="3329"/>
    <cellStyle name="s7075" xfId="3330"/>
    <cellStyle name="s7076" xfId="3331"/>
    <cellStyle name="s7077" xfId="3332"/>
    <cellStyle name="s7078" xfId="3333"/>
    <cellStyle name="s7079" xfId="3334"/>
    <cellStyle name="s7080" xfId="3335"/>
    <cellStyle name="s7081" xfId="3336"/>
    <cellStyle name="s7082" xfId="3337"/>
    <cellStyle name="s7083" xfId="3338"/>
    <cellStyle name="s7084" xfId="3339"/>
    <cellStyle name="s7085" xfId="3340"/>
    <cellStyle name="s7086" xfId="3341"/>
    <cellStyle name="s7087" xfId="3342"/>
    <cellStyle name="s7088" xfId="3343"/>
    <cellStyle name="s7089" xfId="3344"/>
    <cellStyle name="s7090" xfId="3345"/>
    <cellStyle name="s7091" xfId="3346"/>
    <cellStyle name="s7092" xfId="3347"/>
    <cellStyle name="s7093" xfId="3348"/>
    <cellStyle name="s7094" xfId="3349"/>
    <cellStyle name="s7095" xfId="3350"/>
    <cellStyle name="s7096" xfId="3351"/>
    <cellStyle name="s7097" xfId="3352"/>
    <cellStyle name="s7098" xfId="3353"/>
    <cellStyle name="s7099" xfId="3354"/>
    <cellStyle name="s7100" xfId="3355"/>
    <cellStyle name="s7101" xfId="3356"/>
    <cellStyle name="s7102" xfId="3357"/>
    <cellStyle name="s7103" xfId="3358"/>
    <cellStyle name="s7104" xfId="3359"/>
    <cellStyle name="s7105" xfId="3360"/>
    <cellStyle name="s7106" xfId="3361"/>
    <cellStyle name="s7107" xfId="3362"/>
    <cellStyle name="s7108" xfId="3363"/>
    <cellStyle name="s7109" xfId="3364"/>
    <cellStyle name="s7110" xfId="3365"/>
    <cellStyle name="s7111" xfId="3366"/>
    <cellStyle name="s7112" xfId="3367"/>
    <cellStyle name="s7113" xfId="3368"/>
    <cellStyle name="s7114" xfId="3369"/>
    <cellStyle name="s7115" xfId="3370"/>
    <cellStyle name="s7116" xfId="3371"/>
    <cellStyle name="s7117" xfId="3372"/>
    <cellStyle name="s7118" xfId="3373"/>
    <cellStyle name="s7119" xfId="3374"/>
    <cellStyle name="s7120" xfId="3375"/>
    <cellStyle name="s7121" xfId="3376"/>
    <cellStyle name="s7122" xfId="3377"/>
    <cellStyle name="s7123" xfId="3378"/>
    <cellStyle name="s7124" xfId="3379"/>
    <cellStyle name="s7125" xfId="3380"/>
    <cellStyle name="s7126" xfId="3381"/>
    <cellStyle name="s7127" xfId="3382"/>
    <cellStyle name="s7128" xfId="3383"/>
    <cellStyle name="s7129" xfId="3384"/>
    <cellStyle name="s7130" xfId="3385"/>
    <cellStyle name="s7131" xfId="3386"/>
    <cellStyle name="s7132" xfId="3387"/>
    <cellStyle name="s7133" xfId="3388"/>
    <cellStyle name="s7134" xfId="3389"/>
    <cellStyle name="s7135" xfId="3390"/>
    <cellStyle name="s7136" xfId="3391"/>
    <cellStyle name="s7137" xfId="3392"/>
    <cellStyle name="s7138" xfId="3393"/>
    <cellStyle name="s7139" xfId="3394"/>
    <cellStyle name="s7140" xfId="3395"/>
    <cellStyle name="s7141" xfId="3396"/>
    <cellStyle name="s7142" xfId="3397"/>
    <cellStyle name="s7143" xfId="3398"/>
    <cellStyle name="s7144" xfId="3399"/>
    <cellStyle name="s7145" xfId="3400"/>
    <cellStyle name="s7146" xfId="3401"/>
    <cellStyle name="s7147" xfId="3402"/>
    <cellStyle name="s7148" xfId="3403"/>
    <cellStyle name="s7149" xfId="3404"/>
    <cellStyle name="s7150" xfId="3405"/>
    <cellStyle name="s7151" xfId="3406"/>
    <cellStyle name="s7152" xfId="3407"/>
    <cellStyle name="s7153" xfId="3408"/>
    <cellStyle name="s7154" xfId="3409"/>
    <cellStyle name="s7155" xfId="3410"/>
    <cellStyle name="s7156" xfId="3411"/>
    <cellStyle name="s7157" xfId="3412"/>
    <cellStyle name="s7158" xfId="3413"/>
    <cellStyle name="s7159" xfId="3414"/>
    <cellStyle name="s7160" xfId="3415"/>
    <cellStyle name="s7161" xfId="3416"/>
    <cellStyle name="s7162" xfId="3417"/>
    <cellStyle name="s7163" xfId="3418"/>
    <cellStyle name="s7164" xfId="3419"/>
    <cellStyle name="s7165" xfId="3420"/>
    <cellStyle name="s7166" xfId="3421"/>
    <cellStyle name="s7167" xfId="3422"/>
    <cellStyle name="s7168" xfId="3423"/>
    <cellStyle name="s7169" xfId="3424"/>
    <cellStyle name="s7170" xfId="3425"/>
    <cellStyle name="s7171" xfId="3426"/>
    <cellStyle name="s7172" xfId="3427"/>
    <cellStyle name="s7173" xfId="3428"/>
    <cellStyle name="s7174" xfId="3429"/>
    <cellStyle name="s7175" xfId="3430"/>
    <cellStyle name="s7176" xfId="3431"/>
    <cellStyle name="s7177" xfId="3432"/>
    <cellStyle name="s7178" xfId="3433"/>
    <cellStyle name="s7179" xfId="3434"/>
    <cellStyle name="s7180" xfId="3435"/>
    <cellStyle name="s7181" xfId="3436"/>
    <cellStyle name="s7182" xfId="3437"/>
    <cellStyle name="s7183" xfId="3438"/>
    <cellStyle name="s7184" xfId="3439"/>
    <cellStyle name="s7185" xfId="3440"/>
    <cellStyle name="s7186" xfId="3441"/>
    <cellStyle name="s7187" xfId="3442"/>
    <cellStyle name="s7188" xfId="3443"/>
    <cellStyle name="s7189" xfId="3444"/>
    <cellStyle name="s7190" xfId="3445"/>
    <cellStyle name="s7191" xfId="3446"/>
    <cellStyle name="s7192" xfId="3447"/>
    <cellStyle name="s7193" xfId="3448"/>
    <cellStyle name="s7194" xfId="3449"/>
    <cellStyle name="s7195" xfId="3450"/>
    <cellStyle name="s7196" xfId="3451"/>
    <cellStyle name="s7197" xfId="3452"/>
    <cellStyle name="s7198" xfId="3453"/>
    <cellStyle name="s7199" xfId="3454"/>
    <cellStyle name="s7200" xfId="3455"/>
    <cellStyle name="s7201" xfId="3456"/>
    <cellStyle name="s7202" xfId="3457"/>
    <cellStyle name="s7203" xfId="3458"/>
    <cellStyle name="s7204" xfId="3459"/>
    <cellStyle name="s7205" xfId="3460"/>
    <cellStyle name="s7206" xfId="3461"/>
    <cellStyle name="s7207" xfId="3462"/>
    <cellStyle name="s7208" xfId="3463"/>
    <cellStyle name="s7209" xfId="3464"/>
    <cellStyle name="s7210" xfId="3465"/>
    <cellStyle name="s7211" xfId="3466"/>
    <cellStyle name="s7212" xfId="3467"/>
    <cellStyle name="s7213" xfId="3468"/>
    <cellStyle name="s7214" xfId="3469"/>
    <cellStyle name="s7215" xfId="3470"/>
    <cellStyle name="s7216" xfId="3471"/>
    <cellStyle name="s7217" xfId="3472"/>
    <cellStyle name="s7218" xfId="3473"/>
    <cellStyle name="s7219" xfId="3474"/>
    <cellStyle name="s7220" xfId="3475"/>
    <cellStyle name="s7221" xfId="3476"/>
    <cellStyle name="s7222" xfId="3477"/>
    <cellStyle name="s7223" xfId="3478"/>
    <cellStyle name="s7224" xfId="3479"/>
    <cellStyle name="s7225" xfId="3480"/>
    <cellStyle name="s7226" xfId="3481"/>
    <cellStyle name="s7227" xfId="3482"/>
    <cellStyle name="s7228" xfId="3483"/>
    <cellStyle name="s7229" xfId="3484"/>
    <cellStyle name="s7230" xfId="3485"/>
    <cellStyle name="s7231" xfId="3486"/>
    <cellStyle name="s7232" xfId="3487"/>
    <cellStyle name="s7233" xfId="3488"/>
    <cellStyle name="s7234" xfId="3489"/>
    <cellStyle name="s7235" xfId="3490"/>
    <cellStyle name="s7236" xfId="3491"/>
    <cellStyle name="s7237" xfId="3492"/>
    <cellStyle name="s7238" xfId="3493"/>
    <cellStyle name="s7239" xfId="3494"/>
    <cellStyle name="s7240" xfId="3495"/>
    <cellStyle name="s7241" xfId="3496"/>
    <cellStyle name="s7242" xfId="3497"/>
    <cellStyle name="s7243" xfId="3498"/>
    <cellStyle name="s7244" xfId="3499"/>
    <cellStyle name="s7245" xfId="3500"/>
    <cellStyle name="s7246" xfId="3501"/>
    <cellStyle name="s7247" xfId="3502"/>
    <cellStyle name="s7248" xfId="3503"/>
    <cellStyle name="s7249" xfId="3504"/>
    <cellStyle name="s7250" xfId="3505"/>
    <cellStyle name="s7251" xfId="3506"/>
    <cellStyle name="s7252" xfId="3507"/>
    <cellStyle name="s7253" xfId="3508"/>
    <cellStyle name="s7254" xfId="3509"/>
    <cellStyle name="s7255" xfId="3510"/>
    <cellStyle name="s7256" xfId="3511"/>
    <cellStyle name="s7257" xfId="3512"/>
    <cellStyle name="s7258" xfId="3513"/>
    <cellStyle name="s7259" xfId="3514"/>
    <cellStyle name="s7260" xfId="3515"/>
    <cellStyle name="s7261" xfId="3516"/>
    <cellStyle name="s7262" xfId="3517"/>
    <cellStyle name="s7263" xfId="3518"/>
    <cellStyle name="s7264" xfId="3519"/>
    <cellStyle name="s7265" xfId="3520"/>
    <cellStyle name="s7266" xfId="3521"/>
    <cellStyle name="s7267" xfId="3522"/>
    <cellStyle name="s7268" xfId="3523"/>
    <cellStyle name="s7269" xfId="3524"/>
    <cellStyle name="s7270" xfId="3525"/>
    <cellStyle name="s7271" xfId="3526"/>
    <cellStyle name="s7272" xfId="3527"/>
    <cellStyle name="s7273" xfId="3528"/>
    <cellStyle name="s7274" xfId="3529"/>
    <cellStyle name="s7275" xfId="3530"/>
    <cellStyle name="s7276" xfId="3531"/>
    <cellStyle name="s7277" xfId="3532"/>
    <cellStyle name="s7278" xfId="3533"/>
    <cellStyle name="s7279" xfId="3534"/>
    <cellStyle name="s7280" xfId="3535"/>
    <cellStyle name="s7281" xfId="3536"/>
    <cellStyle name="s7282" xfId="3537"/>
    <cellStyle name="s7283" xfId="3538"/>
    <cellStyle name="s7284" xfId="3539"/>
    <cellStyle name="s7285" xfId="3540"/>
    <cellStyle name="s7286" xfId="3541"/>
    <cellStyle name="s7287" xfId="3542"/>
    <cellStyle name="s7288" xfId="3543"/>
    <cellStyle name="s7289" xfId="3544"/>
    <cellStyle name="s7290" xfId="3545"/>
    <cellStyle name="s7291" xfId="3546"/>
    <cellStyle name="s7292" xfId="3547"/>
    <cellStyle name="s7293" xfId="3548"/>
    <cellStyle name="s7294" xfId="3549"/>
    <cellStyle name="s7295" xfId="3550"/>
    <cellStyle name="s7296" xfId="3551"/>
    <cellStyle name="s7297" xfId="3552"/>
    <cellStyle name="s7298" xfId="3553"/>
    <cellStyle name="s7299" xfId="3554"/>
    <cellStyle name="s7300" xfId="3555"/>
    <cellStyle name="s7301" xfId="3556"/>
    <cellStyle name="s7302" xfId="3557"/>
    <cellStyle name="s7303" xfId="3558"/>
    <cellStyle name="s7304" xfId="3559"/>
    <cellStyle name="s7305" xfId="3560"/>
    <cellStyle name="s7306" xfId="3561"/>
    <cellStyle name="s7307" xfId="3562"/>
    <cellStyle name="s7308" xfId="3563"/>
    <cellStyle name="s7309" xfId="3564"/>
    <cellStyle name="s7310" xfId="3565"/>
    <cellStyle name="s7311" xfId="3566"/>
    <cellStyle name="s7312" xfId="3567"/>
    <cellStyle name="s7313" xfId="3568"/>
    <cellStyle name="s7314" xfId="3569"/>
    <cellStyle name="s7315" xfId="3570"/>
    <cellStyle name="s7316" xfId="3571"/>
    <cellStyle name="s7317" xfId="3572"/>
    <cellStyle name="s7318" xfId="3573"/>
    <cellStyle name="s7319" xfId="3574"/>
    <cellStyle name="s7320" xfId="3575"/>
    <cellStyle name="s7321" xfId="3576"/>
    <cellStyle name="s7322" xfId="3577"/>
    <cellStyle name="s7323" xfId="3578"/>
    <cellStyle name="s7324" xfId="3579"/>
    <cellStyle name="s7325" xfId="3580"/>
    <cellStyle name="s7326" xfId="3581"/>
    <cellStyle name="s7327" xfId="3582"/>
    <cellStyle name="s7328" xfId="3583"/>
    <cellStyle name="s7329" xfId="3584"/>
    <cellStyle name="s7330" xfId="3585"/>
    <cellStyle name="s7331" xfId="3586"/>
    <cellStyle name="s7332" xfId="3587"/>
    <cellStyle name="s7333" xfId="3588"/>
    <cellStyle name="s7334" xfId="3589"/>
    <cellStyle name="s7335" xfId="3590"/>
    <cellStyle name="s7336" xfId="3591"/>
    <cellStyle name="s7337" xfId="3592"/>
    <cellStyle name="s7338" xfId="3593"/>
    <cellStyle name="s7339" xfId="3594"/>
    <cellStyle name="s7340" xfId="3595"/>
    <cellStyle name="s7341" xfId="3596"/>
    <cellStyle name="s7342" xfId="3597"/>
    <cellStyle name="s7343" xfId="3598"/>
    <cellStyle name="s7344" xfId="3599"/>
    <cellStyle name="s7345" xfId="3600"/>
    <cellStyle name="s7346" xfId="3601"/>
    <cellStyle name="s7347" xfId="3602"/>
    <cellStyle name="s7348" xfId="3603"/>
    <cellStyle name="s7349" xfId="3604"/>
    <cellStyle name="s7350" xfId="3605"/>
    <cellStyle name="s7351" xfId="3606"/>
    <cellStyle name="s7352" xfId="3607"/>
    <cellStyle name="s7353" xfId="3608"/>
    <cellStyle name="s7354" xfId="3609"/>
    <cellStyle name="s7355" xfId="3610"/>
    <cellStyle name="s7356" xfId="3611"/>
    <cellStyle name="s7357" xfId="3612"/>
    <cellStyle name="s7358" xfId="3613"/>
    <cellStyle name="s7359" xfId="3614"/>
    <cellStyle name="s7360" xfId="3615"/>
    <cellStyle name="s7361" xfId="3616"/>
    <cellStyle name="s7362" xfId="3617"/>
    <cellStyle name="s7363" xfId="3618"/>
    <cellStyle name="s7364" xfId="3619"/>
    <cellStyle name="s7365" xfId="3620"/>
    <cellStyle name="s7366" xfId="3621"/>
    <cellStyle name="s7367" xfId="3622"/>
    <cellStyle name="s7368" xfId="3623"/>
    <cellStyle name="s7369" xfId="3624"/>
    <cellStyle name="s7370" xfId="3625"/>
    <cellStyle name="s7371" xfId="3626"/>
    <cellStyle name="s7372" xfId="3627"/>
    <cellStyle name="s7373" xfId="3628"/>
    <cellStyle name="s7374" xfId="3629"/>
    <cellStyle name="s7375" xfId="3630"/>
    <cellStyle name="s7376" xfId="3631"/>
    <cellStyle name="s7377" xfId="3632"/>
    <cellStyle name="s7378" xfId="3633"/>
    <cellStyle name="s7379" xfId="3634"/>
    <cellStyle name="s7380" xfId="3635"/>
    <cellStyle name="s7381" xfId="3636"/>
    <cellStyle name="s7382" xfId="3637"/>
    <cellStyle name="s7383" xfId="3638"/>
    <cellStyle name="s7384" xfId="3639"/>
    <cellStyle name="s7385" xfId="3640"/>
    <cellStyle name="s7386" xfId="3641"/>
    <cellStyle name="s7387" xfId="3642"/>
    <cellStyle name="s7388" xfId="3643"/>
    <cellStyle name="s7389" xfId="3644"/>
    <cellStyle name="s7390" xfId="3645"/>
    <cellStyle name="s7391" xfId="3646"/>
    <cellStyle name="s7392" xfId="3647"/>
    <cellStyle name="s7393" xfId="3648"/>
    <cellStyle name="s7394" xfId="3649"/>
    <cellStyle name="s7395" xfId="3650"/>
    <cellStyle name="s7396" xfId="3651"/>
    <cellStyle name="s7397" xfId="3652"/>
    <cellStyle name="s7398" xfId="3653"/>
    <cellStyle name="s7399" xfId="3654"/>
    <cellStyle name="s7400" xfId="3655"/>
    <cellStyle name="s7401" xfId="3656"/>
    <cellStyle name="s7402" xfId="3657"/>
    <cellStyle name="s7403" xfId="3658"/>
    <cellStyle name="s7404" xfId="3659"/>
    <cellStyle name="s7405" xfId="3660"/>
    <cellStyle name="s7406" xfId="3661"/>
    <cellStyle name="s7407" xfId="3662"/>
    <cellStyle name="s7408" xfId="3663"/>
    <cellStyle name="s7409" xfId="3664"/>
    <cellStyle name="s7410" xfId="3665"/>
    <cellStyle name="s7411" xfId="3666"/>
    <cellStyle name="s7412" xfId="3667"/>
    <cellStyle name="s7413" xfId="3668"/>
    <cellStyle name="s7414" xfId="3669"/>
    <cellStyle name="s7415" xfId="3670"/>
    <cellStyle name="s7416" xfId="3671"/>
    <cellStyle name="s7417" xfId="3672"/>
    <cellStyle name="s7418" xfId="3673"/>
    <cellStyle name="s7419" xfId="3674"/>
    <cellStyle name="s7420" xfId="3675"/>
    <cellStyle name="s7421" xfId="3676"/>
    <cellStyle name="s7422" xfId="3677"/>
    <cellStyle name="s7423" xfId="3678"/>
    <cellStyle name="s7424" xfId="3679"/>
    <cellStyle name="s7425" xfId="3680"/>
    <cellStyle name="s7426" xfId="3681"/>
    <cellStyle name="s7427" xfId="3682"/>
    <cellStyle name="s7428" xfId="3683"/>
    <cellStyle name="s7429" xfId="3684"/>
    <cellStyle name="s7430" xfId="3685"/>
    <cellStyle name="s7431" xfId="3686"/>
    <cellStyle name="s7432" xfId="3687"/>
    <cellStyle name="s7433" xfId="3688"/>
    <cellStyle name="s7434" xfId="3689"/>
    <cellStyle name="s7435" xfId="3690"/>
    <cellStyle name="s7436" xfId="3691"/>
    <cellStyle name="s7437" xfId="3692"/>
    <cellStyle name="s7438" xfId="3693"/>
    <cellStyle name="s7439" xfId="3694"/>
    <cellStyle name="s7440" xfId="3695"/>
    <cellStyle name="s7441" xfId="3696"/>
    <cellStyle name="s7442" xfId="3697"/>
    <cellStyle name="s7443" xfId="3698"/>
    <cellStyle name="s7444" xfId="3699"/>
    <cellStyle name="s7445" xfId="3700"/>
    <cellStyle name="s7446" xfId="3701"/>
    <cellStyle name="s7447" xfId="3702"/>
    <cellStyle name="s7448" xfId="3703"/>
    <cellStyle name="s7449" xfId="3704"/>
    <cellStyle name="s7450" xfId="3705"/>
    <cellStyle name="s7451" xfId="3706"/>
    <cellStyle name="s7452" xfId="3707"/>
    <cellStyle name="s7453" xfId="3708"/>
    <cellStyle name="s7454" xfId="3709"/>
    <cellStyle name="s7455" xfId="3710"/>
    <cellStyle name="s7456" xfId="3711"/>
    <cellStyle name="s7457" xfId="3712"/>
    <cellStyle name="s7458" xfId="3713"/>
    <cellStyle name="s7459" xfId="3714"/>
    <cellStyle name="s7460" xfId="3715"/>
    <cellStyle name="s7461" xfId="3716"/>
    <cellStyle name="s7462" xfId="3717"/>
    <cellStyle name="s7463" xfId="3718"/>
    <cellStyle name="s7464" xfId="3719"/>
    <cellStyle name="s7465" xfId="3720"/>
    <cellStyle name="s7466" xfId="3721"/>
    <cellStyle name="s7467" xfId="3722"/>
    <cellStyle name="s7468" xfId="3723"/>
    <cellStyle name="s7469" xfId="3724"/>
    <cellStyle name="s7470" xfId="3725"/>
    <cellStyle name="s7471" xfId="3726"/>
    <cellStyle name="s7472" xfId="3727"/>
    <cellStyle name="s7473" xfId="3728"/>
    <cellStyle name="s7474" xfId="3729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4;&#1073;&#1097;&#1072;&#1103;/&#1058;&#1072;&#1088;&#1080;&#1092;/&#1058;&#1040;&#1056;&#1048;&#1060;_2025%20&#1050;&#1086;&#1088;&#1088;&#1077;&#1082;&#1090;&#1080;&#1088;&#1086;&#1074;&#1082;&#1072;/&#1064;&#1040;&#1041;&#1051;&#1054;&#1053;/&#1050;&#1072;&#1083;&#1080;&#1085;&#1080;&#1085;&#1075;&#1088;&#1072;&#1076;/03%20&#1084;&#1072;&#1103;%20&#1086;&#1082;&#1086;&#1085;&#1095;&#1072;&#1090;&#1077;&#1083;&#1100;&#1085;&#1099;&#1077;%20&#1074;&#1077;&#1088;&#1089;&#1080;&#1080;/&#1042;&#1054;/&#1050;&#1072;&#1083;&#1080;&#1085;&#1080;&#1085;&#1075;&#1088;&#1072;&#1076;%20&#1042;&#1054;%20_2025CALC.WATER.TARIFF.2025.EIAS(v1.0.1)%20&#1086;&#1090;%2002.05.24_export%20&#8212;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4;&#1073;&#1097;&#1072;&#1103;/&#1058;&#1072;&#1088;&#1080;&#1092;/&#1058;&#1040;&#1056;&#1048;&#1060;_2025%20&#1050;&#1086;&#1088;&#1088;&#1077;&#1082;&#1090;&#1080;&#1088;&#1086;&#1074;&#1082;&#1072;/&#1064;&#1040;&#1041;&#1051;&#1054;&#1053;/&#1050;&#1072;&#1083;&#1080;&#1085;&#1080;&#1085;&#1075;&#1088;&#1072;&#1076;/03%20&#1084;&#1072;&#1103;%20&#1086;&#1082;&#1086;&#1085;&#1095;&#1072;&#1090;&#1077;&#1083;&#1100;&#1085;&#1099;&#1077;%20&#1074;&#1077;&#1088;&#1089;&#1080;&#1080;/&#1042;&#1057;/&#1050;&#1072;&#1083;&#1080;&#1085;&#1080;&#1085;&#1075;&#1088;&#1072;&#1076;%20&#1042;&#1057;%20&#1050;&#1072;&#1083;&#1100;&#1082;&#1091;&#1083;&#1103;&#1094;&#1080;&#1103;%202021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Настройки для формул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СиМ (детально)"/>
      <sheetName val="Сырье и материалы"/>
      <sheetName val="Check"/>
      <sheetName val="Формулы"/>
      <sheetName val="tech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Капремонт"/>
      <sheetName val="Текремонт"/>
      <sheetName val="Столбцы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TECHSHEET"/>
      <sheetName val="ТМ1"/>
      <sheetName val="ТМ2"/>
      <sheetName val="ТН ФАС"/>
      <sheetName val="ATTACH_DOC"/>
      <sheetName val="Столбцы отображение"/>
      <sheetName val="TECH_VERTICAL"/>
      <sheetName val="REESTR_ORG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  <sheetName val="Черновик 1"/>
      <sheetName val="Черновик 2"/>
      <sheetName val="Черновик 3"/>
      <sheetName val="Черновик 4"/>
      <sheetName val="Черновик 5"/>
    </sheetNames>
    <sheetDataSet>
      <sheetData sheetId="0"/>
      <sheetData sheetId="1">
        <row r="7">
          <cell r="F7">
            <v>3</v>
          </cell>
        </row>
        <row r="8">
          <cell r="F8">
            <v>4</v>
          </cell>
        </row>
        <row r="9">
          <cell r="F9">
            <v>5</v>
          </cell>
        </row>
        <row r="10">
          <cell r="F10">
            <v>6</v>
          </cell>
        </row>
        <row r="21">
          <cell r="F21" t="str">
            <v>Метод индексации</v>
          </cell>
        </row>
        <row r="22">
          <cell r="F22" t="str">
            <v>МЭОР</v>
          </cell>
        </row>
        <row r="23">
          <cell r="F23" t="str">
            <v>Метод сравнения аналогов</v>
          </cell>
        </row>
        <row r="30">
          <cell r="F30" t="str">
            <v>Газ природный</v>
          </cell>
        </row>
        <row r="31">
          <cell r="F31" t="str">
            <v>Газ лимитный</v>
          </cell>
        </row>
        <row r="32">
          <cell r="F32" t="str">
            <v>Газ сверхлимитный</v>
          </cell>
        </row>
        <row r="33">
          <cell r="F33" t="str">
            <v>Газ коммерческий</v>
          </cell>
        </row>
        <row r="34">
          <cell r="F34" t="str">
            <v>Газ доменный</v>
          </cell>
        </row>
        <row r="35">
          <cell r="F35" t="str">
            <v>Газ коксовый</v>
          </cell>
        </row>
        <row r="36">
          <cell r="F36" t="str">
            <v>Газ нефтяной (попутный)</v>
          </cell>
        </row>
        <row r="37">
          <cell r="F37" t="str">
            <v>Газ сухой отбензиненный</v>
          </cell>
        </row>
        <row r="38">
          <cell r="F38" t="str">
            <v>Газовый конденсат</v>
          </cell>
        </row>
        <row r="39">
          <cell r="F39" t="str">
            <v>Газ сжиженный</v>
          </cell>
        </row>
        <row r="40">
          <cell r="F40" t="str">
            <v>Дизельное топливо</v>
          </cell>
        </row>
        <row r="41">
          <cell r="F41" t="str">
            <v>А (арктическое)</v>
          </cell>
        </row>
        <row r="42">
          <cell r="F42" t="str">
            <v>З (зимнее)</v>
          </cell>
        </row>
        <row r="43">
          <cell r="F43" t="str">
            <v>Л (летнее)</v>
          </cell>
        </row>
        <row r="44">
          <cell r="F44" t="str">
            <v>Е (межсезонное)</v>
          </cell>
        </row>
        <row r="45">
          <cell r="F45" t="str">
            <v>Мазут</v>
          </cell>
        </row>
        <row r="46">
          <cell r="F46" t="str">
            <v>М-40</v>
          </cell>
        </row>
        <row r="47">
          <cell r="F47" t="str">
            <v>М-100</v>
          </cell>
        </row>
        <row r="48">
          <cell r="F48" t="str">
            <v>М-200</v>
          </cell>
        </row>
        <row r="49">
          <cell r="F49" t="str">
            <v>мазут марки "Т"</v>
          </cell>
        </row>
        <row r="50">
          <cell r="F50" t="str">
            <v>Ф-5</v>
          </cell>
        </row>
        <row r="51">
          <cell r="F51" t="str">
            <v>Ф-12</v>
          </cell>
        </row>
        <row r="52">
          <cell r="F52" t="str">
            <v>Нефть</v>
          </cell>
        </row>
        <row r="53">
          <cell r="F53" t="str">
            <v>Уголь</v>
          </cell>
        </row>
        <row r="54">
          <cell r="F54" t="str">
            <v>Уголь антрацит</v>
          </cell>
        </row>
        <row r="55">
          <cell r="F55" t="str">
            <v>Уголь бурый</v>
          </cell>
        </row>
        <row r="56">
          <cell r="F56" t="str">
            <v>Уголь газовый</v>
          </cell>
        </row>
        <row r="57">
          <cell r="F57" t="str">
            <v>Уголь длиннопламенный</v>
          </cell>
        </row>
        <row r="58">
          <cell r="F58" t="str">
            <v>Уголь жирный</v>
          </cell>
        </row>
        <row r="59">
          <cell r="F59" t="str">
            <v>Уголь коксовый</v>
          </cell>
        </row>
        <row r="60">
          <cell r="F60" t="str">
            <v>Уголь отощённо-спекающийся</v>
          </cell>
        </row>
        <row r="61">
          <cell r="F61" t="str">
            <v>Уголь слабоспекающийся</v>
          </cell>
        </row>
        <row r="62">
          <cell r="F62" t="str">
            <v>Уголь тощий</v>
          </cell>
        </row>
        <row r="63">
          <cell r="F63" t="str">
            <v>Энергия</v>
          </cell>
        </row>
        <row r="64">
          <cell r="F64" t="str">
            <v>Заявленная мощность</v>
          </cell>
        </row>
        <row r="65">
          <cell r="F65" t="str">
            <v>Уголь древесный</v>
          </cell>
        </row>
        <row r="66">
          <cell r="F66" t="str">
            <v>Дрова</v>
          </cell>
        </row>
        <row r="67">
          <cell r="F67" t="str">
            <v>Пеллеты</v>
          </cell>
        </row>
        <row r="68">
          <cell r="F68" t="str">
            <v>Опилки</v>
          </cell>
        </row>
        <row r="69">
          <cell r="F69" t="str">
            <v>Торф</v>
          </cell>
        </row>
        <row r="70">
          <cell r="F70" t="str">
            <v>Сланцы</v>
          </cell>
        </row>
        <row r="71">
          <cell r="F71" t="str">
            <v>Печное бытовое топливо</v>
          </cell>
        </row>
        <row r="72">
          <cell r="F72" t="str">
            <v>Прочие виды топлива</v>
          </cell>
        </row>
      </sheetData>
      <sheetData sheetId="2">
        <row r="12">
          <cell r="G12">
            <v>2025</v>
          </cell>
        </row>
        <row r="13">
          <cell r="M13" t="str">
            <v>Postgre</v>
          </cell>
        </row>
        <row r="33">
          <cell r="G33" t="str">
            <v>да</v>
          </cell>
        </row>
        <row r="34">
          <cell r="G34" t="str">
            <v>да</v>
          </cell>
        </row>
        <row r="42">
          <cell r="G42" t="str">
            <v>нет</v>
          </cell>
        </row>
        <row r="43">
          <cell r="G43" t="str">
            <v>да</v>
          </cell>
        </row>
        <row r="54">
          <cell r="G54" t="str">
            <v>да</v>
          </cell>
        </row>
        <row r="60">
          <cell r="G60" t="str">
            <v>полугодовой</v>
          </cell>
        </row>
        <row r="61">
          <cell r="G61" t="str">
            <v>годовой (расширенное)</v>
          </cell>
        </row>
        <row r="64">
          <cell r="G64" t="str">
            <v>нет</v>
          </cell>
        </row>
        <row r="65">
          <cell r="G65" t="str">
            <v>нет</v>
          </cell>
        </row>
        <row r="66">
          <cell r="G66" t="str">
            <v>да</v>
          </cell>
        </row>
        <row r="68">
          <cell r="G68" t="str">
            <v>да</v>
          </cell>
        </row>
        <row r="69">
          <cell r="G69" t="str">
            <v>да</v>
          </cell>
        </row>
        <row r="70">
          <cell r="G70" t="str">
            <v>да</v>
          </cell>
        </row>
        <row r="71">
          <cell r="G71" t="str">
            <v>да</v>
          </cell>
        </row>
        <row r="73">
          <cell r="G73" t="str">
            <v>нет</v>
          </cell>
        </row>
        <row r="77">
          <cell r="G77" t="str">
            <v>да</v>
          </cell>
        </row>
        <row r="78">
          <cell r="G78" t="str">
            <v>да</v>
          </cell>
        </row>
        <row r="79">
          <cell r="G79" t="str">
            <v>да</v>
          </cell>
        </row>
        <row r="80">
          <cell r="G80" t="str">
            <v>нет</v>
          </cell>
        </row>
        <row r="85">
          <cell r="G85" t="str">
            <v>нет</v>
          </cell>
        </row>
        <row r="86">
          <cell r="G86" t="str">
            <v>да</v>
          </cell>
        </row>
        <row r="90">
          <cell r="G90" t="str">
            <v>да</v>
          </cell>
        </row>
        <row r="107">
          <cell r="G107" t="str">
            <v>один год</v>
          </cell>
        </row>
        <row r="123">
          <cell r="G123" t="str">
            <v>нет</v>
          </cell>
        </row>
        <row r="127">
          <cell r="G127" t="str">
            <v>да</v>
          </cell>
        </row>
        <row r="130">
          <cell r="G130" t="str">
            <v>нет</v>
          </cell>
        </row>
        <row r="134">
          <cell r="G134" t="str">
            <v>Подано воды в сеть</v>
          </cell>
        </row>
        <row r="135">
          <cell r="G135" t="str">
            <v>Подано воды в сеть</v>
          </cell>
        </row>
        <row r="136">
          <cell r="G136" t="str">
            <v>Подано воды в сеть</v>
          </cell>
        </row>
        <row r="138">
          <cell r="G138" t="str">
            <v>нет</v>
          </cell>
        </row>
        <row r="142">
          <cell r="G142" t="str">
            <v>нет</v>
          </cell>
        </row>
        <row r="144">
          <cell r="H144" t="str">
            <v>Счёт</v>
          </cell>
          <cell r="I144" t="str">
            <v>Налоги</v>
          </cell>
        </row>
        <row r="148">
          <cell r="G148" t="str">
            <v>нет</v>
          </cell>
        </row>
        <row r="149">
          <cell r="G149" t="str">
            <v>нет</v>
          </cell>
        </row>
        <row r="156">
          <cell r="G156" t="str">
            <v>нет</v>
          </cell>
        </row>
        <row r="157">
          <cell r="G157" t="str">
            <v>ФАС</v>
          </cell>
        </row>
        <row r="160">
          <cell r="G160" t="str">
            <v>нет</v>
          </cell>
        </row>
        <row r="162">
          <cell r="G162" t="str">
            <v>нет</v>
          </cell>
        </row>
        <row r="179">
          <cell r="G179" t="str">
            <v>товарные вода/стоки</v>
          </cell>
        </row>
        <row r="180">
          <cell r="G180" t="str">
            <v>отпущено воды абонентам/принято от абонентов</v>
          </cell>
        </row>
        <row r="185">
          <cell r="G185" t="str">
            <v>один год</v>
          </cell>
        </row>
        <row r="186">
          <cell r="G186" t="str">
            <v>последний год</v>
          </cell>
        </row>
        <row r="188">
          <cell r="G188" t="str">
            <v>Назначение</v>
          </cell>
        </row>
        <row r="189">
          <cell r="G189" t="str">
            <v>Срок действия договора</v>
          </cell>
        </row>
      </sheetData>
      <sheetData sheetId="3"/>
      <sheetData sheetId="4"/>
      <sheetData sheetId="5">
        <row r="26">
          <cell r="A26" t="b">
            <v>1</v>
          </cell>
        </row>
        <row r="31">
          <cell r="A31" t="b">
            <v>1</v>
          </cell>
        </row>
        <row r="41">
          <cell r="A41" t="b">
            <v>1</v>
          </cell>
        </row>
        <row r="42">
          <cell r="A42" t="b">
            <v>1</v>
          </cell>
        </row>
        <row r="43">
          <cell r="A43" t="b">
            <v>1</v>
          </cell>
        </row>
        <row r="44">
          <cell r="A44" t="b">
            <v>0</v>
          </cell>
        </row>
        <row r="45">
          <cell r="A45" t="b">
            <v>1</v>
          </cell>
        </row>
        <row r="46">
          <cell r="A46" t="b">
            <v>1</v>
          </cell>
        </row>
        <row r="47">
          <cell r="A47" t="b">
            <v>1</v>
          </cell>
        </row>
        <row r="48">
          <cell r="A48" t="b">
            <v>1</v>
          </cell>
        </row>
        <row r="49">
          <cell r="A49" t="b">
            <v>1</v>
          </cell>
        </row>
        <row r="51">
          <cell r="A51" t="b">
            <v>1</v>
          </cell>
        </row>
        <row r="53">
          <cell r="A53" t="b">
            <v>1</v>
          </cell>
        </row>
      </sheetData>
      <sheetData sheetId="6"/>
      <sheetData sheetId="7">
        <row r="11">
          <cell r="AD11" t="str">
            <v>Калининградская область</v>
          </cell>
        </row>
        <row r="12">
          <cell r="AD12" t="str">
            <v>План</v>
          </cell>
        </row>
        <row r="13">
          <cell r="AD13" t="str">
            <v>Версия организации</v>
          </cell>
        </row>
        <row r="14">
          <cell r="AD14">
            <v>2025</v>
          </cell>
        </row>
        <row r="15">
          <cell r="AD15" t="str">
            <v>Водоотведение</v>
          </cell>
        </row>
        <row r="18">
          <cell r="AD18" t="str">
            <v>Государственное предприятие Калининградской области «Водоканал»</v>
          </cell>
        </row>
        <row r="19">
          <cell r="AD19" t="str">
            <v>ГП КО "Водоканал"</v>
          </cell>
        </row>
        <row r="22">
          <cell r="AD22" t="str">
            <v>1023900591626</v>
          </cell>
        </row>
        <row r="25">
          <cell r="AD25" t="str">
            <v>3903009923</v>
          </cell>
        </row>
        <row r="26">
          <cell r="AD26" t="str">
            <v>390401001</v>
          </cell>
        </row>
        <row r="27">
          <cell r="AD27" t="str">
            <v>03269197</v>
          </cell>
        </row>
        <row r="28">
          <cell r="AD28" t="str">
            <v>27401385000</v>
          </cell>
        </row>
        <row r="29">
          <cell r="AD29" t="str">
            <v/>
          </cell>
        </row>
        <row r="37">
          <cell r="AD37" t="str">
            <v>Мурадянц Армен Сергеевич</v>
          </cell>
        </row>
        <row r="38">
          <cell r="AD38" t="str">
            <v>директор</v>
          </cell>
        </row>
        <row r="40">
          <cell r="AD40" t="str">
            <v>нет</v>
          </cell>
        </row>
        <row r="44">
          <cell r="AD44" t="str">
            <v>да</v>
          </cell>
        </row>
        <row r="62">
          <cell r="AD62" t="str">
            <v>нет</v>
          </cell>
        </row>
        <row r="63">
          <cell r="AD63" t="str">
            <v>Метод индексации</v>
          </cell>
        </row>
        <row r="64">
          <cell r="AD64">
            <v>2024</v>
          </cell>
        </row>
        <row r="67">
          <cell r="AD67">
            <v>5</v>
          </cell>
        </row>
        <row r="72">
          <cell r="AD72" t="str">
            <v>Корректировка</v>
          </cell>
        </row>
        <row r="73">
          <cell r="AD73">
            <v>1</v>
          </cell>
        </row>
        <row r="74">
          <cell r="AD74" t="str">
            <v>Метод индексации</v>
          </cell>
        </row>
        <row r="75">
          <cell r="AD75">
            <v>5</v>
          </cell>
        </row>
        <row r="76">
          <cell r="AD76">
            <v>45292</v>
          </cell>
        </row>
      </sheetData>
      <sheetData sheetId="8">
        <row r="87">
          <cell r="O87" t="str">
            <v>стоков</v>
          </cell>
          <cell r="P87" t="str">
            <v>VOTV</v>
          </cell>
          <cell r="Q87" t="str">
            <v>водоотведения</v>
          </cell>
          <cell r="U87" t="str">
            <v>1ВО - Тариф на водоотведение</v>
          </cell>
          <cell r="X87" t="str">
            <v>1ВО::1.1</v>
          </cell>
          <cell r="Y87" t="str">
            <v>1ВО</v>
          </cell>
          <cell r="AB87" t="str">
            <v>Водоотведение</v>
          </cell>
          <cell r="AC87" t="str">
            <v>Тариф на водоотведение</v>
          </cell>
          <cell r="AD87" t="str">
            <v>одноставочный</v>
          </cell>
          <cell r="AE87" t="str">
            <v>Приём сточных вод :: Очистка сточных вод :: Транспортировка сточных вод</v>
          </cell>
          <cell r="AK87" t="str">
            <v>без дифференциации</v>
          </cell>
          <cell r="AL87" t="str">
            <v>нет</v>
          </cell>
          <cell r="AM87" t="str">
            <v>да</v>
          </cell>
        </row>
        <row r="88">
          <cell r="Y88" t="str">
            <v>1ВО</v>
          </cell>
        </row>
        <row r="89">
          <cell r="Y89" t="str">
            <v>1ВО</v>
          </cell>
        </row>
        <row r="90">
          <cell r="AB90" t="str">
            <v/>
          </cell>
        </row>
        <row r="93">
          <cell r="X93" t="str">
            <v>Обратить внимание, что при удалении блока может быть ССЫЛКА</v>
          </cell>
          <cell r="Y93" t="str">
            <v>Обратить внимание, что при удалении блока может быть ССЫЛКА</v>
          </cell>
        </row>
        <row r="95">
          <cell r="AK95" t="str">
            <v>Если все без диференциации скрыть BR-CB</v>
          </cell>
        </row>
        <row r="98">
          <cell r="AK98" t="str">
            <v>При выборе "без дифференциации", то нельзя добавить субтариф, все ячейки по субтарифу становятся белыми</v>
          </cell>
        </row>
        <row r="99">
          <cell r="AK99" t="str">
            <v>При выборе "с дифференциацией (одна смета)"  столбцы BU-CB становятся недоступными (белыми), но должна сохраниться возможность добавть субтариф</v>
          </cell>
        </row>
      </sheetData>
      <sheetData sheetId="9"/>
      <sheetData sheetId="10"/>
      <sheetData sheetId="11"/>
      <sheetData sheetId="12"/>
      <sheetData sheetId="13">
        <row r="18">
          <cell r="GM18">
            <v>2017</v>
          </cell>
          <cell r="GN18">
            <v>2018</v>
          </cell>
          <cell r="GO18">
            <v>2019</v>
          </cell>
          <cell r="GP18">
            <v>2020</v>
          </cell>
          <cell r="GQ18">
            <v>2021</v>
          </cell>
          <cell r="GR18">
            <v>2022</v>
          </cell>
          <cell r="GS18">
            <v>2023</v>
          </cell>
          <cell r="GT18">
            <v>2024</v>
          </cell>
          <cell r="GU18">
            <v>2025</v>
          </cell>
          <cell r="GV18">
            <v>2026</v>
          </cell>
          <cell r="GW18">
            <v>2027</v>
          </cell>
          <cell r="GX18">
            <v>2028</v>
          </cell>
          <cell r="GY18">
            <v>2029</v>
          </cell>
          <cell r="GZ18">
            <v>2030</v>
          </cell>
        </row>
        <row r="26">
          <cell r="GM26">
            <v>18</v>
          </cell>
          <cell r="GN26">
            <v>18</v>
          </cell>
          <cell r="GO26">
            <v>20</v>
          </cell>
          <cell r="GP26">
            <v>20</v>
          </cell>
          <cell r="GQ26">
            <v>20</v>
          </cell>
          <cell r="GR26">
            <v>20</v>
          </cell>
          <cell r="GS26">
            <v>20</v>
          </cell>
          <cell r="GT26">
            <v>20</v>
          </cell>
          <cell r="GU26">
            <v>20</v>
          </cell>
          <cell r="GV26">
            <v>20</v>
          </cell>
          <cell r="GW26">
            <v>20</v>
          </cell>
          <cell r="GX26">
            <v>20</v>
          </cell>
          <cell r="GY26">
            <v>20</v>
          </cell>
          <cell r="GZ26">
            <v>20</v>
          </cell>
        </row>
      </sheetData>
      <sheetData sheetId="14">
        <row r="92">
          <cell r="AD92">
            <v>12</v>
          </cell>
          <cell r="AE92">
            <v>12</v>
          </cell>
          <cell r="AG92">
            <v>12</v>
          </cell>
          <cell r="AI92">
            <v>12</v>
          </cell>
          <cell r="AL92">
            <v>12</v>
          </cell>
          <cell r="AM92">
            <v>12</v>
          </cell>
          <cell r="AN92">
            <v>12</v>
          </cell>
          <cell r="AO92">
            <v>12</v>
          </cell>
          <cell r="AT92">
            <v>12</v>
          </cell>
          <cell r="AU92">
            <v>12</v>
          </cell>
          <cell r="AV92">
            <v>12</v>
          </cell>
          <cell r="AW92">
            <v>12</v>
          </cell>
          <cell r="AX92">
            <v>12</v>
          </cell>
          <cell r="AY92">
            <v>12</v>
          </cell>
          <cell r="AZ92">
            <v>12</v>
          </cell>
          <cell r="BA92">
            <v>12</v>
          </cell>
          <cell r="BB92">
            <v>12</v>
          </cell>
        </row>
        <row r="93">
          <cell r="AG93">
            <v>1.06</v>
          </cell>
          <cell r="AH93">
            <v>1.0580000000000001</v>
          </cell>
          <cell r="AJ93">
            <v>1.0720000000000001</v>
          </cell>
          <cell r="AL93">
            <v>1.04</v>
          </cell>
          <cell r="AM93">
            <v>1.04</v>
          </cell>
          <cell r="AN93">
            <v>1.04</v>
          </cell>
          <cell r="AO93">
            <v>1.04</v>
          </cell>
          <cell r="AT93">
            <v>1.06</v>
          </cell>
          <cell r="AU93">
            <v>1.0580000000000001</v>
          </cell>
          <cell r="AV93">
            <v>1.0720000000000001</v>
          </cell>
          <cell r="AW93">
            <v>1.0720000000000001</v>
          </cell>
          <cell r="AX93">
            <v>1.042</v>
          </cell>
          <cell r="AY93">
            <v>1.04</v>
          </cell>
          <cell r="AZ93">
            <v>1.04</v>
          </cell>
          <cell r="BA93">
            <v>1.04</v>
          </cell>
          <cell r="BB93">
            <v>1.04</v>
          </cell>
        </row>
        <row r="95">
          <cell r="AG95">
            <v>1.0900000000000001</v>
          </cell>
          <cell r="AJ95">
            <v>1.091</v>
          </cell>
          <cell r="AK95">
            <v>1.06</v>
          </cell>
          <cell r="AL95">
            <v>1.05</v>
          </cell>
          <cell r="AM95">
            <v>1.05</v>
          </cell>
          <cell r="AN95">
            <v>1.05</v>
          </cell>
          <cell r="AO95">
            <v>1.05</v>
          </cell>
          <cell r="AT95">
            <v>1.0900000000000001</v>
          </cell>
          <cell r="AU95">
            <v>1.0900000000000001</v>
          </cell>
          <cell r="AV95">
            <v>1.091</v>
          </cell>
          <cell r="AW95">
            <v>1.091</v>
          </cell>
          <cell r="AX95">
            <v>1.06</v>
          </cell>
          <cell r="AY95">
            <v>1.05</v>
          </cell>
          <cell r="AZ95">
            <v>1.05</v>
          </cell>
          <cell r="BA95">
            <v>1.05</v>
          </cell>
          <cell r="BB95">
            <v>1.05</v>
          </cell>
        </row>
      </sheetData>
      <sheetData sheetId="15"/>
      <sheetData sheetId="16"/>
      <sheetData sheetId="17">
        <row r="1">
          <cell r="AF1" t="b">
            <v>0</v>
          </cell>
        </row>
        <row r="92">
          <cell r="AB92" t="str">
            <v>Объемы реализации всего</v>
          </cell>
        </row>
        <row r="93">
          <cell r="AB93" t="str">
            <v>по приборам учета</v>
          </cell>
          <cell r="AI93" t="str">
            <v>да</v>
          </cell>
        </row>
        <row r="94">
          <cell r="AB94" t="str">
            <v>по нормативу</v>
          </cell>
          <cell r="AI94" t="str">
            <v>нет</v>
          </cell>
        </row>
        <row r="95">
          <cell r="AB95" t="str">
            <v>Бюджетные потребители</v>
          </cell>
        </row>
        <row r="96">
          <cell r="AB96" t="str">
            <v>бюджетные потребители - по приборам учета</v>
          </cell>
          <cell r="AI96" t="str">
            <v>да</v>
          </cell>
        </row>
        <row r="97">
          <cell r="AB97" t="str">
            <v>бюджетные потребители - по нормативам</v>
          </cell>
          <cell r="AI97" t="str">
            <v>нет</v>
          </cell>
        </row>
        <row r="99">
          <cell r="AB99" t="str">
            <v>Бюджетные потребители #2</v>
          </cell>
          <cell r="AE99" t="str">
            <v>Городской округ город Калининград</v>
          </cell>
          <cell r="AI99" t="str">
            <v>да</v>
          </cell>
        </row>
        <row r="100">
          <cell r="AI100" t="str">
            <v>нет</v>
          </cell>
        </row>
        <row r="101">
          <cell r="AB101" t="str">
            <v>Добавить|REESTR_CONSUMER_ADD_RANGE_CONSUMER</v>
          </cell>
        </row>
        <row r="102">
          <cell r="AB102" t="str">
            <v>Население и приравненные к ним</v>
          </cell>
        </row>
        <row r="103">
          <cell r="AB103" t="str">
            <v>население, исполнители коммунальных услуг - по приборам учета</v>
          </cell>
          <cell r="AI103" t="str">
            <v>да</v>
          </cell>
        </row>
        <row r="104">
          <cell r="AB104" t="str">
            <v>население, исполнители коммунальных услуг - по нормативам</v>
          </cell>
          <cell r="AI104" t="str">
            <v>нет</v>
          </cell>
        </row>
        <row r="105">
          <cell r="AB105" t="str">
            <v>Управляющие компании, ТСЖ и др. (по населению)</v>
          </cell>
        </row>
        <row r="107">
          <cell r="AB107" t="str">
            <v>Добавить|REESTR_CONSUMER_ADD_RANGE_COMP</v>
          </cell>
        </row>
        <row r="108">
          <cell r="AB108" t="str">
            <v>Население</v>
          </cell>
        </row>
        <row r="109">
          <cell r="AB109" t="str">
            <v>население (по приборам учета)</v>
          </cell>
          <cell r="AI109" t="str">
            <v>да</v>
          </cell>
        </row>
        <row r="110">
          <cell r="AB110" t="str">
            <v>население (по нормативу)</v>
          </cell>
          <cell r="AI110" t="str">
            <v>нет</v>
          </cell>
        </row>
        <row r="111">
          <cell r="AB111" t="str">
            <v>Прочие потребители</v>
          </cell>
        </row>
        <row r="112">
          <cell r="AB112" t="str">
            <v>прочие потребители - по приборам учета</v>
          </cell>
          <cell r="AI112" t="str">
            <v>да</v>
          </cell>
        </row>
        <row r="113">
          <cell r="AB113" t="str">
            <v>прочие потребители - по нормативам</v>
          </cell>
          <cell r="AI113" t="str">
            <v>нет</v>
          </cell>
        </row>
        <row r="115">
          <cell r="AB115" t="str">
            <v>Юридические лица и физ. лица, собственники нежилых помещений</v>
          </cell>
          <cell r="AE115" t="str">
            <v>Городской округ город Калининград</v>
          </cell>
          <cell r="AI115" t="str">
            <v>да</v>
          </cell>
        </row>
        <row r="116">
          <cell r="AI116" t="str">
            <v>нет</v>
          </cell>
        </row>
        <row r="117">
          <cell r="AB117" t="str">
            <v>Добавить|REESTR_CONSUMER_ADD_RANGE_OTHER</v>
          </cell>
        </row>
        <row r="118">
          <cell r="AB118" t="str">
            <v>Организации водоотведения</v>
          </cell>
        </row>
        <row r="119">
          <cell r="AB119" t="str">
            <v>Организации водоотведения - по приборам учета</v>
          </cell>
          <cell r="AI119" t="str">
            <v>да</v>
          </cell>
        </row>
        <row r="120">
          <cell r="AB120" t="str">
            <v>Организации водоотведения - по нормативам</v>
          </cell>
          <cell r="AI120" t="str">
            <v>нет</v>
          </cell>
        </row>
        <row r="122">
          <cell r="AB122" t="str">
            <v>ООО "Специализированный застройщик "Еврострой Инвест"::3905041344::390601001</v>
          </cell>
          <cell r="AC122" t="str">
            <v>б/н</v>
          </cell>
          <cell r="AD122">
            <v>42005</v>
          </cell>
          <cell r="AE122" t="str">
            <v>Городской округ город Калининград</v>
          </cell>
          <cell r="AI122" t="str">
            <v>да</v>
          </cell>
        </row>
        <row r="123">
          <cell r="AE123" t="str">
            <v>Городской округ город Калининград</v>
          </cell>
          <cell r="AI123" t="str">
            <v>нет</v>
          </cell>
        </row>
        <row r="124">
          <cell r="AB124" t="str">
            <v>МУП ЖКХ "Гурьевский водоканал"::3917501998::391701001</v>
          </cell>
          <cell r="AC124" t="str">
            <v>23979 п. Родники, а. Невское</v>
          </cell>
          <cell r="AD124">
            <v>44925.376331018517</v>
          </cell>
          <cell r="AE124" t="str">
            <v>Городской округ город Калининград</v>
          </cell>
          <cell r="AI124" t="str">
            <v>да</v>
          </cell>
        </row>
        <row r="125">
          <cell r="AI125" t="str">
            <v>нет</v>
          </cell>
        </row>
        <row r="126">
          <cell r="AB126" t="str">
            <v>Добавить|REESTR_CONSUMER_ADD_RANGE_VO</v>
          </cell>
        </row>
      </sheetData>
      <sheetData sheetId="18"/>
      <sheetData sheetId="19"/>
      <sheetData sheetId="20">
        <row r="97">
          <cell r="BO97">
            <v>39027.551109780099</v>
          </cell>
          <cell r="BP97">
            <v>19513.775554889999</v>
          </cell>
          <cell r="BQ97">
            <v>19513.7755548901</v>
          </cell>
          <cell r="BW97">
            <v>38157.791673</v>
          </cell>
          <cell r="BX97">
            <v>19078.8958365</v>
          </cell>
          <cell r="BY97">
            <v>19078.8958365</v>
          </cell>
          <cell r="CC97">
            <v>37611.42</v>
          </cell>
          <cell r="CD97">
            <v>18805.71</v>
          </cell>
          <cell r="CE97">
            <v>18805.71</v>
          </cell>
          <cell r="CJ97">
            <v>112.012</v>
          </cell>
          <cell r="CK97">
            <v>56.006</v>
          </cell>
          <cell r="CL97">
            <v>56.006</v>
          </cell>
          <cell r="CP97">
            <v>37611.42</v>
          </cell>
          <cell r="CQ97">
            <v>18805.71</v>
          </cell>
          <cell r="CR97">
            <v>18805.71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I97">
            <v>112.54</v>
          </cell>
          <cell r="DJ97">
            <v>56.27</v>
          </cell>
          <cell r="DK97">
            <v>56.27</v>
          </cell>
          <cell r="DL97">
            <v>112.54</v>
          </cell>
          <cell r="DM97">
            <v>56.27</v>
          </cell>
          <cell r="DN97">
            <v>56.27</v>
          </cell>
          <cell r="DO97">
            <v>112.54</v>
          </cell>
          <cell r="DP97">
            <v>56.27</v>
          </cell>
          <cell r="DQ97">
            <v>56.27</v>
          </cell>
          <cell r="DR97">
            <v>112.54</v>
          </cell>
          <cell r="DS97">
            <v>56.27</v>
          </cell>
          <cell r="DT97">
            <v>56.27</v>
          </cell>
          <cell r="DU97">
            <v>112.54</v>
          </cell>
          <cell r="DV97">
            <v>56.27</v>
          </cell>
          <cell r="DW97">
            <v>56.27</v>
          </cell>
        </row>
        <row r="98">
          <cell r="BO98">
            <v>0</v>
          </cell>
          <cell r="BW98">
            <v>0</v>
          </cell>
          <cell r="CC98">
            <v>0</v>
          </cell>
          <cell r="CJ98">
            <v>0</v>
          </cell>
          <cell r="CP98">
            <v>0</v>
          </cell>
          <cell r="DL98">
            <v>0</v>
          </cell>
          <cell r="DO98">
            <v>0</v>
          </cell>
          <cell r="DR98">
            <v>0</v>
          </cell>
          <cell r="DU98">
            <v>0</v>
          </cell>
        </row>
        <row r="103">
          <cell r="BO103">
            <v>3469.6916438520998</v>
          </cell>
          <cell r="BW103">
            <v>2980.677995</v>
          </cell>
          <cell r="CC103">
            <v>2716.33</v>
          </cell>
          <cell r="CP103">
            <v>2716.33</v>
          </cell>
          <cell r="DL103">
            <v>0</v>
          </cell>
          <cell r="DO103">
            <v>0</v>
          </cell>
          <cell r="DR103">
            <v>0</v>
          </cell>
          <cell r="DU103">
            <v>0</v>
          </cell>
        </row>
        <row r="106">
          <cell r="BO106">
            <v>30577.416065698199</v>
          </cell>
          <cell r="BW106">
            <v>30125.443455000001</v>
          </cell>
          <cell r="CC106">
            <v>29958.87</v>
          </cell>
          <cell r="CP106">
            <v>29958.87</v>
          </cell>
          <cell r="DL106">
            <v>0</v>
          </cell>
          <cell r="DO106">
            <v>0</v>
          </cell>
          <cell r="DR106">
            <v>0</v>
          </cell>
          <cell r="DU106">
            <v>0</v>
          </cell>
        </row>
        <row r="111">
          <cell r="BO111">
            <v>4883.5934002298</v>
          </cell>
          <cell r="BW111">
            <v>4872.9272230000006</v>
          </cell>
          <cell r="CC111">
            <v>4839.37</v>
          </cell>
          <cell r="CP111">
            <v>4839.37</v>
          </cell>
          <cell r="DL111">
            <v>0</v>
          </cell>
          <cell r="DO111">
            <v>0</v>
          </cell>
          <cell r="DR111">
            <v>0</v>
          </cell>
          <cell r="DU111">
            <v>0</v>
          </cell>
        </row>
        <row r="114">
          <cell r="BO114">
            <v>96.85</v>
          </cell>
          <cell r="BW114">
            <v>178.74299999999999</v>
          </cell>
          <cell r="CC114">
            <v>96.85</v>
          </cell>
          <cell r="CJ114">
            <v>112.012</v>
          </cell>
          <cell r="CP114">
            <v>96.85</v>
          </cell>
          <cell r="CV114">
            <v>0</v>
          </cell>
          <cell r="CY114">
            <v>0</v>
          </cell>
          <cell r="DB114">
            <v>0</v>
          </cell>
          <cell r="DE114">
            <v>0</v>
          </cell>
          <cell r="DI114">
            <v>112.54</v>
          </cell>
          <cell r="DL114">
            <v>112.54</v>
          </cell>
          <cell r="DO114">
            <v>112.54</v>
          </cell>
          <cell r="DR114">
            <v>112.54</v>
          </cell>
          <cell r="DU114">
            <v>112.54</v>
          </cell>
        </row>
        <row r="119">
          <cell r="BO119">
            <v>15931.075543749999</v>
          </cell>
          <cell r="BW119">
            <v>23264.988000000001</v>
          </cell>
          <cell r="CC119">
            <v>15931.07554</v>
          </cell>
          <cell r="CP119">
            <v>15931.07554</v>
          </cell>
          <cell r="DL119">
            <v>0</v>
          </cell>
          <cell r="DO119">
            <v>0</v>
          </cell>
          <cell r="DR119">
            <v>0</v>
          </cell>
          <cell r="DU119">
            <v>0</v>
          </cell>
        </row>
        <row r="123">
          <cell r="BO123">
            <v>54997.446653530096</v>
          </cell>
          <cell r="BW123">
            <v>58659.491999999998</v>
          </cell>
          <cell r="CC123">
            <v>50643.702130000005</v>
          </cell>
          <cell r="CJ123">
            <v>0</v>
          </cell>
          <cell r="CP123">
            <v>50643.702130000005</v>
          </cell>
          <cell r="CV123">
            <v>0</v>
          </cell>
          <cell r="CY123">
            <v>0</v>
          </cell>
          <cell r="DB123">
            <v>0</v>
          </cell>
          <cell r="DE123">
            <v>0</v>
          </cell>
          <cell r="DI123">
            <v>0</v>
          </cell>
          <cell r="DL123">
            <v>0</v>
          </cell>
          <cell r="DO123">
            <v>0</v>
          </cell>
          <cell r="DR123">
            <v>0</v>
          </cell>
          <cell r="DU123">
            <v>0</v>
          </cell>
        </row>
        <row r="124">
          <cell r="BO124">
            <v>54941.126653530097</v>
          </cell>
          <cell r="BW124">
            <v>58626.417000000001</v>
          </cell>
          <cell r="CC124">
            <v>50612.762130000003</v>
          </cell>
          <cell r="CP124">
            <v>50612.762130000003</v>
          </cell>
          <cell r="DL124">
            <v>0</v>
          </cell>
          <cell r="DO124">
            <v>0</v>
          </cell>
          <cell r="DR124">
            <v>0</v>
          </cell>
          <cell r="DU124">
            <v>0</v>
          </cell>
        </row>
        <row r="125">
          <cell r="BO125">
            <v>56.32</v>
          </cell>
          <cell r="BW125">
            <v>33.075000000000003</v>
          </cell>
          <cell r="CC125">
            <v>30.939999999999998</v>
          </cell>
          <cell r="CJ125">
            <v>0</v>
          </cell>
          <cell r="CP125">
            <v>30.939999999999998</v>
          </cell>
          <cell r="CV125">
            <v>0</v>
          </cell>
          <cell r="CY125">
            <v>0</v>
          </cell>
          <cell r="DB125">
            <v>0</v>
          </cell>
          <cell r="DE125">
            <v>0</v>
          </cell>
          <cell r="DI125">
            <v>0</v>
          </cell>
          <cell r="DL125">
            <v>0</v>
          </cell>
          <cell r="DO125">
            <v>0</v>
          </cell>
          <cell r="DR125">
            <v>0</v>
          </cell>
          <cell r="DU125">
            <v>0</v>
          </cell>
        </row>
        <row r="138">
          <cell r="BO138">
            <v>54958.626653530097</v>
          </cell>
          <cell r="BW138">
            <v>61389.705000000002</v>
          </cell>
          <cell r="CC138">
            <v>53511.555544000003</v>
          </cell>
          <cell r="CP138">
            <v>53511.555544000003</v>
          </cell>
          <cell r="DL138">
            <v>0</v>
          </cell>
          <cell r="DO138">
            <v>0</v>
          </cell>
          <cell r="DR138">
            <v>0</v>
          </cell>
          <cell r="DU138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92">
          <cell r="AW92">
            <v>0</v>
          </cell>
          <cell r="BC92">
            <v>0</v>
          </cell>
          <cell r="BG92">
            <v>0</v>
          </cell>
          <cell r="BI92">
            <v>0</v>
          </cell>
          <cell r="BK92">
            <v>0</v>
          </cell>
          <cell r="BM92">
            <v>0</v>
          </cell>
          <cell r="BO92">
            <v>0</v>
          </cell>
          <cell r="BQ92">
            <v>0</v>
          </cell>
          <cell r="BS92">
            <v>0</v>
          </cell>
          <cell r="BU92">
            <v>0</v>
          </cell>
          <cell r="BW92">
            <v>0</v>
          </cell>
        </row>
        <row r="93">
          <cell r="BB93">
            <v>1854.61</v>
          </cell>
          <cell r="BC93">
            <v>0</v>
          </cell>
          <cell r="BF93">
            <v>1854.61</v>
          </cell>
          <cell r="BG93">
            <v>0</v>
          </cell>
          <cell r="BJ93">
            <v>1854.61</v>
          </cell>
          <cell r="BK93">
            <v>0</v>
          </cell>
          <cell r="BN93">
            <v>1854.61</v>
          </cell>
          <cell r="BO93">
            <v>0</v>
          </cell>
          <cell r="BR93">
            <v>1854.61</v>
          </cell>
          <cell r="BS93">
            <v>0</v>
          </cell>
          <cell r="BV93">
            <v>1854.61</v>
          </cell>
          <cell r="BW93">
            <v>0</v>
          </cell>
        </row>
        <row r="95">
          <cell r="BB95">
            <v>28.984000000000002</v>
          </cell>
          <cell r="BC95">
            <v>0</v>
          </cell>
          <cell r="BF95">
            <v>28.984000000000002</v>
          </cell>
          <cell r="BG95">
            <v>0</v>
          </cell>
          <cell r="BJ95">
            <v>28.984000000000002</v>
          </cell>
          <cell r="BK95">
            <v>0</v>
          </cell>
          <cell r="BN95">
            <v>28.984000000000002</v>
          </cell>
          <cell r="BO95">
            <v>0</v>
          </cell>
          <cell r="BR95">
            <v>28.984000000000002</v>
          </cell>
          <cell r="BS95">
            <v>0</v>
          </cell>
          <cell r="BV95">
            <v>28.984000000000002</v>
          </cell>
          <cell r="BW95">
            <v>0</v>
          </cell>
        </row>
        <row r="96">
          <cell r="BB96">
            <v>1.1890000000000001</v>
          </cell>
          <cell r="BC96">
            <v>0</v>
          </cell>
          <cell r="BF96">
            <v>1.1890000000000001</v>
          </cell>
          <cell r="BG96">
            <v>0</v>
          </cell>
          <cell r="BJ96">
            <v>1.1890000000000001</v>
          </cell>
          <cell r="BK96">
            <v>0</v>
          </cell>
          <cell r="BN96">
            <v>1.1890000000000001</v>
          </cell>
          <cell r="BO96">
            <v>0</v>
          </cell>
          <cell r="BR96">
            <v>1.1890000000000001</v>
          </cell>
          <cell r="BS96">
            <v>0</v>
          </cell>
          <cell r="BV96">
            <v>1.1890000000000001</v>
          </cell>
          <cell r="BW96">
            <v>0</v>
          </cell>
        </row>
        <row r="97">
          <cell r="BB97">
            <v>0.49099999999999999</v>
          </cell>
          <cell r="BC97">
            <v>0</v>
          </cell>
          <cell r="BF97">
            <v>0.49099999999999999</v>
          </cell>
          <cell r="BG97">
            <v>0</v>
          </cell>
          <cell r="BJ97">
            <v>0.49099999999999999</v>
          </cell>
          <cell r="BK97">
            <v>0</v>
          </cell>
          <cell r="BN97">
            <v>0.49099999999999999</v>
          </cell>
          <cell r="BO97">
            <v>0</v>
          </cell>
          <cell r="BR97">
            <v>0.49099999999999999</v>
          </cell>
          <cell r="BS97">
            <v>0</v>
          </cell>
          <cell r="BV97">
            <v>0.49099999999999999</v>
          </cell>
          <cell r="BW97">
            <v>0</v>
          </cell>
        </row>
        <row r="98">
          <cell r="BB98">
            <v>6.5449999999999999</v>
          </cell>
          <cell r="BC98">
            <v>0</v>
          </cell>
          <cell r="BF98">
            <v>6.5449999999999999</v>
          </cell>
          <cell r="BG98">
            <v>0</v>
          </cell>
          <cell r="BJ98">
            <v>6.5449999999999999</v>
          </cell>
          <cell r="BK98">
            <v>0</v>
          </cell>
          <cell r="BN98">
            <v>6.5449999999999999</v>
          </cell>
          <cell r="BO98">
            <v>0</v>
          </cell>
          <cell r="BR98">
            <v>6.5449999999999999</v>
          </cell>
          <cell r="BS98">
            <v>0</v>
          </cell>
          <cell r="BV98">
            <v>6.5449999999999999</v>
          </cell>
          <cell r="BW98">
            <v>0</v>
          </cell>
        </row>
        <row r="99">
          <cell r="BB99">
            <v>0.23499999999999999</v>
          </cell>
          <cell r="BC99">
            <v>0</v>
          </cell>
          <cell r="BF99">
            <v>0.23499999999999999</v>
          </cell>
          <cell r="BG99">
            <v>0</v>
          </cell>
          <cell r="BJ99">
            <v>0.23499999999999999</v>
          </cell>
          <cell r="BK99">
            <v>0</v>
          </cell>
          <cell r="BN99">
            <v>0.23499999999999999</v>
          </cell>
          <cell r="BO99">
            <v>0</v>
          </cell>
          <cell r="BR99">
            <v>0.23499999999999999</v>
          </cell>
          <cell r="BS99">
            <v>0</v>
          </cell>
          <cell r="BV99">
            <v>0.23499999999999999</v>
          </cell>
          <cell r="BW99">
            <v>0</v>
          </cell>
        </row>
        <row r="100">
          <cell r="BB100">
            <v>121.38</v>
          </cell>
          <cell r="BC100">
            <v>0</v>
          </cell>
          <cell r="BF100">
            <v>121.38</v>
          </cell>
          <cell r="BG100">
            <v>0</v>
          </cell>
          <cell r="BJ100">
            <v>121.38</v>
          </cell>
          <cell r="BK100">
            <v>0</v>
          </cell>
          <cell r="BN100">
            <v>121.38</v>
          </cell>
          <cell r="BO100">
            <v>0</v>
          </cell>
          <cell r="BR100">
            <v>121.38</v>
          </cell>
          <cell r="BS100">
            <v>0</v>
          </cell>
          <cell r="BV100">
            <v>121.38</v>
          </cell>
          <cell r="BW100">
            <v>0</v>
          </cell>
        </row>
        <row r="101">
          <cell r="BB101">
            <v>82.231999999999999</v>
          </cell>
          <cell r="BC101">
            <v>0</v>
          </cell>
          <cell r="BF101">
            <v>82.231999999999999</v>
          </cell>
          <cell r="BG101">
            <v>0</v>
          </cell>
          <cell r="BJ101">
            <v>82.231999999999999</v>
          </cell>
          <cell r="BK101">
            <v>0</v>
          </cell>
          <cell r="BN101">
            <v>82.231999999999999</v>
          </cell>
          <cell r="BO101">
            <v>0</v>
          </cell>
          <cell r="BR101">
            <v>82.231999999999999</v>
          </cell>
          <cell r="BS101">
            <v>0</v>
          </cell>
          <cell r="BV101">
            <v>82.231999999999999</v>
          </cell>
          <cell r="BW101">
            <v>0</v>
          </cell>
        </row>
        <row r="102">
          <cell r="BB102">
            <v>7.649</v>
          </cell>
          <cell r="BC102">
            <v>0</v>
          </cell>
          <cell r="BF102">
            <v>7.649</v>
          </cell>
          <cell r="BG102">
            <v>0</v>
          </cell>
          <cell r="BJ102">
            <v>7.649</v>
          </cell>
          <cell r="BK102">
            <v>0</v>
          </cell>
          <cell r="BN102">
            <v>7.649</v>
          </cell>
          <cell r="BO102">
            <v>0</v>
          </cell>
          <cell r="BR102">
            <v>7.649</v>
          </cell>
          <cell r="BS102">
            <v>0</v>
          </cell>
          <cell r="BV102">
            <v>7.649</v>
          </cell>
          <cell r="BW102">
            <v>0</v>
          </cell>
        </row>
        <row r="103">
          <cell r="BB103">
            <v>0.55800000000000005</v>
          </cell>
          <cell r="BC103">
            <v>0</v>
          </cell>
          <cell r="BF103">
            <v>0.55800000000000005</v>
          </cell>
          <cell r="BG103">
            <v>0</v>
          </cell>
          <cell r="BJ103">
            <v>0.55800000000000005</v>
          </cell>
          <cell r="BK103">
            <v>0</v>
          </cell>
          <cell r="BN103">
            <v>0.55800000000000005</v>
          </cell>
          <cell r="BO103">
            <v>0</v>
          </cell>
          <cell r="BR103">
            <v>0.55800000000000005</v>
          </cell>
          <cell r="BS103">
            <v>0</v>
          </cell>
          <cell r="BV103">
            <v>0.55800000000000005</v>
          </cell>
          <cell r="BW103">
            <v>0</v>
          </cell>
        </row>
        <row r="104">
          <cell r="BB104">
            <v>6.6790000000000003</v>
          </cell>
          <cell r="BC104">
            <v>0</v>
          </cell>
          <cell r="BF104">
            <v>6.6790000000000003</v>
          </cell>
          <cell r="BG104">
            <v>0</v>
          </cell>
          <cell r="BJ104">
            <v>6.6790000000000003</v>
          </cell>
          <cell r="BK104">
            <v>0</v>
          </cell>
          <cell r="BN104">
            <v>6.6790000000000003</v>
          </cell>
          <cell r="BO104">
            <v>0</v>
          </cell>
          <cell r="BR104">
            <v>6.6790000000000003</v>
          </cell>
          <cell r="BS104">
            <v>0</v>
          </cell>
          <cell r="BV104">
            <v>6.6790000000000003</v>
          </cell>
          <cell r="BW104">
            <v>0</v>
          </cell>
        </row>
        <row r="105">
          <cell r="BB105">
            <v>0.104</v>
          </cell>
          <cell r="BC105">
            <v>0</v>
          </cell>
          <cell r="BF105">
            <v>0.104</v>
          </cell>
          <cell r="BG105">
            <v>0</v>
          </cell>
          <cell r="BJ105">
            <v>0.104</v>
          </cell>
          <cell r="BK105">
            <v>0</v>
          </cell>
          <cell r="BN105">
            <v>0.104</v>
          </cell>
          <cell r="BO105">
            <v>0</v>
          </cell>
          <cell r="BR105">
            <v>0.104</v>
          </cell>
          <cell r="BS105">
            <v>0</v>
          </cell>
          <cell r="BV105">
            <v>0.104</v>
          </cell>
          <cell r="BW105">
            <v>0</v>
          </cell>
        </row>
        <row r="106">
          <cell r="BB106">
            <v>164.488</v>
          </cell>
          <cell r="BC106">
            <v>0</v>
          </cell>
          <cell r="BF106">
            <v>164.488</v>
          </cell>
          <cell r="BG106">
            <v>0</v>
          </cell>
          <cell r="BJ106">
            <v>164.488</v>
          </cell>
          <cell r="BK106">
            <v>0</v>
          </cell>
          <cell r="BN106">
            <v>164.488</v>
          </cell>
          <cell r="BO106">
            <v>0</v>
          </cell>
          <cell r="BR106">
            <v>164.488</v>
          </cell>
          <cell r="BS106">
            <v>0</v>
          </cell>
          <cell r="BV106">
            <v>164.488</v>
          </cell>
          <cell r="BW106">
            <v>0</v>
          </cell>
        </row>
        <row r="107">
          <cell r="BB107">
            <v>45.070999999999998</v>
          </cell>
          <cell r="BC107">
            <v>0</v>
          </cell>
          <cell r="BF107">
            <v>45.070999999999998</v>
          </cell>
          <cell r="BG107">
            <v>0</v>
          </cell>
          <cell r="BJ107">
            <v>45.070999999999998</v>
          </cell>
          <cell r="BK107">
            <v>0</v>
          </cell>
          <cell r="BN107">
            <v>45.070999999999998</v>
          </cell>
          <cell r="BO107">
            <v>0</v>
          </cell>
          <cell r="BR107">
            <v>45.070999999999998</v>
          </cell>
          <cell r="BS107">
            <v>0</v>
          </cell>
          <cell r="BV107">
            <v>45.070999999999998</v>
          </cell>
          <cell r="BW107">
            <v>0</v>
          </cell>
        </row>
        <row r="108">
          <cell r="BB108">
            <v>1.8440000000000001</v>
          </cell>
          <cell r="BC108">
            <v>0</v>
          </cell>
          <cell r="BF108">
            <v>1.8440000000000001</v>
          </cell>
          <cell r="BG108">
            <v>0</v>
          </cell>
          <cell r="BJ108">
            <v>1.8440000000000001</v>
          </cell>
          <cell r="BK108">
            <v>0</v>
          </cell>
          <cell r="BN108">
            <v>1.8440000000000001</v>
          </cell>
          <cell r="BO108">
            <v>0</v>
          </cell>
          <cell r="BR108">
            <v>1.8440000000000001</v>
          </cell>
          <cell r="BS108">
            <v>0</v>
          </cell>
          <cell r="BV108">
            <v>1.8440000000000001</v>
          </cell>
          <cell r="BW108">
            <v>0</v>
          </cell>
        </row>
        <row r="109">
          <cell r="BB109">
            <v>1.575</v>
          </cell>
          <cell r="BC109">
            <v>0</v>
          </cell>
          <cell r="BF109">
            <v>1.575</v>
          </cell>
          <cell r="BG109">
            <v>0</v>
          </cell>
          <cell r="BJ109">
            <v>1.575</v>
          </cell>
          <cell r="BK109">
            <v>0</v>
          </cell>
          <cell r="BN109">
            <v>1.575</v>
          </cell>
          <cell r="BO109">
            <v>0</v>
          </cell>
          <cell r="BR109">
            <v>1.575</v>
          </cell>
          <cell r="BS109">
            <v>0</v>
          </cell>
          <cell r="BV109">
            <v>1.575</v>
          </cell>
          <cell r="BW109">
            <v>0</v>
          </cell>
        </row>
        <row r="110">
          <cell r="BB110">
            <v>8.91</v>
          </cell>
          <cell r="BC110">
            <v>0</v>
          </cell>
          <cell r="BF110">
            <v>8.91</v>
          </cell>
          <cell r="BG110">
            <v>0</v>
          </cell>
          <cell r="BJ110">
            <v>8.91</v>
          </cell>
          <cell r="BK110">
            <v>0</v>
          </cell>
          <cell r="BN110">
            <v>8.91</v>
          </cell>
          <cell r="BO110">
            <v>0</v>
          </cell>
          <cell r="BR110">
            <v>8.91</v>
          </cell>
          <cell r="BS110">
            <v>0</v>
          </cell>
          <cell r="BV110">
            <v>8.91</v>
          </cell>
          <cell r="BW110">
            <v>0</v>
          </cell>
        </row>
        <row r="111">
          <cell r="BB111">
            <v>0.33600000000000002</v>
          </cell>
          <cell r="BC111">
            <v>0</v>
          </cell>
          <cell r="BF111">
            <v>0.33600000000000002</v>
          </cell>
          <cell r="BG111">
            <v>0</v>
          </cell>
          <cell r="BJ111">
            <v>0.33600000000000002</v>
          </cell>
          <cell r="BK111">
            <v>0</v>
          </cell>
          <cell r="BN111">
            <v>0.33600000000000002</v>
          </cell>
          <cell r="BO111">
            <v>0</v>
          </cell>
          <cell r="BR111">
            <v>0.33600000000000002</v>
          </cell>
          <cell r="BS111">
            <v>0</v>
          </cell>
          <cell r="BV111">
            <v>0.33600000000000002</v>
          </cell>
          <cell r="BW111">
            <v>0</v>
          </cell>
        </row>
        <row r="112">
          <cell r="BB112">
            <v>71.254999999999995</v>
          </cell>
          <cell r="BC112">
            <v>0</v>
          </cell>
          <cell r="BF112">
            <v>71.254999999999995</v>
          </cell>
          <cell r="BG112">
            <v>0</v>
          </cell>
          <cell r="BJ112">
            <v>71.254999999999995</v>
          </cell>
          <cell r="BK112">
            <v>0</v>
          </cell>
          <cell r="BN112">
            <v>71.254999999999995</v>
          </cell>
          <cell r="BO112">
            <v>0</v>
          </cell>
          <cell r="BR112">
            <v>71.254999999999995</v>
          </cell>
          <cell r="BS112">
            <v>0</v>
          </cell>
          <cell r="BV112">
            <v>71.254999999999995</v>
          </cell>
          <cell r="BW112">
            <v>0</v>
          </cell>
        </row>
        <row r="113">
          <cell r="BB113">
            <v>9.7840000000000007</v>
          </cell>
          <cell r="BC113">
            <v>0</v>
          </cell>
          <cell r="BF113">
            <v>9.7840000000000007</v>
          </cell>
          <cell r="BG113">
            <v>0</v>
          </cell>
          <cell r="BJ113">
            <v>9.7840000000000007</v>
          </cell>
          <cell r="BK113">
            <v>0</v>
          </cell>
          <cell r="BN113">
            <v>9.7840000000000007</v>
          </cell>
          <cell r="BO113">
            <v>0</v>
          </cell>
          <cell r="BR113">
            <v>9.7840000000000007</v>
          </cell>
          <cell r="BS113">
            <v>0</v>
          </cell>
          <cell r="BV113">
            <v>9.7840000000000007</v>
          </cell>
          <cell r="BW113">
            <v>0</v>
          </cell>
        </row>
        <row r="114">
          <cell r="BB114">
            <v>4.4889999999999999</v>
          </cell>
          <cell r="BC114">
            <v>0</v>
          </cell>
          <cell r="BF114">
            <v>4.4889999999999999</v>
          </cell>
          <cell r="BG114">
            <v>0</v>
          </cell>
          <cell r="BJ114">
            <v>4.4889999999999999</v>
          </cell>
          <cell r="BK114">
            <v>0</v>
          </cell>
          <cell r="BN114">
            <v>4.4889999999999999</v>
          </cell>
          <cell r="BO114">
            <v>0</v>
          </cell>
          <cell r="BR114">
            <v>4.4889999999999999</v>
          </cell>
          <cell r="BS114">
            <v>0</v>
          </cell>
          <cell r="BV114">
            <v>4.4889999999999999</v>
          </cell>
          <cell r="BW114">
            <v>0</v>
          </cell>
        </row>
        <row r="115">
          <cell r="BB115">
            <v>1.9750000000000001</v>
          </cell>
          <cell r="BC115">
            <v>0</v>
          </cell>
          <cell r="BF115">
            <v>1.9750000000000001</v>
          </cell>
          <cell r="BG115">
            <v>0</v>
          </cell>
          <cell r="BJ115">
            <v>1.9750000000000001</v>
          </cell>
          <cell r="BK115">
            <v>0</v>
          </cell>
          <cell r="BN115">
            <v>1.9750000000000001</v>
          </cell>
          <cell r="BO115">
            <v>0</v>
          </cell>
          <cell r="BR115">
            <v>1.9750000000000001</v>
          </cell>
          <cell r="BS115">
            <v>0</v>
          </cell>
          <cell r="BV115">
            <v>1.9750000000000001</v>
          </cell>
          <cell r="BW115">
            <v>0</v>
          </cell>
        </row>
        <row r="116">
          <cell r="BB116">
            <v>46.76</v>
          </cell>
          <cell r="BC116">
            <v>0</v>
          </cell>
          <cell r="BF116">
            <v>46.76</v>
          </cell>
          <cell r="BG116">
            <v>0</v>
          </cell>
          <cell r="BJ116">
            <v>46.76</v>
          </cell>
          <cell r="BK116">
            <v>0</v>
          </cell>
          <cell r="BN116">
            <v>46.76</v>
          </cell>
          <cell r="BO116">
            <v>0</v>
          </cell>
          <cell r="BR116">
            <v>46.76</v>
          </cell>
          <cell r="BS116">
            <v>0</v>
          </cell>
          <cell r="BV116">
            <v>46.76</v>
          </cell>
          <cell r="BW116">
            <v>0</v>
          </cell>
        </row>
        <row r="117">
          <cell r="BB117">
            <v>12.577</v>
          </cell>
          <cell r="BC117">
            <v>0</v>
          </cell>
          <cell r="BF117">
            <v>12.577</v>
          </cell>
          <cell r="BG117">
            <v>0</v>
          </cell>
          <cell r="BJ117">
            <v>12.577</v>
          </cell>
          <cell r="BK117">
            <v>0</v>
          </cell>
          <cell r="BN117">
            <v>12.577</v>
          </cell>
          <cell r="BO117">
            <v>0</v>
          </cell>
          <cell r="BR117">
            <v>12.577</v>
          </cell>
          <cell r="BS117">
            <v>0</v>
          </cell>
          <cell r="BV117">
            <v>12.577</v>
          </cell>
          <cell r="BW117">
            <v>0</v>
          </cell>
        </row>
        <row r="118">
          <cell r="BB118">
            <v>4.4139999999999997</v>
          </cell>
          <cell r="BC118">
            <v>0</v>
          </cell>
          <cell r="BF118">
            <v>4.4139999999999997</v>
          </cell>
          <cell r="BG118">
            <v>0</v>
          </cell>
          <cell r="BJ118">
            <v>4.4139999999999997</v>
          </cell>
          <cell r="BK118">
            <v>0</v>
          </cell>
          <cell r="BN118">
            <v>4.4139999999999997</v>
          </cell>
          <cell r="BO118">
            <v>0</v>
          </cell>
          <cell r="BR118">
            <v>4.4139999999999997</v>
          </cell>
          <cell r="BS118">
            <v>0</v>
          </cell>
          <cell r="BV118">
            <v>4.4139999999999997</v>
          </cell>
          <cell r="BW118">
            <v>0</v>
          </cell>
        </row>
        <row r="119">
          <cell r="BB119">
            <v>3.1219999999999999</v>
          </cell>
          <cell r="BC119">
            <v>0</v>
          </cell>
          <cell r="BF119">
            <v>3.1219999999999999</v>
          </cell>
          <cell r="BG119">
            <v>0</v>
          </cell>
          <cell r="BJ119">
            <v>3.1219999999999999</v>
          </cell>
          <cell r="BK119">
            <v>0</v>
          </cell>
          <cell r="BN119">
            <v>3.1219999999999999</v>
          </cell>
          <cell r="BO119">
            <v>0</v>
          </cell>
          <cell r="BR119">
            <v>3.1219999999999999</v>
          </cell>
          <cell r="BS119">
            <v>0</v>
          </cell>
          <cell r="BV119">
            <v>3.1219999999999999</v>
          </cell>
          <cell r="BW119">
            <v>0</v>
          </cell>
        </row>
        <row r="120">
          <cell r="BB120">
            <v>13.295</v>
          </cell>
          <cell r="BC120">
            <v>0</v>
          </cell>
          <cell r="BF120">
            <v>13.295</v>
          </cell>
          <cell r="BG120">
            <v>0</v>
          </cell>
          <cell r="BJ120">
            <v>13.295</v>
          </cell>
          <cell r="BK120">
            <v>0</v>
          </cell>
          <cell r="BN120">
            <v>13.295</v>
          </cell>
          <cell r="BO120">
            <v>0</v>
          </cell>
          <cell r="BR120">
            <v>13.295</v>
          </cell>
          <cell r="BS120">
            <v>0</v>
          </cell>
          <cell r="BV120">
            <v>13.295</v>
          </cell>
          <cell r="BW120">
            <v>0</v>
          </cell>
        </row>
        <row r="121">
          <cell r="BB121">
            <v>0.33600000000000002</v>
          </cell>
          <cell r="BC121">
            <v>0</v>
          </cell>
          <cell r="BF121">
            <v>0.33600000000000002</v>
          </cell>
          <cell r="BG121">
            <v>0</v>
          </cell>
          <cell r="BJ121">
            <v>0.33600000000000002</v>
          </cell>
          <cell r="BK121">
            <v>0</v>
          </cell>
          <cell r="BN121">
            <v>0.33600000000000002</v>
          </cell>
          <cell r="BO121">
            <v>0</v>
          </cell>
          <cell r="BR121">
            <v>0.33600000000000002</v>
          </cell>
          <cell r="BS121">
            <v>0</v>
          </cell>
          <cell r="BV121">
            <v>0.33600000000000002</v>
          </cell>
          <cell r="BW121">
            <v>0</v>
          </cell>
        </row>
        <row r="122">
          <cell r="BB122">
            <v>18.579000000000001</v>
          </cell>
          <cell r="BC122">
            <v>0</v>
          </cell>
          <cell r="BF122">
            <v>18.579000000000001</v>
          </cell>
          <cell r="BG122">
            <v>0</v>
          </cell>
          <cell r="BJ122">
            <v>18.579000000000001</v>
          </cell>
          <cell r="BK122">
            <v>0</v>
          </cell>
          <cell r="BN122">
            <v>18.579000000000001</v>
          </cell>
          <cell r="BO122">
            <v>0</v>
          </cell>
          <cell r="BR122">
            <v>18.579000000000001</v>
          </cell>
          <cell r="BS122">
            <v>0</v>
          </cell>
          <cell r="BV122">
            <v>18.579000000000001</v>
          </cell>
          <cell r="BW122">
            <v>0</v>
          </cell>
        </row>
        <row r="123">
          <cell r="BB123">
            <v>15.29</v>
          </cell>
          <cell r="BC123">
            <v>0</v>
          </cell>
          <cell r="BF123">
            <v>15.29</v>
          </cell>
          <cell r="BG123">
            <v>0</v>
          </cell>
          <cell r="BJ123">
            <v>15.29</v>
          </cell>
          <cell r="BK123">
            <v>0</v>
          </cell>
          <cell r="BN123">
            <v>15.29</v>
          </cell>
          <cell r="BO123">
            <v>0</v>
          </cell>
          <cell r="BR123">
            <v>15.29</v>
          </cell>
          <cell r="BS123">
            <v>0</v>
          </cell>
          <cell r="BV123">
            <v>15.29</v>
          </cell>
          <cell r="BW123">
            <v>0</v>
          </cell>
        </row>
        <row r="124">
          <cell r="BB124">
            <v>14.64</v>
          </cell>
          <cell r="BC124">
            <v>0</v>
          </cell>
          <cell r="BF124">
            <v>14.64</v>
          </cell>
          <cell r="BG124">
            <v>0</v>
          </cell>
          <cell r="BJ124">
            <v>14.64</v>
          </cell>
          <cell r="BK124">
            <v>0</v>
          </cell>
          <cell r="BN124">
            <v>14.64</v>
          </cell>
          <cell r="BO124">
            <v>0</v>
          </cell>
          <cell r="BR124">
            <v>14.64</v>
          </cell>
          <cell r="BS124">
            <v>0</v>
          </cell>
          <cell r="BV124">
            <v>14.64</v>
          </cell>
          <cell r="BW124">
            <v>0</v>
          </cell>
        </row>
        <row r="125">
          <cell r="BB125">
            <v>1.6279999999999999</v>
          </cell>
          <cell r="BC125">
            <v>0</v>
          </cell>
          <cell r="BF125">
            <v>1.6279999999999999</v>
          </cell>
          <cell r="BG125">
            <v>0</v>
          </cell>
          <cell r="BJ125">
            <v>1.6279999999999999</v>
          </cell>
          <cell r="BK125">
            <v>0</v>
          </cell>
          <cell r="BN125">
            <v>1.6279999999999999</v>
          </cell>
          <cell r="BO125">
            <v>0</v>
          </cell>
          <cell r="BR125">
            <v>1.6279999999999999</v>
          </cell>
          <cell r="BS125">
            <v>0</v>
          </cell>
          <cell r="BV125">
            <v>1.6279999999999999</v>
          </cell>
          <cell r="BW125">
            <v>0</v>
          </cell>
        </row>
        <row r="126">
          <cell r="BB126">
            <v>2.1669999999999998</v>
          </cell>
          <cell r="BC126">
            <v>0</v>
          </cell>
          <cell r="BF126">
            <v>2.1669999999999998</v>
          </cell>
          <cell r="BG126">
            <v>0</v>
          </cell>
          <cell r="BJ126">
            <v>2.1669999999999998</v>
          </cell>
          <cell r="BK126">
            <v>0</v>
          </cell>
          <cell r="BN126">
            <v>2.1669999999999998</v>
          </cell>
          <cell r="BO126">
            <v>0</v>
          </cell>
          <cell r="BR126">
            <v>2.1669999999999998</v>
          </cell>
          <cell r="BS126">
            <v>0</v>
          </cell>
          <cell r="BV126">
            <v>2.1669999999999998</v>
          </cell>
          <cell r="BW126">
            <v>0</v>
          </cell>
        </row>
        <row r="127">
          <cell r="BB127">
            <v>7.09</v>
          </cell>
          <cell r="BC127">
            <v>0</v>
          </cell>
          <cell r="BF127">
            <v>7.09</v>
          </cell>
          <cell r="BG127">
            <v>0</v>
          </cell>
          <cell r="BJ127">
            <v>7.09</v>
          </cell>
          <cell r="BK127">
            <v>0</v>
          </cell>
          <cell r="BN127">
            <v>7.09</v>
          </cell>
          <cell r="BO127">
            <v>0</v>
          </cell>
          <cell r="BR127">
            <v>7.09</v>
          </cell>
          <cell r="BS127">
            <v>0</v>
          </cell>
          <cell r="BV127">
            <v>7.09</v>
          </cell>
          <cell r="BW127">
            <v>0</v>
          </cell>
        </row>
        <row r="128">
          <cell r="BB128">
            <v>10.036</v>
          </cell>
          <cell r="BC128">
            <v>0</v>
          </cell>
          <cell r="BF128">
            <v>10.036</v>
          </cell>
          <cell r="BG128">
            <v>0</v>
          </cell>
          <cell r="BJ128">
            <v>10.036</v>
          </cell>
          <cell r="BK128">
            <v>0</v>
          </cell>
          <cell r="BN128">
            <v>10.036</v>
          </cell>
          <cell r="BO128">
            <v>0</v>
          </cell>
          <cell r="BR128">
            <v>10.036</v>
          </cell>
          <cell r="BS128">
            <v>0</v>
          </cell>
          <cell r="BV128">
            <v>10.036</v>
          </cell>
          <cell r="BW128">
            <v>0</v>
          </cell>
        </row>
        <row r="129">
          <cell r="BB129">
            <v>5.3999999999999999E-2</v>
          </cell>
          <cell r="BC129">
            <v>0</v>
          </cell>
          <cell r="BF129">
            <v>5.3999999999999999E-2</v>
          </cell>
          <cell r="BG129">
            <v>0</v>
          </cell>
          <cell r="BJ129">
            <v>5.3999999999999999E-2</v>
          </cell>
          <cell r="BK129">
            <v>0</v>
          </cell>
          <cell r="BN129">
            <v>5.3999999999999999E-2</v>
          </cell>
          <cell r="BO129">
            <v>0</v>
          </cell>
          <cell r="BR129">
            <v>5.3999999999999999E-2</v>
          </cell>
          <cell r="BS129">
            <v>0</v>
          </cell>
          <cell r="BV129">
            <v>5.3999999999999999E-2</v>
          </cell>
          <cell r="BW129">
            <v>0</v>
          </cell>
        </row>
        <row r="130">
          <cell r="BB130">
            <v>0.97899999999999998</v>
          </cell>
          <cell r="BC130">
            <v>0</v>
          </cell>
          <cell r="BF130">
            <v>0.97899999999999998</v>
          </cell>
          <cell r="BG130">
            <v>0</v>
          </cell>
          <cell r="BJ130">
            <v>0.97899999999999998</v>
          </cell>
          <cell r="BK130">
            <v>0</v>
          </cell>
          <cell r="BN130">
            <v>0.97899999999999998</v>
          </cell>
          <cell r="BO130">
            <v>0</v>
          </cell>
          <cell r="BR130">
            <v>0.97899999999999998</v>
          </cell>
          <cell r="BS130">
            <v>0</v>
          </cell>
          <cell r="BV130">
            <v>0.97899999999999998</v>
          </cell>
          <cell r="BW130">
            <v>0</v>
          </cell>
        </row>
        <row r="131">
          <cell r="BB131">
            <v>12.132</v>
          </cell>
          <cell r="BC131">
            <v>0</v>
          </cell>
          <cell r="BF131">
            <v>12.132</v>
          </cell>
          <cell r="BG131">
            <v>0</v>
          </cell>
          <cell r="BJ131">
            <v>12.132</v>
          </cell>
          <cell r="BK131">
            <v>0</v>
          </cell>
          <cell r="BN131">
            <v>12.132</v>
          </cell>
          <cell r="BO131">
            <v>0</v>
          </cell>
          <cell r="BR131">
            <v>12.132</v>
          </cell>
          <cell r="BS131">
            <v>0</v>
          </cell>
          <cell r="BV131">
            <v>12.132</v>
          </cell>
          <cell r="BW131">
            <v>0</v>
          </cell>
        </row>
        <row r="132">
          <cell r="BB132">
            <v>2.7069999999999999</v>
          </cell>
          <cell r="BC132">
            <v>0</v>
          </cell>
          <cell r="BF132">
            <v>2.7069999999999999</v>
          </cell>
          <cell r="BG132">
            <v>0</v>
          </cell>
          <cell r="BJ132">
            <v>2.7069999999999999</v>
          </cell>
          <cell r="BK132">
            <v>0</v>
          </cell>
          <cell r="BN132">
            <v>2.7069999999999999</v>
          </cell>
          <cell r="BO132">
            <v>0</v>
          </cell>
          <cell r="BR132">
            <v>2.7069999999999999</v>
          </cell>
          <cell r="BS132">
            <v>0</v>
          </cell>
          <cell r="BV132">
            <v>2.7069999999999999</v>
          </cell>
          <cell r="BW132">
            <v>0</v>
          </cell>
        </row>
        <row r="133">
          <cell r="BB133">
            <v>3.3000000000000002E-2</v>
          </cell>
          <cell r="BC133">
            <v>0</v>
          </cell>
          <cell r="BF133">
            <v>3.3000000000000002E-2</v>
          </cell>
          <cell r="BG133">
            <v>0</v>
          </cell>
          <cell r="BJ133">
            <v>3.3000000000000002E-2</v>
          </cell>
          <cell r="BK133">
            <v>0</v>
          </cell>
          <cell r="BN133">
            <v>3.3000000000000002E-2</v>
          </cell>
          <cell r="BO133">
            <v>0</v>
          </cell>
          <cell r="BR133">
            <v>3.3000000000000002E-2</v>
          </cell>
          <cell r="BS133">
            <v>0</v>
          </cell>
          <cell r="BV133">
            <v>3.3000000000000002E-2</v>
          </cell>
          <cell r="BW133">
            <v>0</v>
          </cell>
        </row>
        <row r="134">
          <cell r="BB134">
            <v>0.69499999999999995</v>
          </cell>
          <cell r="BC134">
            <v>0</v>
          </cell>
          <cell r="BF134">
            <v>0.69499999999999995</v>
          </cell>
          <cell r="BG134">
            <v>0</v>
          </cell>
          <cell r="BJ134">
            <v>0.69499999999999995</v>
          </cell>
          <cell r="BK134">
            <v>0</v>
          </cell>
          <cell r="BN134">
            <v>0.69499999999999995</v>
          </cell>
          <cell r="BO134">
            <v>0</v>
          </cell>
          <cell r="BR134">
            <v>0.69499999999999995</v>
          </cell>
          <cell r="BS134">
            <v>0</v>
          </cell>
          <cell r="BV134">
            <v>0.69499999999999995</v>
          </cell>
          <cell r="BW134">
            <v>0</v>
          </cell>
        </row>
        <row r="135">
          <cell r="BB135">
            <v>2.5190000000000001</v>
          </cell>
          <cell r="BC135">
            <v>0</v>
          </cell>
          <cell r="BF135">
            <v>2.5190000000000001</v>
          </cell>
          <cell r="BG135">
            <v>0</v>
          </cell>
          <cell r="BJ135">
            <v>2.5190000000000001</v>
          </cell>
          <cell r="BK135">
            <v>0</v>
          </cell>
          <cell r="BN135">
            <v>2.5190000000000001</v>
          </cell>
          <cell r="BO135">
            <v>0</v>
          </cell>
          <cell r="BR135">
            <v>2.5190000000000001</v>
          </cell>
          <cell r="BS135">
            <v>0</v>
          </cell>
          <cell r="BV135">
            <v>2.5190000000000001</v>
          </cell>
          <cell r="BW135">
            <v>0</v>
          </cell>
        </row>
        <row r="136">
          <cell r="BB136">
            <v>9.6340000000000003</v>
          </cell>
          <cell r="BC136">
            <v>0</v>
          </cell>
          <cell r="BF136">
            <v>9.6340000000000003</v>
          </cell>
          <cell r="BG136">
            <v>0</v>
          </cell>
          <cell r="BJ136">
            <v>9.6340000000000003</v>
          </cell>
          <cell r="BK136">
            <v>0</v>
          </cell>
          <cell r="BN136">
            <v>9.6340000000000003</v>
          </cell>
          <cell r="BO136">
            <v>0</v>
          </cell>
          <cell r="BR136">
            <v>9.6340000000000003</v>
          </cell>
          <cell r="BS136">
            <v>0</v>
          </cell>
          <cell r="BV136">
            <v>9.6340000000000003</v>
          </cell>
          <cell r="BW136">
            <v>0</v>
          </cell>
        </row>
        <row r="137">
          <cell r="BB137">
            <v>2.2869999999999999</v>
          </cell>
          <cell r="BC137">
            <v>0</v>
          </cell>
          <cell r="BF137">
            <v>2.2869999999999999</v>
          </cell>
          <cell r="BG137">
            <v>0</v>
          </cell>
          <cell r="BJ137">
            <v>2.2869999999999999</v>
          </cell>
          <cell r="BK137">
            <v>0</v>
          </cell>
          <cell r="BN137">
            <v>2.2869999999999999</v>
          </cell>
          <cell r="BO137">
            <v>0</v>
          </cell>
          <cell r="BR137">
            <v>2.2869999999999999</v>
          </cell>
          <cell r="BS137">
            <v>0</v>
          </cell>
          <cell r="BV137">
            <v>2.2869999999999999</v>
          </cell>
          <cell r="BW137">
            <v>0</v>
          </cell>
        </row>
        <row r="138">
          <cell r="BB138">
            <v>1.9890000000000001</v>
          </cell>
          <cell r="BC138">
            <v>0</v>
          </cell>
          <cell r="BF138">
            <v>1.9890000000000001</v>
          </cell>
          <cell r="BG138">
            <v>0</v>
          </cell>
          <cell r="BJ138">
            <v>1.9890000000000001</v>
          </cell>
          <cell r="BK138">
            <v>0</v>
          </cell>
          <cell r="BN138">
            <v>1.9890000000000001</v>
          </cell>
          <cell r="BO138">
            <v>0</v>
          </cell>
          <cell r="BR138">
            <v>1.9890000000000001</v>
          </cell>
          <cell r="BS138">
            <v>0</v>
          </cell>
          <cell r="BV138">
            <v>1.9890000000000001</v>
          </cell>
          <cell r="BW138">
            <v>0</v>
          </cell>
        </row>
        <row r="139">
          <cell r="BB139">
            <v>1.0860000000000001</v>
          </cell>
          <cell r="BC139">
            <v>0</v>
          </cell>
          <cell r="BF139">
            <v>1.0860000000000001</v>
          </cell>
          <cell r="BG139">
            <v>0</v>
          </cell>
          <cell r="BJ139">
            <v>1.0860000000000001</v>
          </cell>
          <cell r="BK139">
            <v>0</v>
          </cell>
          <cell r="BN139">
            <v>1.0860000000000001</v>
          </cell>
          <cell r="BO139">
            <v>0</v>
          </cell>
          <cell r="BR139">
            <v>1.0860000000000001</v>
          </cell>
          <cell r="BS139">
            <v>0</v>
          </cell>
          <cell r="BV139">
            <v>1.0860000000000001</v>
          </cell>
          <cell r="BW139">
            <v>0</v>
          </cell>
        </row>
        <row r="140">
          <cell r="BB140">
            <v>2.855</v>
          </cell>
          <cell r="BC140">
            <v>0</v>
          </cell>
          <cell r="BF140">
            <v>2.855</v>
          </cell>
          <cell r="BG140">
            <v>0</v>
          </cell>
          <cell r="BJ140">
            <v>2.855</v>
          </cell>
          <cell r="BK140">
            <v>0</v>
          </cell>
          <cell r="BN140">
            <v>2.855</v>
          </cell>
          <cell r="BO140">
            <v>0</v>
          </cell>
          <cell r="BR140">
            <v>2.855</v>
          </cell>
          <cell r="BS140">
            <v>0</v>
          </cell>
          <cell r="BV140">
            <v>2.855</v>
          </cell>
          <cell r="BW140">
            <v>0</v>
          </cell>
        </row>
        <row r="141">
          <cell r="BB141">
            <v>3.6230000000000002</v>
          </cell>
          <cell r="BC141">
            <v>0</v>
          </cell>
          <cell r="BF141">
            <v>3.6230000000000002</v>
          </cell>
          <cell r="BG141">
            <v>0</v>
          </cell>
          <cell r="BJ141">
            <v>3.6230000000000002</v>
          </cell>
          <cell r="BK141">
            <v>0</v>
          </cell>
          <cell r="BN141">
            <v>3.6230000000000002</v>
          </cell>
          <cell r="BO141">
            <v>0</v>
          </cell>
          <cell r="BR141">
            <v>3.6230000000000002</v>
          </cell>
          <cell r="BS141">
            <v>0</v>
          </cell>
          <cell r="BV141">
            <v>3.6230000000000002</v>
          </cell>
          <cell r="BW141">
            <v>0</v>
          </cell>
        </row>
        <row r="142">
          <cell r="BB142">
            <v>7.81</v>
          </cell>
          <cell r="BC142">
            <v>0</v>
          </cell>
          <cell r="BF142">
            <v>7.81</v>
          </cell>
          <cell r="BG142">
            <v>0</v>
          </cell>
          <cell r="BJ142">
            <v>7.81</v>
          </cell>
          <cell r="BK142">
            <v>0</v>
          </cell>
          <cell r="BN142">
            <v>7.81</v>
          </cell>
          <cell r="BO142">
            <v>0</v>
          </cell>
          <cell r="BR142">
            <v>7.81</v>
          </cell>
          <cell r="BS142">
            <v>0</v>
          </cell>
          <cell r="BV142">
            <v>7.81</v>
          </cell>
          <cell r="BW142">
            <v>0</v>
          </cell>
        </row>
        <row r="143">
          <cell r="BB143">
            <v>1.4670000000000001</v>
          </cell>
          <cell r="BC143">
            <v>0</v>
          </cell>
          <cell r="BF143">
            <v>1.4670000000000001</v>
          </cell>
          <cell r="BG143">
            <v>0</v>
          </cell>
          <cell r="BJ143">
            <v>1.4670000000000001</v>
          </cell>
          <cell r="BK143">
            <v>0</v>
          </cell>
          <cell r="BN143">
            <v>1.4670000000000001</v>
          </cell>
          <cell r="BO143">
            <v>0</v>
          </cell>
          <cell r="BR143">
            <v>1.4670000000000001</v>
          </cell>
          <cell r="BS143">
            <v>0</v>
          </cell>
          <cell r="BV143">
            <v>1.4670000000000001</v>
          </cell>
          <cell r="BW143">
            <v>0</v>
          </cell>
        </row>
        <row r="144">
          <cell r="BB144">
            <v>0.14000000000000001</v>
          </cell>
          <cell r="BC144">
            <v>0</v>
          </cell>
          <cell r="BF144">
            <v>0.14000000000000001</v>
          </cell>
          <cell r="BG144">
            <v>0</v>
          </cell>
          <cell r="BJ144">
            <v>0.14000000000000001</v>
          </cell>
          <cell r="BK144">
            <v>0</v>
          </cell>
          <cell r="BN144">
            <v>0.14000000000000001</v>
          </cell>
          <cell r="BO144">
            <v>0</v>
          </cell>
          <cell r="BR144">
            <v>0.14000000000000001</v>
          </cell>
          <cell r="BS144">
            <v>0</v>
          </cell>
          <cell r="BV144">
            <v>0.14000000000000001</v>
          </cell>
          <cell r="BW144">
            <v>0</v>
          </cell>
        </row>
        <row r="145">
          <cell r="BB145">
            <v>0.223</v>
          </cell>
          <cell r="BC145">
            <v>0</v>
          </cell>
          <cell r="BF145">
            <v>0.223</v>
          </cell>
          <cell r="BG145">
            <v>0</v>
          </cell>
          <cell r="BJ145">
            <v>0.223</v>
          </cell>
          <cell r="BK145">
            <v>0</v>
          </cell>
          <cell r="BN145">
            <v>0.223</v>
          </cell>
          <cell r="BO145">
            <v>0</v>
          </cell>
          <cell r="BR145">
            <v>0.223</v>
          </cell>
          <cell r="BS145">
            <v>0</v>
          </cell>
          <cell r="BV145">
            <v>0.223</v>
          </cell>
          <cell r="BW145">
            <v>0</v>
          </cell>
        </row>
        <row r="146">
          <cell r="BB146">
            <v>1.044</v>
          </cell>
          <cell r="BC146">
            <v>0</v>
          </cell>
          <cell r="BF146">
            <v>1.044</v>
          </cell>
          <cell r="BG146">
            <v>0</v>
          </cell>
          <cell r="BJ146">
            <v>1.044</v>
          </cell>
          <cell r="BK146">
            <v>0</v>
          </cell>
          <cell r="BN146">
            <v>1.044</v>
          </cell>
          <cell r="BO146">
            <v>0</v>
          </cell>
          <cell r="BR146">
            <v>1.044</v>
          </cell>
          <cell r="BS146">
            <v>0</v>
          </cell>
          <cell r="BV146">
            <v>1.044</v>
          </cell>
          <cell r="BW146">
            <v>0</v>
          </cell>
        </row>
        <row r="147">
          <cell r="BB147">
            <v>0.41799999999999998</v>
          </cell>
          <cell r="BC147">
            <v>0</v>
          </cell>
          <cell r="BF147">
            <v>0.41799999999999998</v>
          </cell>
          <cell r="BG147">
            <v>0</v>
          </cell>
          <cell r="BJ147">
            <v>0.41799999999999998</v>
          </cell>
          <cell r="BK147">
            <v>0</v>
          </cell>
          <cell r="BN147">
            <v>0.41799999999999998</v>
          </cell>
          <cell r="BO147">
            <v>0</v>
          </cell>
          <cell r="BR147">
            <v>0.41799999999999998</v>
          </cell>
          <cell r="BS147">
            <v>0</v>
          </cell>
          <cell r="BV147">
            <v>0.41799999999999998</v>
          </cell>
          <cell r="BW147">
            <v>0</v>
          </cell>
        </row>
        <row r="148">
          <cell r="BB148">
            <v>2.2269999999999999</v>
          </cell>
          <cell r="BC148">
            <v>0</v>
          </cell>
          <cell r="BF148">
            <v>2.2269999999999999</v>
          </cell>
          <cell r="BG148">
            <v>0</v>
          </cell>
          <cell r="BJ148">
            <v>2.2269999999999999</v>
          </cell>
          <cell r="BK148">
            <v>0</v>
          </cell>
          <cell r="BN148">
            <v>2.2269999999999999</v>
          </cell>
          <cell r="BO148">
            <v>0</v>
          </cell>
          <cell r="BR148">
            <v>2.2269999999999999</v>
          </cell>
          <cell r="BS148">
            <v>0</v>
          </cell>
          <cell r="BV148">
            <v>2.2269999999999999</v>
          </cell>
          <cell r="BW148">
            <v>0</v>
          </cell>
        </row>
        <row r="149">
          <cell r="BB149">
            <v>5.5E-2</v>
          </cell>
          <cell r="BC149">
            <v>0</v>
          </cell>
          <cell r="BF149">
            <v>5.5E-2</v>
          </cell>
          <cell r="BG149">
            <v>0</v>
          </cell>
          <cell r="BJ149">
            <v>5.5E-2</v>
          </cell>
          <cell r="BK149">
            <v>0</v>
          </cell>
          <cell r="BN149">
            <v>5.5E-2</v>
          </cell>
          <cell r="BO149">
            <v>0</v>
          </cell>
          <cell r="BR149">
            <v>5.5E-2</v>
          </cell>
          <cell r="BS149">
            <v>0</v>
          </cell>
          <cell r="BV149">
            <v>5.5E-2</v>
          </cell>
          <cell r="BW149">
            <v>0</v>
          </cell>
        </row>
        <row r="150">
          <cell r="BB150">
            <v>0.05</v>
          </cell>
          <cell r="BC150">
            <v>0</v>
          </cell>
          <cell r="BF150">
            <v>0.05</v>
          </cell>
          <cell r="BG150">
            <v>0</v>
          </cell>
          <cell r="BJ150">
            <v>0.05</v>
          </cell>
          <cell r="BK150">
            <v>0</v>
          </cell>
          <cell r="BN150">
            <v>0.05</v>
          </cell>
          <cell r="BO150">
            <v>0</v>
          </cell>
          <cell r="BR150">
            <v>0.05</v>
          </cell>
          <cell r="BS150">
            <v>0</v>
          </cell>
          <cell r="BV150">
            <v>0.05</v>
          </cell>
          <cell r="BW150">
            <v>0</v>
          </cell>
        </row>
        <row r="151">
          <cell r="BB151">
            <v>1.89</v>
          </cell>
          <cell r="BC151">
            <v>0</v>
          </cell>
          <cell r="BF151">
            <v>1.89</v>
          </cell>
          <cell r="BG151">
            <v>0</v>
          </cell>
          <cell r="BJ151">
            <v>1.89</v>
          </cell>
          <cell r="BK151">
            <v>0</v>
          </cell>
          <cell r="BN151">
            <v>1.89</v>
          </cell>
          <cell r="BO151">
            <v>0</v>
          </cell>
          <cell r="BR151">
            <v>1.89</v>
          </cell>
          <cell r="BS151">
            <v>0</v>
          </cell>
          <cell r="BV151">
            <v>1.89</v>
          </cell>
          <cell r="BW151">
            <v>0</v>
          </cell>
        </row>
        <row r="152">
          <cell r="BB152">
            <v>7.6999999999999999E-2</v>
          </cell>
          <cell r="BC152">
            <v>0</v>
          </cell>
          <cell r="BF152">
            <v>7.6999999999999999E-2</v>
          </cell>
          <cell r="BG152">
            <v>0</v>
          </cell>
          <cell r="BJ152">
            <v>7.6999999999999999E-2</v>
          </cell>
          <cell r="BK152">
            <v>0</v>
          </cell>
          <cell r="BN152">
            <v>7.6999999999999999E-2</v>
          </cell>
          <cell r="BO152">
            <v>0</v>
          </cell>
          <cell r="BR152">
            <v>7.6999999999999999E-2</v>
          </cell>
          <cell r="BS152">
            <v>0</v>
          </cell>
          <cell r="BV152">
            <v>7.6999999999999999E-2</v>
          </cell>
          <cell r="BW152">
            <v>0</v>
          </cell>
        </row>
        <row r="153">
          <cell r="BB153">
            <v>5.2999999999999999E-2</v>
          </cell>
          <cell r="BC153">
            <v>0</v>
          </cell>
          <cell r="BF153">
            <v>5.2999999999999999E-2</v>
          </cell>
          <cell r="BG153">
            <v>0</v>
          </cell>
          <cell r="BJ153">
            <v>5.2999999999999999E-2</v>
          </cell>
          <cell r="BK153">
            <v>0</v>
          </cell>
          <cell r="BN153">
            <v>5.2999999999999999E-2</v>
          </cell>
          <cell r="BO153">
            <v>0</v>
          </cell>
          <cell r="BR153">
            <v>5.2999999999999999E-2</v>
          </cell>
          <cell r="BS153">
            <v>0</v>
          </cell>
          <cell r="BV153">
            <v>5.2999999999999999E-2</v>
          </cell>
          <cell r="BW153">
            <v>0</v>
          </cell>
        </row>
        <row r="154">
          <cell r="BB154">
            <v>2.3140000000000001</v>
          </cell>
          <cell r="BC154">
            <v>0</v>
          </cell>
          <cell r="BF154">
            <v>2.3140000000000001</v>
          </cell>
          <cell r="BG154">
            <v>0</v>
          </cell>
          <cell r="BJ154">
            <v>2.3140000000000001</v>
          </cell>
          <cell r="BK154">
            <v>0</v>
          </cell>
          <cell r="BN154">
            <v>2.3140000000000001</v>
          </cell>
          <cell r="BO154">
            <v>0</v>
          </cell>
          <cell r="BR154">
            <v>2.3140000000000001</v>
          </cell>
          <cell r="BS154">
            <v>0</v>
          </cell>
          <cell r="BV154">
            <v>2.3140000000000001</v>
          </cell>
          <cell r="BW154">
            <v>0</v>
          </cell>
        </row>
        <row r="155">
          <cell r="BB155">
            <v>0.27200000000000002</v>
          </cell>
          <cell r="BC155">
            <v>0</v>
          </cell>
          <cell r="BF155">
            <v>0.27200000000000002</v>
          </cell>
          <cell r="BG155">
            <v>0</v>
          </cell>
          <cell r="BJ155">
            <v>0.27200000000000002</v>
          </cell>
          <cell r="BK155">
            <v>0</v>
          </cell>
          <cell r="BN155">
            <v>0.27200000000000002</v>
          </cell>
          <cell r="BO155">
            <v>0</v>
          </cell>
          <cell r="BR155">
            <v>0.27200000000000002</v>
          </cell>
          <cell r="BS155">
            <v>0</v>
          </cell>
          <cell r="BV155">
            <v>0.27200000000000002</v>
          </cell>
          <cell r="BW155">
            <v>0</v>
          </cell>
        </row>
        <row r="156">
          <cell r="BB156">
            <v>0.52300000000000002</v>
          </cell>
          <cell r="BC156">
            <v>0</v>
          </cell>
          <cell r="BF156">
            <v>0.52300000000000002</v>
          </cell>
          <cell r="BG156">
            <v>0</v>
          </cell>
          <cell r="BJ156">
            <v>0.52300000000000002</v>
          </cell>
          <cell r="BK156">
            <v>0</v>
          </cell>
          <cell r="BN156">
            <v>0.52300000000000002</v>
          </cell>
          <cell r="BO156">
            <v>0</v>
          </cell>
          <cell r="BR156">
            <v>0.52300000000000002</v>
          </cell>
          <cell r="BS156">
            <v>0</v>
          </cell>
          <cell r="BV156">
            <v>0.52300000000000002</v>
          </cell>
          <cell r="BW156">
            <v>0</v>
          </cell>
        </row>
        <row r="157">
          <cell r="BB157">
            <v>0.52600000000000002</v>
          </cell>
          <cell r="BC157">
            <v>0</v>
          </cell>
          <cell r="BF157">
            <v>0.52600000000000002</v>
          </cell>
          <cell r="BG157">
            <v>0</v>
          </cell>
          <cell r="BJ157">
            <v>0.52600000000000002</v>
          </cell>
          <cell r="BK157">
            <v>0</v>
          </cell>
          <cell r="BN157">
            <v>0.52600000000000002</v>
          </cell>
          <cell r="BO157">
            <v>0</v>
          </cell>
          <cell r="BR157">
            <v>0.52600000000000002</v>
          </cell>
          <cell r="BS157">
            <v>0</v>
          </cell>
          <cell r="BV157">
            <v>0.52600000000000002</v>
          </cell>
          <cell r="BW157">
            <v>0</v>
          </cell>
        </row>
        <row r="158">
          <cell r="BB158">
            <v>3.7589999999999999</v>
          </cell>
          <cell r="BC158">
            <v>0</v>
          </cell>
          <cell r="BF158">
            <v>3.7589999999999999</v>
          </cell>
          <cell r="BG158">
            <v>0</v>
          </cell>
          <cell r="BJ158">
            <v>3.7589999999999999</v>
          </cell>
          <cell r="BK158">
            <v>0</v>
          </cell>
          <cell r="BN158">
            <v>3.7589999999999999</v>
          </cell>
          <cell r="BO158">
            <v>0</v>
          </cell>
          <cell r="BR158">
            <v>3.7589999999999999</v>
          </cell>
          <cell r="BS158">
            <v>0</v>
          </cell>
          <cell r="BV158">
            <v>3.7589999999999999</v>
          </cell>
          <cell r="BW158">
            <v>0</v>
          </cell>
        </row>
        <row r="159">
          <cell r="BB159">
            <v>0.873</v>
          </cell>
          <cell r="BC159">
            <v>0</v>
          </cell>
          <cell r="BF159">
            <v>0.873</v>
          </cell>
          <cell r="BG159">
            <v>0</v>
          </cell>
          <cell r="BJ159">
            <v>0.873</v>
          </cell>
          <cell r="BK159">
            <v>0</v>
          </cell>
          <cell r="BN159">
            <v>0.873</v>
          </cell>
          <cell r="BO159">
            <v>0</v>
          </cell>
          <cell r="BR159">
            <v>0.873</v>
          </cell>
          <cell r="BS159">
            <v>0</v>
          </cell>
          <cell r="BV159">
            <v>0.873</v>
          </cell>
          <cell r="BW159">
            <v>0</v>
          </cell>
        </row>
        <row r="160">
          <cell r="BB160">
            <v>3.641</v>
          </cell>
          <cell r="BC160">
            <v>0</v>
          </cell>
          <cell r="BF160">
            <v>3.641</v>
          </cell>
          <cell r="BG160">
            <v>0</v>
          </cell>
          <cell r="BJ160">
            <v>3.641</v>
          </cell>
          <cell r="BK160">
            <v>0</v>
          </cell>
          <cell r="BN160">
            <v>3.641</v>
          </cell>
          <cell r="BO160">
            <v>0</v>
          </cell>
          <cell r="BR160">
            <v>3.641</v>
          </cell>
          <cell r="BS160">
            <v>0</v>
          </cell>
          <cell r="BV160">
            <v>3.641</v>
          </cell>
          <cell r="BW160">
            <v>0</v>
          </cell>
        </row>
        <row r="161">
          <cell r="BB161">
            <v>0.05</v>
          </cell>
          <cell r="BC161">
            <v>0</v>
          </cell>
          <cell r="BF161">
            <v>0.05</v>
          </cell>
          <cell r="BG161">
            <v>0</v>
          </cell>
          <cell r="BJ161">
            <v>0.05</v>
          </cell>
          <cell r="BK161">
            <v>0</v>
          </cell>
          <cell r="BN161">
            <v>0.05</v>
          </cell>
          <cell r="BO161">
            <v>0</v>
          </cell>
          <cell r="BR161">
            <v>0.05</v>
          </cell>
          <cell r="BS161">
            <v>0</v>
          </cell>
          <cell r="BV161">
            <v>0.05</v>
          </cell>
          <cell r="BW161">
            <v>0</v>
          </cell>
        </row>
        <row r="162">
          <cell r="BB162">
            <v>4.2</v>
          </cell>
          <cell r="BC162">
            <v>0</v>
          </cell>
          <cell r="BF162">
            <v>4.2</v>
          </cell>
          <cell r="BG162">
            <v>0</v>
          </cell>
          <cell r="BJ162">
            <v>4.2</v>
          </cell>
          <cell r="BK162">
            <v>0</v>
          </cell>
          <cell r="BN162">
            <v>4.2</v>
          </cell>
          <cell r="BO162">
            <v>0</v>
          </cell>
          <cell r="BR162">
            <v>4.2</v>
          </cell>
          <cell r="BS162">
            <v>0</v>
          </cell>
          <cell r="BV162">
            <v>4.2</v>
          </cell>
          <cell r="BW162">
            <v>0</v>
          </cell>
        </row>
        <row r="163">
          <cell r="BB163">
            <v>1.2250000000000001</v>
          </cell>
          <cell r="BC163">
            <v>0</v>
          </cell>
          <cell r="BF163">
            <v>1.2250000000000001</v>
          </cell>
          <cell r="BG163">
            <v>0</v>
          </cell>
          <cell r="BJ163">
            <v>1.2250000000000001</v>
          </cell>
          <cell r="BK163">
            <v>0</v>
          </cell>
          <cell r="BN163">
            <v>1.2250000000000001</v>
          </cell>
          <cell r="BO163">
            <v>0</v>
          </cell>
          <cell r="BR163">
            <v>1.2250000000000001</v>
          </cell>
          <cell r="BS163">
            <v>0</v>
          </cell>
          <cell r="BV163">
            <v>1.2250000000000001</v>
          </cell>
          <cell r="BW163">
            <v>0</v>
          </cell>
        </row>
        <row r="164">
          <cell r="BB164">
            <v>0.88300000000000001</v>
          </cell>
          <cell r="BC164">
            <v>0</v>
          </cell>
          <cell r="BF164">
            <v>0.88300000000000001</v>
          </cell>
          <cell r="BG164">
            <v>0</v>
          </cell>
          <cell r="BJ164">
            <v>0.88300000000000001</v>
          </cell>
          <cell r="BK164">
            <v>0</v>
          </cell>
          <cell r="BN164">
            <v>0.88300000000000001</v>
          </cell>
          <cell r="BO164">
            <v>0</v>
          </cell>
          <cell r="BR164">
            <v>0.88300000000000001</v>
          </cell>
          <cell r="BS164">
            <v>0</v>
          </cell>
          <cell r="BV164">
            <v>0.88300000000000001</v>
          </cell>
          <cell r="BW164">
            <v>0</v>
          </cell>
        </row>
        <row r="165">
          <cell r="BB165">
            <v>21.972999999999999</v>
          </cell>
          <cell r="BC165">
            <v>0</v>
          </cell>
          <cell r="BF165">
            <v>21.972999999999999</v>
          </cell>
          <cell r="BG165">
            <v>0</v>
          </cell>
          <cell r="BJ165">
            <v>21.972999999999999</v>
          </cell>
          <cell r="BK165">
            <v>0</v>
          </cell>
          <cell r="BN165">
            <v>21.972999999999999</v>
          </cell>
          <cell r="BO165">
            <v>0</v>
          </cell>
          <cell r="BR165">
            <v>21.972999999999999</v>
          </cell>
          <cell r="BS165">
            <v>0</v>
          </cell>
          <cell r="BV165">
            <v>21.972999999999999</v>
          </cell>
          <cell r="BW165">
            <v>0</v>
          </cell>
        </row>
        <row r="166">
          <cell r="BB166">
            <v>4.984</v>
          </cell>
          <cell r="BC166">
            <v>0</v>
          </cell>
          <cell r="BF166">
            <v>4.984</v>
          </cell>
          <cell r="BG166">
            <v>0</v>
          </cell>
          <cell r="BJ166">
            <v>4.984</v>
          </cell>
          <cell r="BK166">
            <v>0</v>
          </cell>
          <cell r="BN166">
            <v>4.984</v>
          </cell>
          <cell r="BO166">
            <v>0</v>
          </cell>
          <cell r="BR166">
            <v>4.984</v>
          </cell>
          <cell r="BS166">
            <v>0</v>
          </cell>
          <cell r="BV166">
            <v>4.984</v>
          </cell>
          <cell r="BW166">
            <v>0</v>
          </cell>
        </row>
        <row r="167">
          <cell r="BB167">
            <v>1.367</v>
          </cell>
          <cell r="BC167">
            <v>0</v>
          </cell>
          <cell r="BF167">
            <v>1.367</v>
          </cell>
          <cell r="BG167">
            <v>0</v>
          </cell>
          <cell r="BJ167">
            <v>1.367</v>
          </cell>
          <cell r="BK167">
            <v>0</v>
          </cell>
          <cell r="BN167">
            <v>1.367</v>
          </cell>
          <cell r="BO167">
            <v>0</v>
          </cell>
          <cell r="BR167">
            <v>1.367</v>
          </cell>
          <cell r="BS167">
            <v>0</v>
          </cell>
          <cell r="BV167">
            <v>1.367</v>
          </cell>
          <cell r="BW167">
            <v>0</v>
          </cell>
        </row>
        <row r="168">
          <cell r="BB168">
            <v>0.38700000000000001</v>
          </cell>
          <cell r="BC168">
            <v>0</v>
          </cell>
          <cell r="BF168">
            <v>0.38700000000000001</v>
          </cell>
          <cell r="BG168">
            <v>0</v>
          </cell>
          <cell r="BJ168">
            <v>0.38700000000000001</v>
          </cell>
          <cell r="BK168">
            <v>0</v>
          </cell>
          <cell r="BN168">
            <v>0.38700000000000001</v>
          </cell>
          <cell r="BO168">
            <v>0</v>
          </cell>
          <cell r="BR168">
            <v>0.38700000000000001</v>
          </cell>
          <cell r="BS168">
            <v>0</v>
          </cell>
          <cell r="BV168">
            <v>0.38700000000000001</v>
          </cell>
          <cell r="BW168">
            <v>0</v>
          </cell>
        </row>
        <row r="169">
          <cell r="BB169">
            <v>0.217</v>
          </cell>
          <cell r="BC169">
            <v>0</v>
          </cell>
          <cell r="BF169">
            <v>0.217</v>
          </cell>
          <cell r="BG169">
            <v>0</v>
          </cell>
          <cell r="BJ169">
            <v>0.217</v>
          </cell>
          <cell r="BK169">
            <v>0</v>
          </cell>
          <cell r="BN169">
            <v>0.217</v>
          </cell>
          <cell r="BO169">
            <v>0</v>
          </cell>
          <cell r="BR169">
            <v>0.217</v>
          </cell>
          <cell r="BS169">
            <v>0</v>
          </cell>
          <cell r="BV169">
            <v>0.217</v>
          </cell>
          <cell r="BW169">
            <v>0</v>
          </cell>
        </row>
        <row r="170">
          <cell r="BB170">
            <v>8.1850000000000005</v>
          </cell>
          <cell r="BC170">
            <v>0</v>
          </cell>
          <cell r="BF170">
            <v>8.1850000000000005</v>
          </cell>
          <cell r="BG170">
            <v>0</v>
          </cell>
          <cell r="BJ170">
            <v>8.1850000000000005</v>
          </cell>
          <cell r="BK170">
            <v>0</v>
          </cell>
          <cell r="BN170">
            <v>8.1850000000000005</v>
          </cell>
          <cell r="BO170">
            <v>0</v>
          </cell>
          <cell r="BR170">
            <v>8.1850000000000005</v>
          </cell>
          <cell r="BS170">
            <v>0</v>
          </cell>
          <cell r="BV170">
            <v>8.1850000000000005</v>
          </cell>
          <cell r="BW170">
            <v>0</v>
          </cell>
        </row>
        <row r="171">
          <cell r="BB171">
            <v>0.217</v>
          </cell>
          <cell r="BC171">
            <v>0</v>
          </cell>
          <cell r="BF171">
            <v>0.217</v>
          </cell>
          <cell r="BG171">
            <v>0</v>
          </cell>
          <cell r="BJ171">
            <v>0.217</v>
          </cell>
          <cell r="BK171">
            <v>0</v>
          </cell>
          <cell r="BN171">
            <v>0.217</v>
          </cell>
          <cell r="BO171">
            <v>0</v>
          </cell>
          <cell r="BR171">
            <v>0.217</v>
          </cell>
          <cell r="BS171">
            <v>0</v>
          </cell>
          <cell r="BV171">
            <v>0.217</v>
          </cell>
          <cell r="BW171">
            <v>0</v>
          </cell>
        </row>
        <row r="172">
          <cell r="BB172">
            <v>8.1850000000000005</v>
          </cell>
          <cell r="BC172">
            <v>0</v>
          </cell>
          <cell r="BF172">
            <v>8.1850000000000005</v>
          </cell>
          <cell r="BG172">
            <v>0</v>
          </cell>
          <cell r="BJ172">
            <v>8.1850000000000005</v>
          </cell>
          <cell r="BK172">
            <v>0</v>
          </cell>
          <cell r="BN172">
            <v>8.1850000000000005</v>
          </cell>
          <cell r="BO172">
            <v>0</v>
          </cell>
          <cell r="BR172">
            <v>8.1850000000000005</v>
          </cell>
          <cell r="BS172">
            <v>0</v>
          </cell>
          <cell r="BV172">
            <v>8.1850000000000005</v>
          </cell>
          <cell r="BW172">
            <v>0</v>
          </cell>
        </row>
        <row r="173">
          <cell r="BB173">
            <v>3.5219999999999998</v>
          </cell>
          <cell r="BC173">
            <v>0</v>
          </cell>
          <cell r="BF173">
            <v>3.5219999999999998</v>
          </cell>
          <cell r="BG173">
            <v>0</v>
          </cell>
          <cell r="BJ173">
            <v>3.5219999999999998</v>
          </cell>
          <cell r="BK173">
            <v>0</v>
          </cell>
          <cell r="BN173">
            <v>3.5219999999999998</v>
          </cell>
          <cell r="BO173">
            <v>0</v>
          </cell>
          <cell r="BR173">
            <v>3.5219999999999998</v>
          </cell>
          <cell r="BS173">
            <v>0</v>
          </cell>
          <cell r="BV173">
            <v>3.5219999999999998</v>
          </cell>
          <cell r="BW173">
            <v>0</v>
          </cell>
        </row>
        <row r="174">
          <cell r="BB174">
            <v>0.222</v>
          </cell>
          <cell r="BC174">
            <v>0</v>
          </cell>
          <cell r="BF174">
            <v>0.222</v>
          </cell>
          <cell r="BG174">
            <v>0</v>
          </cell>
          <cell r="BJ174">
            <v>0.222</v>
          </cell>
          <cell r="BK174">
            <v>0</v>
          </cell>
          <cell r="BN174">
            <v>0.222</v>
          </cell>
          <cell r="BO174">
            <v>0</v>
          </cell>
          <cell r="BR174">
            <v>0.222</v>
          </cell>
          <cell r="BS174">
            <v>0</v>
          </cell>
          <cell r="BV174">
            <v>0.222</v>
          </cell>
          <cell r="BW174">
            <v>0</v>
          </cell>
        </row>
        <row r="175">
          <cell r="BB175">
            <v>4.2380000000000004</v>
          </cell>
          <cell r="BC175">
            <v>0</v>
          </cell>
          <cell r="BF175">
            <v>4.2380000000000004</v>
          </cell>
          <cell r="BG175">
            <v>0</v>
          </cell>
          <cell r="BJ175">
            <v>4.2380000000000004</v>
          </cell>
          <cell r="BK175">
            <v>0</v>
          </cell>
          <cell r="BN175">
            <v>4.2380000000000004</v>
          </cell>
          <cell r="BO175">
            <v>0</v>
          </cell>
          <cell r="BR175">
            <v>4.2380000000000004</v>
          </cell>
          <cell r="BS175">
            <v>0</v>
          </cell>
          <cell r="BV175">
            <v>4.2380000000000004</v>
          </cell>
          <cell r="BW175">
            <v>0</v>
          </cell>
        </row>
        <row r="176">
          <cell r="BB176">
            <v>4.7629999999999999</v>
          </cell>
          <cell r="BC176">
            <v>0</v>
          </cell>
          <cell r="BF176">
            <v>4.7629999999999999</v>
          </cell>
          <cell r="BG176">
            <v>0</v>
          </cell>
          <cell r="BJ176">
            <v>4.7629999999999999</v>
          </cell>
          <cell r="BK176">
            <v>0</v>
          </cell>
          <cell r="BN176">
            <v>4.7629999999999999</v>
          </cell>
          <cell r="BO176">
            <v>0</v>
          </cell>
          <cell r="BR176">
            <v>4.7629999999999999</v>
          </cell>
          <cell r="BS176">
            <v>0</v>
          </cell>
          <cell r="BV176">
            <v>4.7629999999999999</v>
          </cell>
          <cell r="BW176">
            <v>0</v>
          </cell>
        </row>
        <row r="177">
          <cell r="BB177">
            <v>0.10199999999999999</v>
          </cell>
          <cell r="BC177">
            <v>0</v>
          </cell>
          <cell r="BF177">
            <v>0.10199999999999999</v>
          </cell>
          <cell r="BG177">
            <v>0</v>
          </cell>
          <cell r="BJ177">
            <v>0.10199999999999999</v>
          </cell>
          <cell r="BK177">
            <v>0</v>
          </cell>
          <cell r="BN177">
            <v>0.10199999999999999</v>
          </cell>
          <cell r="BO177">
            <v>0</v>
          </cell>
          <cell r="BR177">
            <v>0.10199999999999999</v>
          </cell>
          <cell r="BS177">
            <v>0</v>
          </cell>
          <cell r="BV177">
            <v>0.10199999999999999</v>
          </cell>
          <cell r="BW177">
            <v>0</v>
          </cell>
        </row>
        <row r="178">
          <cell r="BB178">
            <v>5.6000000000000001E-2</v>
          </cell>
          <cell r="BC178">
            <v>0</v>
          </cell>
          <cell r="BF178">
            <v>5.6000000000000001E-2</v>
          </cell>
          <cell r="BG178">
            <v>0</v>
          </cell>
          <cell r="BJ178">
            <v>5.6000000000000001E-2</v>
          </cell>
          <cell r="BK178">
            <v>0</v>
          </cell>
          <cell r="BN178">
            <v>5.6000000000000001E-2</v>
          </cell>
          <cell r="BO178">
            <v>0</v>
          </cell>
          <cell r="BR178">
            <v>5.6000000000000001E-2</v>
          </cell>
          <cell r="BS178">
            <v>0</v>
          </cell>
          <cell r="BV178">
            <v>5.6000000000000001E-2</v>
          </cell>
          <cell r="BW178">
            <v>0</v>
          </cell>
        </row>
        <row r="179">
          <cell r="BB179">
            <v>0.17499999999999999</v>
          </cell>
          <cell r="BC179">
            <v>0</v>
          </cell>
          <cell r="BF179">
            <v>0.17499999999999999</v>
          </cell>
          <cell r="BG179">
            <v>0</v>
          </cell>
          <cell r="BJ179">
            <v>0.17499999999999999</v>
          </cell>
          <cell r="BK179">
            <v>0</v>
          </cell>
          <cell r="BN179">
            <v>0.17499999999999999</v>
          </cell>
          <cell r="BO179">
            <v>0</v>
          </cell>
          <cell r="BR179">
            <v>0.17499999999999999</v>
          </cell>
          <cell r="BS179">
            <v>0</v>
          </cell>
          <cell r="BV179">
            <v>0.17499999999999999</v>
          </cell>
          <cell r="BW179">
            <v>0</v>
          </cell>
        </row>
        <row r="180">
          <cell r="BB180">
            <v>0.45500000000000002</v>
          </cell>
          <cell r="BC180">
            <v>0</v>
          </cell>
          <cell r="BF180">
            <v>0.45500000000000002</v>
          </cell>
          <cell r="BG180">
            <v>0</v>
          </cell>
          <cell r="BJ180">
            <v>0.45500000000000002</v>
          </cell>
          <cell r="BK180">
            <v>0</v>
          </cell>
          <cell r="BN180">
            <v>0.45500000000000002</v>
          </cell>
          <cell r="BO180">
            <v>0</v>
          </cell>
          <cell r="BR180">
            <v>0.45500000000000002</v>
          </cell>
          <cell r="BS180">
            <v>0</v>
          </cell>
          <cell r="BV180">
            <v>0.45500000000000002</v>
          </cell>
          <cell r="BW180">
            <v>0</v>
          </cell>
        </row>
        <row r="181">
          <cell r="BB181">
            <v>2.1909999999999998</v>
          </cell>
          <cell r="BC181">
            <v>0</v>
          </cell>
          <cell r="BF181">
            <v>2.1909999999999998</v>
          </cell>
          <cell r="BG181">
            <v>0</v>
          </cell>
          <cell r="BJ181">
            <v>2.1909999999999998</v>
          </cell>
          <cell r="BK181">
            <v>0</v>
          </cell>
          <cell r="BN181">
            <v>2.1909999999999998</v>
          </cell>
          <cell r="BO181">
            <v>0</v>
          </cell>
          <cell r="BR181">
            <v>2.1909999999999998</v>
          </cell>
          <cell r="BS181">
            <v>0</v>
          </cell>
          <cell r="BV181">
            <v>2.1909999999999998</v>
          </cell>
          <cell r="BW181">
            <v>0</v>
          </cell>
        </row>
        <row r="182">
          <cell r="BB182">
            <v>0.249</v>
          </cell>
          <cell r="BC182">
            <v>0</v>
          </cell>
          <cell r="BF182">
            <v>0.249</v>
          </cell>
          <cell r="BG182">
            <v>0</v>
          </cell>
          <cell r="BJ182">
            <v>0.249</v>
          </cell>
          <cell r="BK182">
            <v>0</v>
          </cell>
          <cell r="BN182">
            <v>0.249</v>
          </cell>
          <cell r="BO182">
            <v>0</v>
          </cell>
          <cell r="BR182">
            <v>0.249</v>
          </cell>
          <cell r="BS182">
            <v>0</v>
          </cell>
          <cell r="BV182">
            <v>0.249</v>
          </cell>
          <cell r="BW182">
            <v>0</v>
          </cell>
        </row>
        <row r="183">
          <cell r="BB183">
            <v>1.1919999999999999</v>
          </cell>
          <cell r="BC183">
            <v>0</v>
          </cell>
          <cell r="BF183">
            <v>1.1919999999999999</v>
          </cell>
          <cell r="BG183">
            <v>0</v>
          </cell>
          <cell r="BJ183">
            <v>1.1919999999999999</v>
          </cell>
          <cell r="BK183">
            <v>0</v>
          </cell>
          <cell r="BN183">
            <v>1.1919999999999999</v>
          </cell>
          <cell r="BO183">
            <v>0</v>
          </cell>
          <cell r="BR183">
            <v>1.1919999999999999</v>
          </cell>
          <cell r="BS183">
            <v>0</v>
          </cell>
          <cell r="BV183">
            <v>1.1919999999999999</v>
          </cell>
          <cell r="BW183">
            <v>0</v>
          </cell>
        </row>
        <row r="184">
          <cell r="BB184">
            <v>0.53900000000000003</v>
          </cell>
          <cell r="BC184">
            <v>0</v>
          </cell>
          <cell r="BF184">
            <v>0.53900000000000003</v>
          </cell>
          <cell r="BG184">
            <v>0</v>
          </cell>
          <cell r="BJ184">
            <v>0.53900000000000003</v>
          </cell>
          <cell r="BK184">
            <v>0</v>
          </cell>
          <cell r="BN184">
            <v>0.53900000000000003</v>
          </cell>
          <cell r="BO184">
            <v>0</v>
          </cell>
          <cell r="BR184">
            <v>0.53900000000000003</v>
          </cell>
          <cell r="BS184">
            <v>0</v>
          </cell>
          <cell r="BV184">
            <v>0.53900000000000003</v>
          </cell>
          <cell r="BW184">
            <v>0</v>
          </cell>
        </row>
        <row r="185">
          <cell r="BB185">
            <v>1.7999999999999999E-2</v>
          </cell>
          <cell r="BC185">
            <v>0</v>
          </cell>
          <cell r="BF185">
            <v>1.7999999999999999E-2</v>
          </cell>
          <cell r="BG185">
            <v>0</v>
          </cell>
          <cell r="BJ185">
            <v>1.7999999999999999E-2</v>
          </cell>
          <cell r="BK185">
            <v>0</v>
          </cell>
          <cell r="BN185">
            <v>1.7999999999999999E-2</v>
          </cell>
          <cell r="BO185">
            <v>0</v>
          </cell>
          <cell r="BR185">
            <v>1.7999999999999999E-2</v>
          </cell>
          <cell r="BS185">
            <v>0</v>
          </cell>
          <cell r="BV185">
            <v>1.7999999999999999E-2</v>
          </cell>
          <cell r="BW185">
            <v>0</v>
          </cell>
        </row>
        <row r="186">
          <cell r="BB186">
            <v>0.221</v>
          </cell>
          <cell r="BC186">
            <v>0</v>
          </cell>
          <cell r="BF186">
            <v>0.221</v>
          </cell>
          <cell r="BG186">
            <v>0</v>
          </cell>
          <cell r="BJ186">
            <v>0.221</v>
          </cell>
          <cell r="BK186">
            <v>0</v>
          </cell>
          <cell r="BN186">
            <v>0.221</v>
          </cell>
          <cell r="BO186">
            <v>0</v>
          </cell>
          <cell r="BR186">
            <v>0.221</v>
          </cell>
          <cell r="BS186">
            <v>0</v>
          </cell>
          <cell r="BV186">
            <v>0.221</v>
          </cell>
          <cell r="BW186">
            <v>0</v>
          </cell>
        </row>
        <row r="187">
          <cell r="BB187">
            <v>0.05</v>
          </cell>
          <cell r="BC187">
            <v>0</v>
          </cell>
          <cell r="BF187">
            <v>0.05</v>
          </cell>
          <cell r="BG187">
            <v>0</v>
          </cell>
          <cell r="BJ187">
            <v>0.05</v>
          </cell>
          <cell r="BK187">
            <v>0</v>
          </cell>
          <cell r="BN187">
            <v>0.05</v>
          </cell>
          <cell r="BO187">
            <v>0</v>
          </cell>
          <cell r="BR187">
            <v>0.05</v>
          </cell>
          <cell r="BS187">
            <v>0</v>
          </cell>
          <cell r="BV187">
            <v>0.05</v>
          </cell>
          <cell r="BW187">
            <v>0</v>
          </cell>
        </row>
        <row r="188">
          <cell r="BB188">
            <v>2.9000000000000001E-2</v>
          </cell>
          <cell r="BC188">
            <v>0</v>
          </cell>
          <cell r="BF188">
            <v>2.9000000000000001E-2</v>
          </cell>
          <cell r="BG188">
            <v>0</v>
          </cell>
          <cell r="BJ188">
            <v>2.9000000000000001E-2</v>
          </cell>
          <cell r="BK188">
            <v>0</v>
          </cell>
          <cell r="BN188">
            <v>2.9000000000000001E-2</v>
          </cell>
          <cell r="BO188">
            <v>0</v>
          </cell>
          <cell r="BR188">
            <v>2.9000000000000001E-2</v>
          </cell>
          <cell r="BS188">
            <v>0</v>
          </cell>
          <cell r="BV188">
            <v>2.9000000000000001E-2</v>
          </cell>
          <cell r="BW188">
            <v>0</v>
          </cell>
        </row>
        <row r="189">
          <cell r="BB189">
            <v>0.26</v>
          </cell>
          <cell r="BC189">
            <v>0</v>
          </cell>
          <cell r="BF189">
            <v>0.26</v>
          </cell>
          <cell r="BG189">
            <v>0</v>
          </cell>
          <cell r="BJ189">
            <v>0.26</v>
          </cell>
          <cell r="BK189">
            <v>0</v>
          </cell>
          <cell r="BN189">
            <v>0.26</v>
          </cell>
          <cell r="BO189">
            <v>0</v>
          </cell>
          <cell r="BR189">
            <v>0.26</v>
          </cell>
          <cell r="BS189">
            <v>0</v>
          </cell>
          <cell r="BV189">
            <v>0.26</v>
          </cell>
          <cell r="BW189">
            <v>0</v>
          </cell>
        </row>
        <row r="190">
          <cell r="BB190">
            <v>0.26500000000000001</v>
          </cell>
          <cell r="BC190">
            <v>0</v>
          </cell>
          <cell r="BF190">
            <v>0.26500000000000001</v>
          </cell>
          <cell r="BG190">
            <v>0</v>
          </cell>
          <cell r="BJ190">
            <v>0.26500000000000001</v>
          </cell>
          <cell r="BK190">
            <v>0</v>
          </cell>
          <cell r="BN190">
            <v>0.26500000000000001</v>
          </cell>
          <cell r="BO190">
            <v>0</v>
          </cell>
          <cell r="BR190">
            <v>0.26500000000000001</v>
          </cell>
          <cell r="BS190">
            <v>0</v>
          </cell>
          <cell r="BV190">
            <v>0.26500000000000001</v>
          </cell>
          <cell r="BW190">
            <v>0</v>
          </cell>
        </row>
        <row r="191">
          <cell r="BB191">
            <v>918.06</v>
          </cell>
          <cell r="BC191">
            <v>0</v>
          </cell>
          <cell r="BF191">
            <v>918.06</v>
          </cell>
          <cell r="BG191">
            <v>0</v>
          </cell>
          <cell r="BJ191">
            <v>918.06</v>
          </cell>
          <cell r="BK191">
            <v>0</v>
          </cell>
          <cell r="BN191">
            <v>918.06</v>
          </cell>
          <cell r="BO191">
            <v>0</v>
          </cell>
          <cell r="BR191">
            <v>918.06</v>
          </cell>
          <cell r="BS191">
            <v>0</v>
          </cell>
          <cell r="BV191">
            <v>918.06</v>
          </cell>
          <cell r="BW191">
            <v>0</v>
          </cell>
        </row>
        <row r="192">
          <cell r="BB192">
            <v>0.34599999999999997</v>
          </cell>
          <cell r="BC192">
            <v>0</v>
          </cell>
          <cell r="BF192">
            <v>0.34599999999999997</v>
          </cell>
          <cell r="BG192">
            <v>0</v>
          </cell>
          <cell r="BJ192">
            <v>0.34599999999999997</v>
          </cell>
          <cell r="BK192">
            <v>0</v>
          </cell>
          <cell r="BN192">
            <v>0.34599999999999997</v>
          </cell>
          <cell r="BO192">
            <v>0</v>
          </cell>
          <cell r="BR192">
            <v>0.34599999999999997</v>
          </cell>
          <cell r="BS192">
            <v>0</v>
          </cell>
          <cell r="BV192">
            <v>0.34599999999999997</v>
          </cell>
          <cell r="BW192">
            <v>0</v>
          </cell>
        </row>
        <row r="193">
          <cell r="BB193">
            <v>82.122</v>
          </cell>
          <cell r="BC193">
            <v>0</v>
          </cell>
          <cell r="BF193">
            <v>82.122</v>
          </cell>
          <cell r="BG193">
            <v>0</v>
          </cell>
          <cell r="BJ193">
            <v>82.122</v>
          </cell>
          <cell r="BK193">
            <v>0</v>
          </cell>
          <cell r="BN193">
            <v>82.122</v>
          </cell>
          <cell r="BO193">
            <v>0</v>
          </cell>
          <cell r="BR193">
            <v>82.122</v>
          </cell>
          <cell r="BS193">
            <v>0</v>
          </cell>
          <cell r="BV193">
            <v>82.122</v>
          </cell>
          <cell r="BW193">
            <v>0</v>
          </cell>
        </row>
      </sheetData>
      <sheetData sheetId="27">
        <row r="117">
          <cell r="AL117">
            <v>0</v>
          </cell>
          <cell r="AO117">
            <v>0.13619211885771401</v>
          </cell>
          <cell r="AR117">
            <v>0.16900000000000001</v>
          </cell>
          <cell r="AV117">
            <v>0</v>
          </cell>
          <cell r="AY117">
            <v>0.16900000000000001</v>
          </cell>
          <cell r="BB117">
            <v>0.16</v>
          </cell>
          <cell r="BD117">
            <v>0.16</v>
          </cell>
          <cell r="BF117">
            <v>0.16</v>
          </cell>
          <cell r="BH117">
            <v>0.16</v>
          </cell>
          <cell r="BK117">
            <v>0.16900000000000001</v>
          </cell>
          <cell r="BL117">
            <v>0.16900000000000001</v>
          </cell>
          <cell r="BM117">
            <v>0.16900000000000001</v>
          </cell>
          <cell r="BN117">
            <v>0.16900000000000001</v>
          </cell>
          <cell r="BO117">
            <v>0.16900000000000001</v>
          </cell>
        </row>
        <row r="118">
          <cell r="AL118">
            <v>0</v>
          </cell>
          <cell r="AO118">
            <v>8360.7939999999999</v>
          </cell>
          <cell r="AR118">
            <v>9043.4528869360001</v>
          </cell>
          <cell r="AV118">
            <v>8428.3379999999997</v>
          </cell>
          <cell r="AY118">
            <v>9043.4528869360001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</row>
        <row r="119">
          <cell r="AL119">
            <v>54958.626653530097</v>
          </cell>
          <cell r="AO119">
            <v>61389.705000000002</v>
          </cell>
          <cell r="AR119">
            <v>53511.555544000003</v>
          </cell>
          <cell r="AV119">
            <v>0</v>
          </cell>
          <cell r="AY119">
            <v>53511.555544000003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</row>
        <row r="120">
          <cell r="AL120">
            <v>0.41187841650000001</v>
          </cell>
          <cell r="AO120">
            <v>0.2335972497000145</v>
          </cell>
          <cell r="AR120">
            <v>0.25900000000000001</v>
          </cell>
          <cell r="AV120">
            <v>0</v>
          </cell>
          <cell r="AY120">
            <v>0.25900000000000001</v>
          </cell>
          <cell r="BB120">
            <v>0.2419</v>
          </cell>
          <cell r="BD120">
            <v>0.2419</v>
          </cell>
          <cell r="BF120">
            <v>0.2419</v>
          </cell>
          <cell r="BH120">
            <v>0.2419</v>
          </cell>
          <cell r="BK120">
            <v>0.25900000000000001</v>
          </cell>
          <cell r="BL120">
            <v>0.25900000000000001</v>
          </cell>
          <cell r="BM120">
            <v>0.25900000000000001</v>
          </cell>
          <cell r="BN120">
            <v>0.25900000000000001</v>
          </cell>
          <cell r="BO120">
            <v>0.25900000000000001</v>
          </cell>
        </row>
        <row r="121">
          <cell r="AL121">
            <v>22636.272119070702</v>
          </cell>
          <cell r="AO121">
            <v>13702.696000000002</v>
          </cell>
          <cell r="AR121">
            <v>13116.718851670001</v>
          </cell>
          <cell r="AV121">
            <v>13696.102000000001</v>
          </cell>
          <cell r="AY121">
            <v>13116.718851670001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</row>
        <row r="122">
          <cell r="AL122">
            <v>54958.626653530097</v>
          </cell>
          <cell r="AO122">
            <v>58659.491999999998</v>
          </cell>
          <cell r="AR122">
            <v>50643.702129999998</v>
          </cell>
          <cell r="AV122">
            <v>0</v>
          </cell>
          <cell r="AY122">
            <v>50643.702129999998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</row>
        <row r="123">
          <cell r="AO123">
            <v>0.5</v>
          </cell>
        </row>
      </sheetData>
      <sheetData sheetId="28"/>
      <sheetData sheetId="29"/>
      <sheetData sheetId="30">
        <row r="94">
          <cell r="AG94" t="str">
            <v>тыс.руб.</v>
          </cell>
          <cell r="AK94">
            <v>7775.0572716867928</v>
          </cell>
          <cell r="AP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7">
          <cell r="AG97" t="str">
            <v>тн</v>
          </cell>
          <cell r="AR97">
            <v>12.23</v>
          </cell>
        </row>
        <row r="98">
          <cell r="AG98" t="str">
            <v>тн/тыс.м3</v>
          </cell>
          <cell r="AR98">
            <v>2.285488E-4</v>
          </cell>
        </row>
        <row r="99">
          <cell r="AG99" t="str">
            <v>тыс.м3</v>
          </cell>
          <cell r="AR99">
            <v>53511.555544000003</v>
          </cell>
        </row>
        <row r="100">
          <cell r="AG100" t="str">
            <v>руб./тн</v>
          </cell>
          <cell r="AR100">
            <v>60378.767653507799</v>
          </cell>
        </row>
        <row r="101">
          <cell r="AG101" t="str">
            <v>тыс.руб.</v>
          </cell>
          <cell r="AR101">
            <v>738.43232840240034</v>
          </cell>
        </row>
        <row r="103">
          <cell r="AG103" t="str">
            <v>тн</v>
          </cell>
          <cell r="AR103">
            <v>0</v>
          </cell>
        </row>
        <row r="104">
          <cell r="AG104" t="str">
            <v>тн/тыс.м3</v>
          </cell>
          <cell r="AR104">
            <v>0</v>
          </cell>
        </row>
        <row r="105">
          <cell r="AG105" t="str">
            <v>тыс.м3</v>
          </cell>
          <cell r="AR105">
            <v>0</v>
          </cell>
        </row>
        <row r="106">
          <cell r="AG106" t="str">
            <v>руб./тн</v>
          </cell>
          <cell r="AR106">
            <v>0</v>
          </cell>
        </row>
        <row r="107">
          <cell r="AG107" t="str">
            <v>тыс.руб.</v>
          </cell>
          <cell r="AR107">
            <v>0</v>
          </cell>
        </row>
        <row r="109">
          <cell r="AG109" t="str">
            <v>тн</v>
          </cell>
          <cell r="AR109">
            <v>29560.75</v>
          </cell>
        </row>
        <row r="110">
          <cell r="AG110" t="str">
            <v>тн/тыс.м3</v>
          </cell>
          <cell r="AR110">
            <v>0.55241806559999995</v>
          </cell>
        </row>
        <row r="111">
          <cell r="AG111" t="str">
            <v>тыс.м3</v>
          </cell>
          <cell r="AR111">
            <v>53511.555544000003</v>
          </cell>
        </row>
        <row r="112">
          <cell r="AG112" t="str">
            <v>руб./тн</v>
          </cell>
          <cell r="AR112">
            <v>555.20317384769999</v>
          </cell>
        </row>
        <row r="113">
          <cell r="AG113" t="str">
            <v>тыс.руб.</v>
          </cell>
          <cell r="AR113">
            <v>16412.222221318396</v>
          </cell>
        </row>
        <row r="115">
          <cell r="AG115" t="str">
            <v>тн</v>
          </cell>
          <cell r="AR115">
            <v>0</v>
          </cell>
        </row>
        <row r="116">
          <cell r="AG116" t="str">
            <v>тн/тыс.м3</v>
          </cell>
          <cell r="AR116">
            <v>0</v>
          </cell>
        </row>
        <row r="117">
          <cell r="AG117" t="str">
            <v>тыс.м3</v>
          </cell>
          <cell r="AR117">
            <v>96.85</v>
          </cell>
        </row>
        <row r="118">
          <cell r="AG118" t="str">
            <v>руб./тн</v>
          </cell>
          <cell r="AR118">
            <v>0</v>
          </cell>
        </row>
        <row r="119">
          <cell r="AG119" t="str">
            <v>тыс.руб.</v>
          </cell>
          <cell r="AR119">
            <v>0</v>
          </cell>
        </row>
        <row r="121">
          <cell r="AG121" t="str">
            <v>тн</v>
          </cell>
          <cell r="AR121">
            <v>0</v>
          </cell>
        </row>
        <row r="122">
          <cell r="AG122" t="str">
            <v>тн/тыс.м3</v>
          </cell>
          <cell r="AR122">
            <v>0</v>
          </cell>
        </row>
        <row r="123">
          <cell r="AG123" t="str">
            <v>тыс.м3</v>
          </cell>
          <cell r="AR123">
            <v>49655.01</v>
          </cell>
        </row>
        <row r="124">
          <cell r="AG124" t="str">
            <v>руб./тн</v>
          </cell>
          <cell r="AR124">
            <v>0</v>
          </cell>
        </row>
        <row r="125">
          <cell r="AG125" t="str">
            <v>тыс.руб.</v>
          </cell>
          <cell r="AR125">
            <v>0</v>
          </cell>
        </row>
        <row r="127">
          <cell r="AG127" t="str">
            <v>тн</v>
          </cell>
          <cell r="AR127">
            <v>0</v>
          </cell>
        </row>
        <row r="128">
          <cell r="AG128" t="str">
            <v>тн/тыс.м3</v>
          </cell>
          <cell r="AR128">
            <v>0</v>
          </cell>
        </row>
        <row r="129">
          <cell r="AG129" t="str">
            <v>тыс.м3</v>
          </cell>
          <cell r="AR129">
            <v>49218.18</v>
          </cell>
        </row>
        <row r="130">
          <cell r="AG130" t="str">
            <v>руб./тн</v>
          </cell>
          <cell r="AR130">
            <v>0</v>
          </cell>
        </row>
        <row r="131">
          <cell r="AG131" t="str">
            <v>тыс.руб.</v>
          </cell>
          <cell r="AR131">
            <v>0</v>
          </cell>
        </row>
        <row r="133">
          <cell r="AG133" t="str">
            <v>тн</v>
          </cell>
          <cell r="AR133">
            <v>0</v>
          </cell>
        </row>
        <row r="134">
          <cell r="AG134" t="str">
            <v>тн/тыс.м3</v>
          </cell>
          <cell r="AR134">
            <v>0</v>
          </cell>
        </row>
        <row r="135">
          <cell r="AG135" t="str">
            <v>тыс.м3</v>
          </cell>
          <cell r="AR135">
            <v>0</v>
          </cell>
        </row>
        <row r="136">
          <cell r="AG136" t="str">
            <v>руб./тн</v>
          </cell>
          <cell r="AR136">
            <v>0</v>
          </cell>
        </row>
        <row r="137">
          <cell r="AG137" t="str">
            <v>тыс.руб.</v>
          </cell>
          <cell r="AR137">
            <v>0</v>
          </cell>
        </row>
        <row r="139">
          <cell r="AG139" t="str">
            <v>тн</v>
          </cell>
          <cell r="AR139">
            <v>763.89</v>
          </cell>
        </row>
        <row r="140">
          <cell r="AG140" t="str">
            <v>тн/тыс.м3</v>
          </cell>
          <cell r="AR140">
            <v>1.42752344E-2</v>
          </cell>
        </row>
        <row r="141">
          <cell r="AG141" t="str">
            <v>тыс.м3</v>
          </cell>
          <cell r="AR141">
            <v>53511.555544000003</v>
          </cell>
        </row>
        <row r="142">
          <cell r="AG142" t="str">
            <v>руб./тн</v>
          </cell>
          <cell r="AR142">
            <v>23755.430876258299</v>
          </cell>
        </row>
        <row r="143">
          <cell r="AG143" t="str">
            <v>тыс.руб.</v>
          </cell>
          <cell r="AR143">
            <v>18146.536092064951</v>
          </cell>
        </row>
        <row r="145">
          <cell r="AG145" t="str">
            <v>тн</v>
          </cell>
          <cell r="AR145">
            <v>0</v>
          </cell>
        </row>
        <row r="146">
          <cell r="AG146" t="str">
            <v>тн/тыс.м3</v>
          </cell>
          <cell r="AR146">
            <v>0</v>
          </cell>
        </row>
        <row r="147">
          <cell r="AG147" t="str">
            <v>тыс.м3</v>
          </cell>
          <cell r="AR147">
            <v>0</v>
          </cell>
        </row>
        <row r="148">
          <cell r="AG148" t="str">
            <v>руб./тн</v>
          </cell>
          <cell r="AR148">
            <v>0</v>
          </cell>
        </row>
        <row r="149">
          <cell r="AG149" t="str">
            <v>тыс.руб.</v>
          </cell>
          <cell r="AR149">
            <v>0</v>
          </cell>
        </row>
        <row r="151">
          <cell r="A151" t="b">
            <v>0</v>
          </cell>
          <cell r="B151" t="b">
            <v>0</v>
          </cell>
        </row>
      </sheetData>
      <sheetData sheetId="31"/>
      <sheetData sheetId="32"/>
      <sheetData sheetId="33"/>
      <sheetData sheetId="34"/>
      <sheetData sheetId="35">
        <row r="96">
          <cell r="BB96">
            <v>142055.70908775</v>
          </cell>
          <cell r="BG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8">
          <cell r="BB98">
            <v>22063.49</v>
          </cell>
          <cell r="BG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</row>
        <row r="102">
          <cell r="BB102">
            <v>61422.779672999997</v>
          </cell>
          <cell r="BG102">
            <v>112.012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112.54</v>
          </cell>
          <cell r="BQ102">
            <v>112.54</v>
          </cell>
          <cell r="BR102">
            <v>112.54</v>
          </cell>
          <cell r="BS102">
            <v>112.54</v>
          </cell>
          <cell r="BT102">
            <v>112.54</v>
          </cell>
        </row>
        <row r="103"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</sheetData>
      <sheetData sheetId="36"/>
      <sheetData sheetId="37">
        <row r="92">
          <cell r="AH92">
            <v>2158.5700000000002</v>
          </cell>
          <cell r="AM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</sheetData>
      <sheetData sheetId="38">
        <row r="92">
          <cell r="AH92">
            <v>0</v>
          </cell>
          <cell r="AM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</sheetData>
      <sheetData sheetId="39">
        <row r="95">
          <cell r="AH95">
            <v>4439.4582196000001</v>
          </cell>
          <cell r="AM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</sheetData>
      <sheetData sheetId="40">
        <row r="93">
          <cell r="AH93">
            <v>921.55199999999991</v>
          </cell>
          <cell r="AM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  <row r="103">
          <cell r="Z103" t="str">
            <v>×</v>
          </cell>
          <cell r="AF103">
            <v>0</v>
          </cell>
        </row>
        <row r="104">
          <cell r="Z104" t="str">
            <v>з - 1</v>
          </cell>
          <cell r="AF104">
            <v>0</v>
          </cell>
        </row>
        <row r="105">
          <cell r="Z105" t="str">
            <v>з - 2</v>
          </cell>
          <cell r="AF105">
            <v>0</v>
          </cell>
        </row>
        <row r="106">
          <cell r="AF106">
            <v>0</v>
          </cell>
        </row>
        <row r="107">
          <cell r="AF107">
            <v>0</v>
          </cell>
        </row>
        <row r="108">
          <cell r="AF108">
            <v>0</v>
          </cell>
        </row>
        <row r="109">
          <cell r="Z109" t="str">
            <v>об</v>
          </cell>
          <cell r="AF109">
            <v>28.16</v>
          </cell>
        </row>
        <row r="110">
          <cell r="Z110" t="str">
            <v>о - 1</v>
          </cell>
          <cell r="AF110">
            <v>14.08</v>
          </cell>
        </row>
        <row r="111">
          <cell r="Z111" t="str">
            <v>о - 2</v>
          </cell>
          <cell r="AF111">
            <v>14.08</v>
          </cell>
        </row>
        <row r="112">
          <cell r="Z112" t="str">
            <v>×</v>
          </cell>
          <cell r="AF112">
            <v>0</v>
          </cell>
        </row>
        <row r="113">
          <cell r="Z113" t="str">
            <v>з - 1</v>
          </cell>
          <cell r="AF113">
            <v>0</v>
          </cell>
        </row>
        <row r="114">
          <cell r="Z114" t="str">
            <v>з - 2</v>
          </cell>
          <cell r="AF114">
            <v>0</v>
          </cell>
        </row>
        <row r="115">
          <cell r="AF115">
            <v>0</v>
          </cell>
        </row>
        <row r="116">
          <cell r="AF116">
            <v>27.6</v>
          </cell>
        </row>
        <row r="117">
          <cell r="AF117">
            <v>0</v>
          </cell>
        </row>
        <row r="118">
          <cell r="Z118" t="str">
            <v>об</v>
          </cell>
          <cell r="AF118">
            <v>0</v>
          </cell>
        </row>
        <row r="119">
          <cell r="Z119" t="str">
            <v>о - 1</v>
          </cell>
          <cell r="AF119">
            <v>0</v>
          </cell>
        </row>
        <row r="120">
          <cell r="Z120" t="str">
            <v>о - 2</v>
          </cell>
          <cell r="AF120">
            <v>0</v>
          </cell>
        </row>
        <row r="121">
          <cell r="Z121" t="str">
            <v>×</v>
          </cell>
          <cell r="AF121">
            <v>331.68239999999997</v>
          </cell>
        </row>
        <row r="122">
          <cell r="Z122" t="str">
            <v>з - 1</v>
          </cell>
          <cell r="AF122">
            <v>162.94319999999999</v>
          </cell>
        </row>
        <row r="123">
          <cell r="Z123" t="str">
            <v>з - 2</v>
          </cell>
          <cell r="AF123">
            <v>168.73919999999998</v>
          </cell>
        </row>
        <row r="124">
          <cell r="AF124">
            <v>25.2</v>
          </cell>
        </row>
        <row r="125">
          <cell r="AF125">
            <v>25.2</v>
          </cell>
        </row>
        <row r="126">
          <cell r="AF126">
            <v>25.2</v>
          </cell>
        </row>
        <row r="127">
          <cell r="Z127" t="str">
            <v>об</v>
          </cell>
          <cell r="AF127">
            <v>13.161999999999999</v>
          </cell>
        </row>
        <row r="128">
          <cell r="Z128" t="str">
            <v>о - 1</v>
          </cell>
          <cell r="AF128">
            <v>6.4660000000000002</v>
          </cell>
        </row>
        <row r="129">
          <cell r="Z129" t="str">
            <v>о - 2</v>
          </cell>
          <cell r="AF129">
            <v>6.6959999999999997</v>
          </cell>
        </row>
        <row r="130">
          <cell r="Z130" t="str">
            <v>×</v>
          </cell>
          <cell r="AF130">
            <v>0</v>
          </cell>
        </row>
        <row r="131">
          <cell r="Z131" t="str">
            <v>з - 1</v>
          </cell>
          <cell r="AF131">
            <v>0</v>
          </cell>
        </row>
        <row r="132">
          <cell r="Z132" t="str">
            <v>з - 2</v>
          </cell>
          <cell r="AF132">
            <v>0</v>
          </cell>
        </row>
        <row r="133">
          <cell r="AF133">
            <v>0</v>
          </cell>
        </row>
        <row r="134">
          <cell r="AF134">
            <v>0</v>
          </cell>
        </row>
        <row r="135">
          <cell r="AF135">
            <v>0</v>
          </cell>
        </row>
        <row r="136">
          <cell r="Z136" t="str">
            <v>об</v>
          </cell>
          <cell r="AF136">
            <v>0</v>
          </cell>
        </row>
        <row r="137">
          <cell r="Z137" t="str">
            <v>о - 1</v>
          </cell>
          <cell r="AF137">
            <v>0</v>
          </cell>
        </row>
        <row r="138">
          <cell r="Z138" t="str">
            <v>о - 2</v>
          </cell>
          <cell r="AF138">
            <v>0</v>
          </cell>
        </row>
      </sheetData>
      <sheetData sheetId="41">
        <row r="93">
          <cell r="AH93">
            <v>0</v>
          </cell>
          <cell r="AM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</sheetData>
      <sheetData sheetId="42">
        <row r="93">
          <cell r="AH93">
            <v>0</v>
          </cell>
          <cell r="AM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</sheetData>
      <sheetData sheetId="43">
        <row r="94">
          <cell r="BA94">
            <v>0.01</v>
          </cell>
          <cell r="BK94">
            <v>0</v>
          </cell>
          <cell r="BS94">
            <v>0</v>
          </cell>
          <cell r="BU94">
            <v>0</v>
          </cell>
          <cell r="BW94">
            <v>0</v>
          </cell>
          <cell r="BY94">
            <v>0</v>
          </cell>
          <cell r="CC94">
            <v>0</v>
          </cell>
          <cell r="CE94">
            <v>0</v>
          </cell>
          <cell r="CG94">
            <v>0</v>
          </cell>
          <cell r="CI94">
            <v>0</v>
          </cell>
          <cell r="CK94">
            <v>0</v>
          </cell>
        </row>
      </sheetData>
      <sheetData sheetId="44">
        <row r="94">
          <cell r="CW94">
            <v>0</v>
          </cell>
          <cell r="DI94">
            <v>0</v>
          </cell>
          <cell r="DU94">
            <v>0</v>
          </cell>
          <cell r="EG94">
            <v>0</v>
          </cell>
          <cell r="EO94">
            <v>0</v>
          </cell>
          <cell r="FC94">
            <v>0</v>
          </cell>
          <cell r="FO94">
            <v>0</v>
          </cell>
          <cell r="GA94">
            <v>0</v>
          </cell>
          <cell r="GM94">
            <v>0</v>
          </cell>
          <cell r="GY94">
            <v>0</v>
          </cell>
          <cell r="HK94">
            <v>0</v>
          </cell>
        </row>
        <row r="108">
          <cell r="CW108">
            <v>0</v>
          </cell>
          <cell r="DI108">
            <v>0</v>
          </cell>
          <cell r="DU108">
            <v>0</v>
          </cell>
          <cell r="EG108">
            <v>0</v>
          </cell>
          <cell r="EO108">
            <v>0</v>
          </cell>
          <cell r="FC108">
            <v>0</v>
          </cell>
          <cell r="FO108">
            <v>0</v>
          </cell>
          <cell r="GA108">
            <v>0</v>
          </cell>
          <cell r="GM108">
            <v>0</v>
          </cell>
          <cell r="GY108">
            <v>0</v>
          </cell>
          <cell r="HK108">
            <v>0</v>
          </cell>
        </row>
        <row r="121">
          <cell r="CW121">
            <v>0</v>
          </cell>
          <cell r="DI121">
            <v>0</v>
          </cell>
          <cell r="DU121">
            <v>0</v>
          </cell>
          <cell r="EG121">
            <v>0</v>
          </cell>
          <cell r="EO121">
            <v>18001666.666666668</v>
          </cell>
          <cell r="FC121">
            <v>0</v>
          </cell>
          <cell r="FO121">
            <v>0</v>
          </cell>
          <cell r="GA121">
            <v>0</v>
          </cell>
          <cell r="GM121">
            <v>0</v>
          </cell>
          <cell r="GY121">
            <v>0</v>
          </cell>
          <cell r="HK121">
            <v>0</v>
          </cell>
        </row>
      </sheetData>
      <sheetData sheetId="45">
        <row r="23">
          <cell r="AF23" t="str">
            <v>да</v>
          </cell>
        </row>
        <row r="24">
          <cell r="AF24" t="str">
            <v>да</v>
          </cell>
        </row>
        <row r="93">
          <cell r="BZ93">
            <v>102948003.85441987</v>
          </cell>
          <cell r="CH93">
            <v>102772407.96441987</v>
          </cell>
          <cell r="CP93">
            <v>102772407.96441987</v>
          </cell>
          <cell r="CX93">
            <v>102772407.96441987</v>
          </cell>
          <cell r="DP93">
            <v>251899778.35000002</v>
          </cell>
          <cell r="DU93">
            <v>0</v>
          </cell>
          <cell r="ED93">
            <v>0</v>
          </cell>
          <cell r="EL93">
            <v>0</v>
          </cell>
          <cell r="ET93">
            <v>0</v>
          </cell>
          <cell r="FB93">
            <v>0</v>
          </cell>
          <cell r="FJ93">
            <v>0</v>
          </cell>
        </row>
      </sheetData>
      <sheetData sheetId="46"/>
      <sheetData sheetId="47">
        <row r="85">
          <cell r="AA85">
            <v>1</v>
          </cell>
          <cell r="AD85">
            <v>0</v>
          </cell>
        </row>
        <row r="86">
          <cell r="AA86">
            <v>2</v>
          </cell>
          <cell r="AD86">
            <v>0</v>
          </cell>
        </row>
        <row r="87">
          <cell r="AA87">
            <v>3</v>
          </cell>
          <cell r="AD87">
            <v>0</v>
          </cell>
        </row>
        <row r="88">
          <cell r="AA88">
            <v>4</v>
          </cell>
          <cell r="AD88">
            <v>0</v>
          </cell>
        </row>
        <row r="89">
          <cell r="AA89">
            <v>5</v>
          </cell>
          <cell r="AD89">
            <v>0</v>
          </cell>
        </row>
        <row r="90">
          <cell r="AA90">
            <v>6</v>
          </cell>
          <cell r="AD90">
            <v>0</v>
          </cell>
        </row>
        <row r="91">
          <cell r="AA91">
            <v>7</v>
          </cell>
          <cell r="AD91">
            <v>0</v>
          </cell>
        </row>
        <row r="92">
          <cell r="AA92">
            <v>8</v>
          </cell>
          <cell r="AD92">
            <v>0</v>
          </cell>
        </row>
        <row r="93">
          <cell r="AA93">
            <v>9</v>
          </cell>
          <cell r="AD93">
            <v>0</v>
          </cell>
        </row>
        <row r="94">
          <cell r="AA94">
            <v>10</v>
          </cell>
          <cell r="AD94">
            <v>0</v>
          </cell>
        </row>
        <row r="95">
          <cell r="AA95">
            <v>11</v>
          </cell>
          <cell r="AD95">
            <v>0</v>
          </cell>
        </row>
        <row r="96">
          <cell r="AA96">
            <v>12</v>
          </cell>
          <cell r="AD96">
            <v>0</v>
          </cell>
        </row>
        <row r="97">
          <cell r="AA97">
            <v>13</v>
          </cell>
          <cell r="AD97">
            <v>0</v>
          </cell>
        </row>
        <row r="98">
          <cell r="AA98">
            <v>14</v>
          </cell>
          <cell r="AD98">
            <v>0</v>
          </cell>
        </row>
        <row r="99">
          <cell r="AA99">
            <v>15</v>
          </cell>
          <cell r="AD99">
            <v>0</v>
          </cell>
        </row>
        <row r="100">
          <cell r="AA100">
            <v>16</v>
          </cell>
          <cell r="AD100">
            <v>0</v>
          </cell>
        </row>
        <row r="101">
          <cell r="AA101">
            <v>17</v>
          </cell>
          <cell r="AD101">
            <v>0</v>
          </cell>
        </row>
        <row r="102">
          <cell r="AA102">
            <v>18</v>
          </cell>
          <cell r="AD102">
            <v>0</v>
          </cell>
        </row>
      </sheetData>
      <sheetData sheetId="48"/>
      <sheetData sheetId="49"/>
      <sheetData sheetId="50"/>
      <sheetData sheetId="51">
        <row r="94">
          <cell r="BY94">
            <v>0</v>
          </cell>
        </row>
        <row r="95">
          <cell r="BY95">
            <v>0</v>
          </cell>
        </row>
        <row r="99">
          <cell r="BY99">
            <v>0</v>
          </cell>
          <cell r="CC99">
            <v>0</v>
          </cell>
          <cell r="CE99">
            <v>0</v>
          </cell>
          <cell r="CG99">
            <v>0</v>
          </cell>
          <cell r="CI99">
            <v>0</v>
          </cell>
          <cell r="CK99">
            <v>0</v>
          </cell>
        </row>
        <row r="105">
          <cell r="BY105">
            <v>0</v>
          </cell>
          <cell r="CC105">
            <v>0</v>
          </cell>
          <cell r="CE105">
            <v>0</v>
          </cell>
          <cell r="CG105">
            <v>0</v>
          </cell>
          <cell r="CI105">
            <v>0</v>
          </cell>
          <cell r="CK105">
            <v>0</v>
          </cell>
        </row>
        <row r="111">
          <cell r="BY111">
            <v>0</v>
          </cell>
        </row>
        <row r="117">
          <cell r="BY117">
            <v>0</v>
          </cell>
        </row>
        <row r="126">
          <cell r="BY126">
            <v>0</v>
          </cell>
        </row>
        <row r="141">
          <cell r="BY141">
            <v>0</v>
          </cell>
          <cell r="CC141">
            <v>0</v>
          </cell>
          <cell r="CE141">
            <v>0</v>
          </cell>
          <cell r="CG141">
            <v>0</v>
          </cell>
          <cell r="CI141">
            <v>0</v>
          </cell>
          <cell r="CK141">
            <v>0</v>
          </cell>
        </row>
        <row r="174">
          <cell r="BY174">
            <v>0</v>
          </cell>
          <cell r="CC174">
            <v>0</v>
          </cell>
          <cell r="CE174">
            <v>0</v>
          </cell>
          <cell r="CG174">
            <v>0</v>
          </cell>
          <cell r="CI174">
            <v>0</v>
          </cell>
          <cell r="CK174">
            <v>0</v>
          </cell>
        </row>
        <row r="175">
          <cell r="BY175">
            <v>0</v>
          </cell>
          <cell r="CC175">
            <v>0</v>
          </cell>
          <cell r="CE175">
            <v>0</v>
          </cell>
          <cell r="CG175">
            <v>0</v>
          </cell>
          <cell r="CI175">
            <v>0</v>
          </cell>
          <cell r="CK175">
            <v>0</v>
          </cell>
        </row>
        <row r="176">
          <cell r="BY176">
            <v>0</v>
          </cell>
          <cell r="CC176">
            <v>0</v>
          </cell>
          <cell r="CE176">
            <v>0</v>
          </cell>
          <cell r="CG176">
            <v>0</v>
          </cell>
          <cell r="CI176">
            <v>0</v>
          </cell>
          <cell r="CK176">
            <v>0</v>
          </cell>
        </row>
        <row r="177">
          <cell r="BY177">
            <v>0</v>
          </cell>
          <cell r="CC177">
            <v>0</v>
          </cell>
          <cell r="CE177">
            <v>0</v>
          </cell>
          <cell r="CG177">
            <v>0</v>
          </cell>
          <cell r="CI177">
            <v>0</v>
          </cell>
          <cell r="CK177">
            <v>0</v>
          </cell>
        </row>
        <row r="178">
          <cell r="BY178">
            <v>0</v>
          </cell>
          <cell r="CC178">
            <v>0</v>
          </cell>
          <cell r="CE178">
            <v>0</v>
          </cell>
          <cell r="CG178">
            <v>0</v>
          </cell>
          <cell r="CI178">
            <v>0</v>
          </cell>
          <cell r="CK178">
            <v>0</v>
          </cell>
        </row>
        <row r="181">
          <cell r="BY181">
            <v>0</v>
          </cell>
          <cell r="CC181">
            <v>0</v>
          </cell>
          <cell r="CE181">
            <v>0</v>
          </cell>
          <cell r="CG181">
            <v>0</v>
          </cell>
          <cell r="CI181">
            <v>0</v>
          </cell>
          <cell r="CK181">
            <v>0</v>
          </cell>
        </row>
        <row r="183">
          <cell r="BY183">
            <v>0</v>
          </cell>
          <cell r="CC183">
            <v>0</v>
          </cell>
          <cell r="CE183">
            <v>0</v>
          </cell>
          <cell r="CG183">
            <v>0</v>
          </cell>
          <cell r="CI183">
            <v>0</v>
          </cell>
          <cell r="CK183">
            <v>0</v>
          </cell>
        </row>
        <row r="185">
          <cell r="BY185">
            <v>0</v>
          </cell>
          <cell r="CC185">
            <v>0</v>
          </cell>
          <cell r="CE185">
            <v>0</v>
          </cell>
          <cell r="CG185">
            <v>0</v>
          </cell>
          <cell r="CI185">
            <v>0</v>
          </cell>
          <cell r="CK185">
            <v>0</v>
          </cell>
        </row>
        <row r="187">
          <cell r="CC187">
            <v>0</v>
          </cell>
          <cell r="CE187">
            <v>0</v>
          </cell>
          <cell r="CG187">
            <v>0</v>
          </cell>
          <cell r="CI187">
            <v>0</v>
          </cell>
          <cell r="CK187">
            <v>0</v>
          </cell>
        </row>
        <row r="190">
          <cell r="BY190">
            <v>0</v>
          </cell>
          <cell r="CC190">
            <v>0</v>
          </cell>
          <cell r="CE190">
            <v>0</v>
          </cell>
          <cell r="CG190">
            <v>0</v>
          </cell>
          <cell r="CI190">
            <v>0</v>
          </cell>
          <cell r="CK190">
            <v>0</v>
          </cell>
        </row>
        <row r="192">
          <cell r="BY192">
            <v>0</v>
          </cell>
          <cell r="BZ192">
            <v>0</v>
          </cell>
          <cell r="CC192" t="e">
            <v>#REF!</v>
          </cell>
          <cell r="CE192" t="e">
            <v>#REF!</v>
          </cell>
          <cell r="CG192" t="e">
            <v>#REF!</v>
          </cell>
          <cell r="CI192" t="e">
            <v>#REF!</v>
          </cell>
          <cell r="CK192" t="e">
            <v>#REF!</v>
          </cell>
        </row>
        <row r="193">
          <cell r="BY193">
            <v>0</v>
          </cell>
          <cell r="BZ193">
            <v>0</v>
          </cell>
          <cell r="CC193">
            <v>0</v>
          </cell>
          <cell r="CE193">
            <v>0</v>
          </cell>
          <cell r="CG193">
            <v>0</v>
          </cell>
          <cell r="CI193">
            <v>0</v>
          </cell>
          <cell r="CK193">
            <v>0</v>
          </cell>
        </row>
        <row r="194">
          <cell r="BY194">
            <v>0</v>
          </cell>
          <cell r="BZ194">
            <v>0</v>
          </cell>
          <cell r="CC194">
            <v>0</v>
          </cell>
          <cell r="CE194">
            <v>0</v>
          </cell>
          <cell r="CG194">
            <v>0</v>
          </cell>
          <cell r="CI194">
            <v>0</v>
          </cell>
          <cell r="CK194">
            <v>0</v>
          </cell>
        </row>
        <row r="195">
          <cell r="BY195">
            <v>0</v>
          </cell>
          <cell r="BZ195">
            <v>0</v>
          </cell>
          <cell r="CC195" t="e">
            <v>#REF!</v>
          </cell>
          <cell r="CE195" t="e">
            <v>#REF!</v>
          </cell>
          <cell r="CG195" t="e">
            <v>#REF!</v>
          </cell>
          <cell r="CI195" t="e">
            <v>#REF!</v>
          </cell>
          <cell r="CK195" t="e">
            <v>#REF!</v>
          </cell>
        </row>
        <row r="196">
          <cell r="BY196">
            <v>0</v>
          </cell>
          <cell r="CC196">
            <v>0</v>
          </cell>
          <cell r="CE196">
            <v>0</v>
          </cell>
          <cell r="CG196">
            <v>0</v>
          </cell>
          <cell r="CI196">
            <v>0</v>
          </cell>
          <cell r="CK196">
            <v>0</v>
          </cell>
        </row>
        <row r="197">
          <cell r="BY197">
            <v>0</v>
          </cell>
          <cell r="CC197">
            <v>0</v>
          </cell>
          <cell r="CE197">
            <v>0</v>
          </cell>
          <cell r="CG197">
            <v>0</v>
          </cell>
          <cell r="CI197">
            <v>0</v>
          </cell>
          <cell r="CK197">
            <v>0</v>
          </cell>
        </row>
        <row r="198">
          <cell r="BY198">
            <v>0</v>
          </cell>
          <cell r="BZ198">
            <v>0</v>
          </cell>
          <cell r="CC198">
            <v>0</v>
          </cell>
          <cell r="CE198">
            <v>0</v>
          </cell>
          <cell r="CG198">
            <v>0</v>
          </cell>
          <cell r="CI198">
            <v>0</v>
          </cell>
          <cell r="CK198">
            <v>0</v>
          </cell>
        </row>
        <row r="199">
          <cell r="BY199">
            <v>0</v>
          </cell>
          <cell r="CC199">
            <v>0</v>
          </cell>
          <cell r="CE199">
            <v>0</v>
          </cell>
          <cell r="CG199">
            <v>0</v>
          </cell>
          <cell r="CI199">
            <v>0</v>
          </cell>
          <cell r="CK199">
            <v>0</v>
          </cell>
        </row>
        <row r="200">
          <cell r="BY200">
            <v>0</v>
          </cell>
          <cell r="CC200">
            <v>0</v>
          </cell>
          <cell r="CE200">
            <v>0</v>
          </cell>
          <cell r="CG200">
            <v>0</v>
          </cell>
          <cell r="CI200">
            <v>0</v>
          </cell>
          <cell r="CK200">
            <v>0</v>
          </cell>
        </row>
        <row r="201">
          <cell r="BY201">
            <v>0</v>
          </cell>
          <cell r="CC201">
            <v>0</v>
          </cell>
          <cell r="CE201">
            <v>0</v>
          </cell>
          <cell r="CG201">
            <v>0</v>
          </cell>
          <cell r="CI201">
            <v>0</v>
          </cell>
          <cell r="CK201">
            <v>0</v>
          </cell>
        </row>
        <row r="202">
          <cell r="BY202">
            <v>0</v>
          </cell>
          <cell r="CC202">
            <v>0</v>
          </cell>
          <cell r="CE202">
            <v>0</v>
          </cell>
          <cell r="CG202">
            <v>0</v>
          </cell>
          <cell r="CI202">
            <v>0</v>
          </cell>
          <cell r="CK202">
            <v>0</v>
          </cell>
        </row>
        <row r="203">
          <cell r="BY203">
            <v>0</v>
          </cell>
          <cell r="CC203">
            <v>0</v>
          </cell>
          <cell r="CE203">
            <v>0</v>
          </cell>
          <cell r="CG203">
            <v>0</v>
          </cell>
          <cell r="CI203">
            <v>0</v>
          </cell>
          <cell r="CK203">
            <v>0</v>
          </cell>
        </row>
        <row r="204">
          <cell r="BY204">
            <v>0</v>
          </cell>
          <cell r="BZ204">
            <v>0</v>
          </cell>
          <cell r="CC204">
            <v>0</v>
          </cell>
          <cell r="CE204">
            <v>0</v>
          </cell>
          <cell r="CG204">
            <v>0</v>
          </cell>
          <cell r="CI204">
            <v>0</v>
          </cell>
          <cell r="CK204">
            <v>0</v>
          </cell>
        </row>
        <row r="205">
          <cell r="BY205">
            <v>0</v>
          </cell>
          <cell r="CC205">
            <v>0</v>
          </cell>
          <cell r="CE205">
            <v>0</v>
          </cell>
          <cell r="CG205">
            <v>0</v>
          </cell>
          <cell r="CI205">
            <v>0</v>
          </cell>
          <cell r="CK205">
            <v>0</v>
          </cell>
        </row>
        <row r="206">
          <cell r="BY206">
            <v>0</v>
          </cell>
          <cell r="CC206">
            <v>0</v>
          </cell>
          <cell r="CE206">
            <v>0</v>
          </cell>
          <cell r="CG206">
            <v>0</v>
          </cell>
          <cell r="CI206">
            <v>0</v>
          </cell>
          <cell r="CK206">
            <v>0</v>
          </cell>
        </row>
        <row r="207">
          <cell r="BY207">
            <v>0</v>
          </cell>
          <cell r="CC207">
            <v>0</v>
          </cell>
          <cell r="CE207">
            <v>0</v>
          </cell>
          <cell r="CG207">
            <v>0</v>
          </cell>
          <cell r="CI207">
            <v>0</v>
          </cell>
          <cell r="CK207">
            <v>0</v>
          </cell>
        </row>
        <row r="208">
          <cell r="BY208">
            <v>0</v>
          </cell>
          <cell r="CC208">
            <v>0</v>
          </cell>
          <cell r="CE208">
            <v>0</v>
          </cell>
          <cell r="CG208">
            <v>0</v>
          </cell>
          <cell r="CI208">
            <v>0</v>
          </cell>
          <cell r="CK208">
            <v>0</v>
          </cell>
        </row>
        <row r="209">
          <cell r="BY209">
            <v>0</v>
          </cell>
          <cell r="CC209">
            <v>0</v>
          </cell>
          <cell r="CE209">
            <v>0</v>
          </cell>
          <cell r="CG209">
            <v>0</v>
          </cell>
          <cell r="CI209">
            <v>0</v>
          </cell>
          <cell r="CK209">
            <v>0</v>
          </cell>
        </row>
        <row r="210">
          <cell r="BY210">
            <v>0</v>
          </cell>
          <cell r="BZ210">
            <v>0</v>
          </cell>
          <cell r="CC210" t="e">
            <v>#REF!</v>
          </cell>
          <cell r="CE210" t="e">
            <v>#REF!</v>
          </cell>
          <cell r="CG210" t="e">
            <v>#REF!</v>
          </cell>
          <cell r="CI210" t="e">
            <v>#REF!</v>
          </cell>
          <cell r="CK210" t="e">
            <v>#REF!</v>
          </cell>
        </row>
        <row r="211">
          <cell r="BY211">
            <v>0</v>
          </cell>
          <cell r="BZ211">
            <v>0</v>
          </cell>
          <cell r="CC211" t="e">
            <v>#REF!</v>
          </cell>
          <cell r="CE211" t="e">
            <v>#REF!</v>
          </cell>
          <cell r="CG211" t="e">
            <v>#REF!</v>
          </cell>
          <cell r="CI211" t="e">
            <v>#REF!</v>
          </cell>
          <cell r="CK211" t="e">
            <v>#REF!</v>
          </cell>
        </row>
        <row r="212">
          <cell r="BY212">
            <v>0</v>
          </cell>
          <cell r="BZ212">
            <v>0</v>
          </cell>
          <cell r="CC212" t="e">
            <v>#REF!</v>
          </cell>
          <cell r="CE212" t="e">
            <v>#REF!</v>
          </cell>
          <cell r="CG212" t="e">
            <v>#REF!</v>
          </cell>
          <cell r="CI212" t="e">
            <v>#REF!</v>
          </cell>
          <cell r="CK212" t="e">
            <v>#REF!</v>
          </cell>
        </row>
        <row r="213">
          <cell r="BY213">
            <v>0</v>
          </cell>
          <cell r="BZ213">
            <v>0</v>
          </cell>
          <cell r="CC213" t="e">
            <v>#REF!</v>
          </cell>
          <cell r="CE213" t="e">
            <v>#REF!</v>
          </cell>
          <cell r="CG213" t="e">
            <v>#REF!</v>
          </cell>
          <cell r="CI213" t="e">
            <v>#REF!</v>
          </cell>
          <cell r="CK213" t="e">
            <v>#REF!</v>
          </cell>
        </row>
        <row r="214">
          <cell r="BY214">
            <v>0</v>
          </cell>
          <cell r="BZ214">
            <v>0</v>
          </cell>
          <cell r="CC214" t="e">
            <v>#REF!</v>
          </cell>
          <cell r="CE214" t="e">
            <v>#REF!</v>
          </cell>
          <cell r="CG214" t="e">
            <v>#REF!</v>
          </cell>
          <cell r="CI214" t="e">
            <v>#REF!</v>
          </cell>
          <cell r="CK214" t="e">
            <v>#REF!</v>
          </cell>
        </row>
        <row r="215">
          <cell r="BY215">
            <v>0</v>
          </cell>
          <cell r="BZ215">
            <v>0</v>
          </cell>
          <cell r="CC215" t="e">
            <v>#REF!</v>
          </cell>
          <cell r="CE215" t="e">
            <v>#REF!</v>
          </cell>
          <cell r="CG215" t="e">
            <v>#REF!</v>
          </cell>
          <cell r="CI215" t="e">
            <v>#REF!</v>
          </cell>
          <cell r="CK215" t="e">
            <v>#REF!</v>
          </cell>
        </row>
        <row r="216">
          <cell r="BY216">
            <v>0</v>
          </cell>
          <cell r="BZ216">
            <v>0</v>
          </cell>
          <cell r="CC216" t="e">
            <v>#REF!</v>
          </cell>
          <cell r="CE216" t="e">
            <v>#REF!</v>
          </cell>
          <cell r="CG216" t="e">
            <v>#REF!</v>
          </cell>
          <cell r="CI216" t="e">
            <v>#REF!</v>
          </cell>
          <cell r="CK216" t="e">
            <v>#REF!</v>
          </cell>
        </row>
        <row r="217">
          <cell r="BY217">
            <v>0</v>
          </cell>
          <cell r="BZ217">
            <v>0</v>
          </cell>
          <cell r="CC217" t="e">
            <v>#REF!</v>
          </cell>
          <cell r="CE217" t="e">
            <v>#REF!</v>
          </cell>
          <cell r="CG217" t="e">
            <v>#REF!</v>
          </cell>
          <cell r="CI217" t="e">
            <v>#REF!</v>
          </cell>
          <cell r="CK217" t="e">
            <v>#REF!</v>
          </cell>
        </row>
        <row r="218">
          <cell r="BY218">
            <v>0</v>
          </cell>
          <cell r="BZ218">
            <v>0</v>
          </cell>
          <cell r="CC218" t="e">
            <v>#REF!</v>
          </cell>
          <cell r="CE218" t="e">
            <v>#REF!</v>
          </cell>
          <cell r="CG218" t="e">
            <v>#REF!</v>
          </cell>
          <cell r="CI218" t="e">
            <v>#REF!</v>
          </cell>
          <cell r="CK218" t="e">
            <v>#REF!</v>
          </cell>
        </row>
        <row r="219">
          <cell r="BY219">
            <v>0</v>
          </cell>
          <cell r="BZ219">
            <v>0</v>
          </cell>
          <cell r="CC219" t="e">
            <v>#REF!</v>
          </cell>
          <cell r="CE219" t="e">
            <v>#REF!</v>
          </cell>
          <cell r="CG219" t="e">
            <v>#REF!</v>
          </cell>
          <cell r="CI219" t="e">
            <v>#REF!</v>
          </cell>
          <cell r="CK219" t="e">
            <v>#REF!</v>
          </cell>
        </row>
        <row r="220">
          <cell r="BY220">
            <v>0</v>
          </cell>
          <cell r="BZ220">
            <v>0</v>
          </cell>
          <cell r="CC220" t="e">
            <v>#REF!</v>
          </cell>
          <cell r="CE220" t="e">
            <v>#REF!</v>
          </cell>
          <cell r="CG220" t="e">
            <v>#REF!</v>
          </cell>
          <cell r="CI220" t="e">
            <v>#REF!</v>
          </cell>
          <cell r="CK220" t="e">
            <v>#REF!</v>
          </cell>
        </row>
        <row r="221">
          <cell r="BY221">
            <v>0</v>
          </cell>
          <cell r="BZ221">
            <v>0</v>
          </cell>
          <cell r="CC221" t="e">
            <v>#REF!</v>
          </cell>
          <cell r="CE221" t="e">
            <v>#REF!</v>
          </cell>
          <cell r="CG221" t="e">
            <v>#REF!</v>
          </cell>
          <cell r="CI221" t="e">
            <v>#REF!</v>
          </cell>
          <cell r="CK221" t="e">
            <v>#REF!</v>
          </cell>
        </row>
        <row r="222">
          <cell r="BY222">
            <v>0</v>
          </cell>
          <cell r="BZ222">
            <v>0</v>
          </cell>
          <cell r="CC222" t="e">
            <v>#REF!</v>
          </cell>
          <cell r="CE222" t="e">
            <v>#REF!</v>
          </cell>
          <cell r="CG222" t="e">
            <v>#REF!</v>
          </cell>
          <cell r="CI222" t="e">
            <v>#REF!</v>
          </cell>
          <cell r="CK222" t="e">
            <v>#REF!</v>
          </cell>
        </row>
        <row r="223">
          <cell r="BY223">
            <v>0</v>
          </cell>
          <cell r="BZ223">
            <v>0</v>
          </cell>
          <cell r="CC223" t="e">
            <v>#REF!</v>
          </cell>
          <cell r="CE223" t="e">
            <v>#REF!</v>
          </cell>
          <cell r="CG223" t="e">
            <v>#REF!</v>
          </cell>
          <cell r="CI223" t="e">
            <v>#REF!</v>
          </cell>
          <cell r="CK223" t="e">
            <v>#REF!</v>
          </cell>
        </row>
        <row r="224">
          <cell r="BY224">
            <v>0</v>
          </cell>
          <cell r="BZ224">
            <v>0</v>
          </cell>
          <cell r="CC224" t="e">
            <v>#REF!</v>
          </cell>
          <cell r="CE224" t="e">
            <v>#REF!</v>
          </cell>
          <cell r="CG224" t="e">
            <v>#REF!</v>
          </cell>
          <cell r="CI224" t="e">
            <v>#REF!</v>
          </cell>
          <cell r="CK224" t="e">
            <v>#REF!</v>
          </cell>
        </row>
        <row r="225">
          <cell r="BY225">
            <v>0</v>
          </cell>
          <cell r="BZ225">
            <v>16694.039753778899</v>
          </cell>
          <cell r="CC225" t="e">
            <v>#REF!</v>
          </cell>
          <cell r="CE225" t="e">
            <v>#REF!</v>
          </cell>
          <cell r="CG225" t="e">
            <v>#REF!</v>
          </cell>
          <cell r="CI225" t="e">
            <v>#REF!</v>
          </cell>
          <cell r="CK225" t="e">
            <v>#REF!</v>
          </cell>
        </row>
        <row r="226">
          <cell r="BY226">
            <v>0</v>
          </cell>
          <cell r="BZ226">
            <v>0</v>
          </cell>
          <cell r="CC226" t="e">
            <v>#REF!</v>
          </cell>
          <cell r="CE226" t="e">
            <v>#REF!</v>
          </cell>
          <cell r="CG226" t="e">
            <v>#REF!</v>
          </cell>
          <cell r="CI226" t="e">
            <v>#REF!</v>
          </cell>
          <cell r="CK226" t="e">
            <v>#REF!</v>
          </cell>
        </row>
        <row r="227">
          <cell r="BY227">
            <v>0</v>
          </cell>
          <cell r="BZ227">
            <v>0</v>
          </cell>
          <cell r="CC227" t="e">
            <v>#REF!</v>
          </cell>
          <cell r="CE227" t="e">
            <v>#REF!</v>
          </cell>
          <cell r="CG227" t="e">
            <v>#REF!</v>
          </cell>
          <cell r="CI227" t="e">
            <v>#REF!</v>
          </cell>
          <cell r="CK227" t="e">
            <v>#REF!</v>
          </cell>
        </row>
        <row r="228">
          <cell r="BY228">
            <v>0</v>
          </cell>
          <cell r="BZ228">
            <v>0</v>
          </cell>
          <cell r="CC228" t="e">
            <v>#REF!</v>
          </cell>
          <cell r="CE228" t="e">
            <v>#REF!</v>
          </cell>
          <cell r="CG228" t="e">
            <v>#REF!</v>
          </cell>
          <cell r="CI228" t="e">
            <v>#REF!</v>
          </cell>
          <cell r="CK228" t="e">
            <v>#REF!</v>
          </cell>
        </row>
        <row r="229">
          <cell r="BY229">
            <v>0</v>
          </cell>
          <cell r="BZ229">
            <v>0</v>
          </cell>
          <cell r="CC229" t="e">
            <v>#REF!</v>
          </cell>
          <cell r="CE229" t="e">
            <v>#REF!</v>
          </cell>
          <cell r="CG229" t="e">
            <v>#REF!</v>
          </cell>
          <cell r="CI229" t="e">
            <v>#REF!</v>
          </cell>
          <cell r="CK229" t="e">
            <v>#REF!</v>
          </cell>
        </row>
        <row r="230">
          <cell r="BY230">
            <v>0</v>
          </cell>
          <cell r="BZ230">
            <v>0</v>
          </cell>
          <cell r="CC230" t="e">
            <v>#REF!</v>
          </cell>
          <cell r="CE230" t="e">
            <v>#REF!</v>
          </cell>
          <cell r="CG230" t="e">
            <v>#REF!</v>
          </cell>
          <cell r="CI230" t="e">
            <v>#REF!</v>
          </cell>
          <cell r="CK230" t="e">
            <v>#REF!</v>
          </cell>
        </row>
        <row r="231">
          <cell r="BY231">
            <v>0</v>
          </cell>
          <cell r="BZ231">
            <v>0</v>
          </cell>
          <cell r="CC231" t="e">
            <v>#REF!</v>
          </cell>
          <cell r="CE231" t="e">
            <v>#REF!</v>
          </cell>
          <cell r="CG231" t="e">
            <v>#REF!</v>
          </cell>
          <cell r="CI231" t="e">
            <v>#REF!</v>
          </cell>
          <cell r="CK231" t="e">
            <v>#REF!</v>
          </cell>
        </row>
        <row r="232">
          <cell r="BY232">
            <v>0</v>
          </cell>
          <cell r="BZ232">
            <v>0</v>
          </cell>
          <cell r="CC232" t="e">
            <v>#REF!</v>
          </cell>
          <cell r="CE232" t="e">
            <v>#REF!</v>
          </cell>
          <cell r="CG232" t="e">
            <v>#REF!</v>
          </cell>
          <cell r="CI232" t="e">
            <v>#REF!</v>
          </cell>
          <cell r="CK232" t="e">
            <v>#REF!</v>
          </cell>
        </row>
        <row r="233">
          <cell r="BY233">
            <v>0</v>
          </cell>
          <cell r="BZ233">
            <v>0</v>
          </cell>
          <cell r="CC233" t="e">
            <v>#REF!</v>
          </cell>
          <cell r="CE233" t="e">
            <v>#REF!</v>
          </cell>
          <cell r="CG233" t="e">
            <v>#REF!</v>
          </cell>
          <cell r="CI233" t="e">
            <v>#REF!</v>
          </cell>
          <cell r="CK233" t="e">
            <v>#REF!</v>
          </cell>
        </row>
        <row r="234">
          <cell r="BY234">
            <v>0</v>
          </cell>
          <cell r="BZ234">
            <v>0</v>
          </cell>
          <cell r="CC234" t="e">
            <v>#REF!</v>
          </cell>
          <cell r="CE234" t="e">
            <v>#REF!</v>
          </cell>
          <cell r="CG234" t="e">
            <v>#REF!</v>
          </cell>
          <cell r="CI234" t="e">
            <v>#REF!</v>
          </cell>
          <cell r="CK234" t="e">
            <v>#REF!</v>
          </cell>
        </row>
        <row r="235">
          <cell r="BY235">
            <v>0</v>
          </cell>
          <cell r="BZ235">
            <v>0</v>
          </cell>
          <cell r="CC235" t="e">
            <v>#REF!</v>
          </cell>
          <cell r="CE235" t="e">
            <v>#REF!</v>
          </cell>
          <cell r="CG235" t="e">
            <v>#REF!</v>
          </cell>
          <cell r="CI235" t="e">
            <v>#REF!</v>
          </cell>
          <cell r="CK235" t="e">
            <v>#REF!</v>
          </cell>
        </row>
        <row r="236">
          <cell r="BY236">
            <v>0</v>
          </cell>
          <cell r="BZ236">
            <v>0</v>
          </cell>
          <cell r="CC236" t="e">
            <v>#REF!</v>
          </cell>
          <cell r="CE236" t="e">
            <v>#REF!</v>
          </cell>
          <cell r="CG236" t="e">
            <v>#REF!</v>
          </cell>
          <cell r="CI236" t="e">
            <v>#REF!</v>
          </cell>
          <cell r="CK236" t="e">
            <v>#REF!</v>
          </cell>
        </row>
        <row r="237">
          <cell r="BY237">
            <v>0</v>
          </cell>
          <cell r="BZ237">
            <v>0</v>
          </cell>
          <cell r="CC237" t="e">
            <v>#REF!</v>
          </cell>
          <cell r="CE237" t="e">
            <v>#REF!</v>
          </cell>
          <cell r="CG237" t="e">
            <v>#REF!</v>
          </cell>
          <cell r="CI237" t="e">
            <v>#REF!</v>
          </cell>
          <cell r="CK237" t="e">
            <v>#REF!</v>
          </cell>
        </row>
        <row r="238">
          <cell r="BY238">
            <v>0</v>
          </cell>
          <cell r="BZ238">
            <v>0</v>
          </cell>
          <cell r="CC238" t="e">
            <v>#REF!</v>
          </cell>
          <cell r="CE238" t="e">
            <v>#REF!</v>
          </cell>
          <cell r="CG238" t="e">
            <v>#REF!</v>
          </cell>
          <cell r="CI238" t="e">
            <v>#REF!</v>
          </cell>
          <cell r="CK238" t="e">
            <v>#REF!</v>
          </cell>
        </row>
        <row r="239">
          <cell r="BY239">
            <v>0</v>
          </cell>
          <cell r="BZ239">
            <v>0</v>
          </cell>
          <cell r="CC239" t="e">
            <v>#REF!</v>
          </cell>
          <cell r="CE239" t="e">
            <v>#REF!</v>
          </cell>
          <cell r="CG239" t="e">
            <v>#REF!</v>
          </cell>
          <cell r="CI239" t="e">
            <v>#REF!</v>
          </cell>
          <cell r="CK239" t="e">
            <v>#REF!</v>
          </cell>
        </row>
        <row r="240">
          <cell r="BY240">
            <v>0</v>
          </cell>
          <cell r="BZ240">
            <v>16694.039753778899</v>
          </cell>
          <cell r="CC240" t="e">
            <v>#REF!</v>
          </cell>
          <cell r="CE240" t="e">
            <v>#REF!</v>
          </cell>
          <cell r="CG240" t="e">
            <v>#REF!</v>
          </cell>
          <cell r="CI240" t="e">
            <v>#REF!</v>
          </cell>
          <cell r="CK240" t="e">
            <v>#REF!</v>
          </cell>
        </row>
        <row r="241">
          <cell r="BY241">
            <v>0</v>
          </cell>
          <cell r="BZ241">
            <v>16694.039753778899</v>
          </cell>
          <cell r="CC241" t="e">
            <v>#REF!</v>
          </cell>
          <cell r="CE241" t="e">
            <v>#REF!</v>
          </cell>
          <cell r="CG241" t="e">
            <v>#REF!</v>
          </cell>
          <cell r="CI241" t="e">
            <v>#REF!</v>
          </cell>
          <cell r="CK241" t="e">
            <v>#REF!</v>
          </cell>
        </row>
        <row r="242">
          <cell r="BY242">
            <v>0</v>
          </cell>
          <cell r="BZ242">
            <v>0</v>
          </cell>
          <cell r="CC242">
            <v>0</v>
          </cell>
          <cell r="CE242">
            <v>0</v>
          </cell>
          <cell r="CG242">
            <v>0</v>
          </cell>
          <cell r="CI242">
            <v>0</v>
          </cell>
          <cell r="CK242">
            <v>0</v>
          </cell>
        </row>
        <row r="243">
          <cell r="BY243">
            <v>0</v>
          </cell>
          <cell r="BZ243">
            <v>0</v>
          </cell>
          <cell r="CC243">
            <v>0</v>
          </cell>
          <cell r="CE243">
            <v>0</v>
          </cell>
          <cell r="CG243">
            <v>0</v>
          </cell>
          <cell r="CI243">
            <v>0</v>
          </cell>
          <cell r="CK243">
            <v>0</v>
          </cell>
        </row>
        <row r="244">
          <cell r="BY244">
            <v>0</v>
          </cell>
          <cell r="BZ244">
            <v>0</v>
          </cell>
          <cell r="CC244">
            <v>0</v>
          </cell>
          <cell r="CE244">
            <v>0</v>
          </cell>
          <cell r="CG244">
            <v>0</v>
          </cell>
          <cell r="CI244">
            <v>0</v>
          </cell>
          <cell r="CK244">
            <v>0</v>
          </cell>
        </row>
        <row r="245">
          <cell r="BY245">
            <v>0</v>
          </cell>
          <cell r="BZ245">
            <v>16694.039753778899</v>
          </cell>
          <cell r="CC245" t="e">
            <v>#REF!</v>
          </cell>
          <cell r="CE245" t="e">
            <v>#REF!</v>
          </cell>
          <cell r="CG245" t="e">
            <v>#REF!</v>
          </cell>
          <cell r="CI245" t="e">
            <v>#REF!</v>
          </cell>
          <cell r="CK245" t="e">
            <v>#REF!</v>
          </cell>
        </row>
        <row r="246">
          <cell r="BT246">
            <v>15607.946000000004</v>
          </cell>
          <cell r="BY246">
            <v>0</v>
          </cell>
          <cell r="BZ246">
            <v>16694.039753778899</v>
          </cell>
          <cell r="CC246" t="e">
            <v>#REF!</v>
          </cell>
          <cell r="CE246" t="e">
            <v>#REF!</v>
          </cell>
          <cell r="CG246" t="e">
            <v>#REF!</v>
          </cell>
          <cell r="CI246" t="e">
            <v>#REF!</v>
          </cell>
          <cell r="CK246" t="e">
            <v>#REF!</v>
          </cell>
        </row>
        <row r="247">
          <cell r="BT247">
            <v>0</v>
          </cell>
          <cell r="BY247">
            <v>0</v>
          </cell>
          <cell r="BZ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</row>
        <row r="248">
          <cell r="BT248">
            <v>0</v>
          </cell>
          <cell r="BY248">
            <v>0</v>
          </cell>
          <cell r="BZ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</row>
        <row r="249">
          <cell r="BT249">
            <v>0</v>
          </cell>
          <cell r="BY249">
            <v>0</v>
          </cell>
          <cell r="BZ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</row>
        <row r="250">
          <cell r="BZ250">
            <v>1.0315800000000015</v>
          </cell>
          <cell r="CC250" t="e">
            <v>#REF!</v>
          </cell>
          <cell r="CE250" t="e">
            <v>#REF!</v>
          </cell>
          <cell r="CG250" t="e">
            <v>#REF!</v>
          </cell>
          <cell r="CI250" t="e">
            <v>#REF!</v>
          </cell>
          <cell r="CK250" t="e">
            <v>#REF!</v>
          </cell>
        </row>
      </sheetData>
      <sheetData sheetId="52">
        <row r="93">
          <cell r="BY93">
            <v>0</v>
          </cell>
        </row>
        <row r="95">
          <cell r="BY95">
            <v>0</v>
          </cell>
        </row>
        <row r="96">
          <cell r="BY96">
            <v>0</v>
          </cell>
        </row>
        <row r="99">
          <cell r="BY99">
            <v>0</v>
          </cell>
          <cell r="CC99">
            <v>0</v>
          </cell>
          <cell r="CE99">
            <v>0</v>
          </cell>
          <cell r="CG99">
            <v>0</v>
          </cell>
          <cell r="CI99">
            <v>0</v>
          </cell>
          <cell r="CK99">
            <v>0</v>
          </cell>
        </row>
        <row r="100">
          <cell r="BY100">
            <v>0</v>
          </cell>
          <cell r="CC100">
            <v>0</v>
          </cell>
          <cell r="CE100">
            <v>0</v>
          </cell>
          <cell r="CG100">
            <v>0</v>
          </cell>
          <cell r="CI100">
            <v>0</v>
          </cell>
          <cell r="CK100">
            <v>0</v>
          </cell>
        </row>
        <row r="102">
          <cell r="BY102">
            <v>0</v>
          </cell>
          <cell r="CC102">
            <v>0</v>
          </cell>
          <cell r="CE102">
            <v>0</v>
          </cell>
          <cell r="CG102">
            <v>0</v>
          </cell>
          <cell r="CI102">
            <v>0</v>
          </cell>
          <cell r="CK102">
            <v>0</v>
          </cell>
        </row>
        <row r="109">
          <cell r="BY109">
            <v>0</v>
          </cell>
          <cell r="CC109">
            <v>0</v>
          </cell>
          <cell r="CE109">
            <v>0</v>
          </cell>
          <cell r="CG109">
            <v>0</v>
          </cell>
          <cell r="CI109">
            <v>0</v>
          </cell>
          <cell r="CK109">
            <v>0</v>
          </cell>
        </row>
        <row r="110">
          <cell r="BY110">
            <v>0</v>
          </cell>
          <cell r="CC110">
            <v>0</v>
          </cell>
          <cell r="CE110">
            <v>0</v>
          </cell>
          <cell r="CG110">
            <v>0</v>
          </cell>
          <cell r="CI110">
            <v>0</v>
          </cell>
          <cell r="CK110">
            <v>0</v>
          </cell>
        </row>
        <row r="111">
          <cell r="BY111">
            <v>0</v>
          </cell>
          <cell r="CC111">
            <v>0</v>
          </cell>
          <cell r="CE111">
            <v>0</v>
          </cell>
          <cell r="CG111">
            <v>0</v>
          </cell>
          <cell r="CI111">
            <v>0</v>
          </cell>
          <cell r="CK111">
            <v>0</v>
          </cell>
        </row>
        <row r="112">
          <cell r="BY112">
            <v>0</v>
          </cell>
          <cell r="CC112">
            <v>0</v>
          </cell>
          <cell r="CE112">
            <v>0</v>
          </cell>
          <cell r="CG112">
            <v>0</v>
          </cell>
          <cell r="CI112">
            <v>0</v>
          </cell>
          <cell r="CK112">
            <v>0</v>
          </cell>
        </row>
        <row r="113">
          <cell r="BY113">
            <v>0</v>
          </cell>
          <cell r="CC113">
            <v>0</v>
          </cell>
          <cell r="CE113">
            <v>0</v>
          </cell>
          <cell r="CG113">
            <v>0</v>
          </cell>
          <cell r="CI113">
            <v>0</v>
          </cell>
          <cell r="CK113">
            <v>0</v>
          </cell>
        </row>
        <row r="119">
          <cell r="BY119">
            <v>0</v>
          </cell>
          <cell r="CC119">
            <v>0</v>
          </cell>
          <cell r="CE119">
            <v>0</v>
          </cell>
          <cell r="CG119">
            <v>0</v>
          </cell>
          <cell r="CI119">
            <v>0</v>
          </cell>
          <cell r="CK119">
            <v>0</v>
          </cell>
        </row>
        <row r="123">
          <cell r="BY123">
            <v>0</v>
          </cell>
          <cell r="CC123">
            <v>0</v>
          </cell>
          <cell r="CE123">
            <v>0</v>
          </cell>
          <cell r="CG123">
            <v>0</v>
          </cell>
          <cell r="CI123">
            <v>0</v>
          </cell>
          <cell r="CK123">
            <v>0</v>
          </cell>
        </row>
        <row r="124">
          <cell r="BY124">
            <v>0</v>
          </cell>
          <cell r="CC124">
            <v>0</v>
          </cell>
          <cell r="CE124">
            <v>0</v>
          </cell>
          <cell r="CG124">
            <v>0</v>
          </cell>
          <cell r="CI124">
            <v>0</v>
          </cell>
          <cell r="CK124">
            <v>0</v>
          </cell>
        </row>
        <row r="125">
          <cell r="BY125">
            <v>0</v>
          </cell>
          <cell r="CC125">
            <v>0</v>
          </cell>
          <cell r="CE125">
            <v>0</v>
          </cell>
          <cell r="CG125">
            <v>0</v>
          </cell>
          <cell r="CI125">
            <v>0</v>
          </cell>
          <cell r="CK125">
            <v>0</v>
          </cell>
        </row>
        <row r="126">
          <cell r="BY126">
            <v>0</v>
          </cell>
          <cell r="CC126">
            <v>0</v>
          </cell>
          <cell r="CE126">
            <v>0</v>
          </cell>
          <cell r="CG126">
            <v>0</v>
          </cell>
          <cell r="CI126">
            <v>0</v>
          </cell>
          <cell r="CK126">
            <v>0</v>
          </cell>
        </row>
        <row r="127">
          <cell r="BY127">
            <v>0</v>
          </cell>
          <cell r="CC127">
            <v>0</v>
          </cell>
          <cell r="CE127">
            <v>0</v>
          </cell>
          <cell r="CG127">
            <v>0</v>
          </cell>
          <cell r="CI127">
            <v>0</v>
          </cell>
          <cell r="CK127">
            <v>0</v>
          </cell>
        </row>
        <row r="130">
          <cell r="CC130">
            <v>0</v>
          </cell>
          <cell r="CE130">
            <v>0</v>
          </cell>
          <cell r="CG130">
            <v>0</v>
          </cell>
          <cell r="CI130">
            <v>0</v>
          </cell>
          <cell r="CK130">
            <v>0</v>
          </cell>
        </row>
        <row r="132">
          <cell r="BY132">
            <v>0</v>
          </cell>
          <cell r="CC132">
            <v>0</v>
          </cell>
          <cell r="CE132">
            <v>0</v>
          </cell>
          <cell r="CG132">
            <v>0</v>
          </cell>
          <cell r="CI132">
            <v>0</v>
          </cell>
          <cell r="CK132">
            <v>0</v>
          </cell>
        </row>
        <row r="134">
          <cell r="BY134">
            <v>0</v>
          </cell>
          <cell r="CC134">
            <v>0</v>
          </cell>
          <cell r="CE134">
            <v>0</v>
          </cell>
          <cell r="CG134">
            <v>0</v>
          </cell>
          <cell r="CI134">
            <v>0</v>
          </cell>
          <cell r="CK134">
            <v>0</v>
          </cell>
        </row>
        <row r="136">
          <cell r="CC136">
            <v>0</v>
          </cell>
          <cell r="CE136">
            <v>0</v>
          </cell>
          <cell r="CG136">
            <v>0</v>
          </cell>
          <cell r="CI136">
            <v>0</v>
          </cell>
          <cell r="CK136">
            <v>0</v>
          </cell>
        </row>
        <row r="139">
          <cell r="BY139">
            <v>0</v>
          </cell>
          <cell r="CC139">
            <v>0</v>
          </cell>
          <cell r="CE139">
            <v>0</v>
          </cell>
          <cell r="CG139">
            <v>0</v>
          </cell>
          <cell r="CI139">
            <v>0</v>
          </cell>
          <cell r="CK139">
            <v>0</v>
          </cell>
        </row>
        <row r="141">
          <cell r="BY141">
            <v>0</v>
          </cell>
          <cell r="CC141" t="e">
            <v>#REF!</v>
          </cell>
          <cell r="CE141" t="e">
            <v>#REF!</v>
          </cell>
          <cell r="CG141" t="e">
            <v>#REF!</v>
          </cell>
          <cell r="CI141" t="e">
            <v>#REF!</v>
          </cell>
          <cell r="CK141" t="e">
            <v>#REF!</v>
          </cell>
        </row>
        <row r="142">
          <cell r="BT142">
            <v>0</v>
          </cell>
          <cell r="BY142">
            <v>0</v>
          </cell>
          <cell r="CC142" t="e">
            <v>#REF!</v>
          </cell>
          <cell r="CE142" t="e">
            <v>#REF!</v>
          </cell>
          <cell r="CG142" t="e">
            <v>#REF!</v>
          </cell>
          <cell r="CI142" t="e">
            <v>#REF!</v>
          </cell>
          <cell r="CK142" t="e">
            <v>#REF!</v>
          </cell>
        </row>
        <row r="143">
          <cell r="BY143">
            <v>0</v>
          </cell>
          <cell r="CC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</row>
        <row r="144">
          <cell r="BT144">
            <v>0</v>
          </cell>
          <cell r="BY144">
            <v>0</v>
          </cell>
          <cell r="CC144">
            <v>0</v>
          </cell>
          <cell r="CE144">
            <v>0</v>
          </cell>
          <cell r="CG144">
            <v>0</v>
          </cell>
          <cell r="CI144">
            <v>0</v>
          </cell>
          <cell r="CK144">
            <v>0</v>
          </cell>
        </row>
        <row r="145">
          <cell r="BT145">
            <v>0</v>
          </cell>
          <cell r="BY145">
            <v>0</v>
          </cell>
          <cell r="CC145" t="e">
            <v>#REF!</v>
          </cell>
          <cell r="CE145" t="e">
            <v>#REF!</v>
          </cell>
          <cell r="CG145" t="e">
            <v>#REF!</v>
          </cell>
          <cell r="CI145" t="e">
            <v>#REF!</v>
          </cell>
          <cell r="CK145" t="e">
            <v>#REF!</v>
          </cell>
        </row>
        <row r="146">
          <cell r="BY146">
            <v>0</v>
          </cell>
          <cell r="CC146">
            <v>0</v>
          </cell>
          <cell r="CE146" t="e">
            <v>#REF!</v>
          </cell>
          <cell r="CG146" t="e">
            <v>#REF!</v>
          </cell>
          <cell r="CI146" t="e">
            <v>#REF!</v>
          </cell>
          <cell r="CK146" t="e">
            <v>#REF!</v>
          </cell>
        </row>
        <row r="147">
          <cell r="BY147">
            <v>0</v>
          </cell>
          <cell r="CC147">
            <v>0</v>
          </cell>
          <cell r="CE147" t="e">
            <v>#REF!</v>
          </cell>
          <cell r="CG147" t="e">
            <v>#REF!</v>
          </cell>
          <cell r="CI147" t="e">
            <v>#REF!</v>
          </cell>
          <cell r="CK147" t="e">
            <v>#REF!</v>
          </cell>
        </row>
        <row r="148">
          <cell r="BY148">
            <v>0</v>
          </cell>
          <cell r="CC148">
            <v>0</v>
          </cell>
          <cell r="CE148">
            <v>0</v>
          </cell>
          <cell r="CG148">
            <v>0</v>
          </cell>
          <cell r="CI148">
            <v>0</v>
          </cell>
          <cell r="CK148">
            <v>0</v>
          </cell>
        </row>
        <row r="149">
          <cell r="BY149">
            <v>0</v>
          </cell>
          <cell r="CC149">
            <v>0</v>
          </cell>
          <cell r="CE149" t="e">
            <v>#REF!</v>
          </cell>
          <cell r="CG149" t="e">
            <v>#REF!</v>
          </cell>
          <cell r="CI149" t="e">
            <v>#REF!</v>
          </cell>
          <cell r="CK149" t="e">
            <v>#REF!</v>
          </cell>
        </row>
        <row r="150">
          <cell r="BY150">
            <v>0</v>
          </cell>
          <cell r="CC150">
            <v>0</v>
          </cell>
          <cell r="CE150">
            <v>0</v>
          </cell>
          <cell r="CG150">
            <v>0</v>
          </cell>
          <cell r="CI150">
            <v>0</v>
          </cell>
          <cell r="CK150">
            <v>0</v>
          </cell>
        </row>
        <row r="151">
          <cell r="BY151">
            <v>0</v>
          </cell>
          <cell r="CC151">
            <v>0</v>
          </cell>
          <cell r="CE151">
            <v>0</v>
          </cell>
          <cell r="CG151">
            <v>0</v>
          </cell>
          <cell r="CI151">
            <v>0</v>
          </cell>
          <cell r="CK151">
            <v>0</v>
          </cell>
        </row>
        <row r="152">
          <cell r="BY152">
            <v>0</v>
          </cell>
          <cell r="CC152">
            <v>0</v>
          </cell>
          <cell r="CE152">
            <v>0</v>
          </cell>
          <cell r="CG152">
            <v>0</v>
          </cell>
          <cell r="CI152">
            <v>0</v>
          </cell>
          <cell r="CK152">
            <v>0</v>
          </cell>
        </row>
        <row r="153">
          <cell r="BY153">
            <v>0</v>
          </cell>
          <cell r="CC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</row>
        <row r="154">
          <cell r="BY154">
            <v>0</v>
          </cell>
          <cell r="CC154">
            <v>0</v>
          </cell>
          <cell r="CE154" t="e">
            <v>#REF!</v>
          </cell>
          <cell r="CG154" t="e">
            <v>#REF!</v>
          </cell>
          <cell r="CI154" t="e">
            <v>#REF!</v>
          </cell>
          <cell r="CK154" t="e">
            <v>#REF!</v>
          </cell>
        </row>
        <row r="155">
          <cell r="BY155">
            <v>0</v>
          </cell>
          <cell r="CC155">
            <v>0</v>
          </cell>
          <cell r="CE155" t="e">
            <v>#REF!</v>
          </cell>
          <cell r="CG155" t="e">
            <v>#REF!</v>
          </cell>
          <cell r="CI155" t="e">
            <v>#REF!</v>
          </cell>
          <cell r="CK155" t="e">
            <v>#REF!</v>
          </cell>
        </row>
        <row r="156">
          <cell r="BY156">
            <v>0</v>
          </cell>
          <cell r="CC156">
            <v>0</v>
          </cell>
          <cell r="CE156" t="e">
            <v>#REF!</v>
          </cell>
          <cell r="CG156" t="e">
            <v>#REF!</v>
          </cell>
          <cell r="CI156" t="e">
            <v>#REF!</v>
          </cell>
          <cell r="CK156" t="e">
            <v>#REF!</v>
          </cell>
        </row>
        <row r="157">
          <cell r="BY157">
            <v>0</v>
          </cell>
          <cell r="CC157">
            <v>0</v>
          </cell>
          <cell r="CE157">
            <v>0</v>
          </cell>
          <cell r="CG157">
            <v>0</v>
          </cell>
          <cell r="CI157">
            <v>0</v>
          </cell>
          <cell r="CK157">
            <v>0</v>
          </cell>
        </row>
        <row r="158">
          <cell r="BY158">
            <v>0</v>
          </cell>
          <cell r="CC158">
            <v>0</v>
          </cell>
          <cell r="CE158">
            <v>0</v>
          </cell>
          <cell r="CG158">
            <v>0</v>
          </cell>
          <cell r="CI158">
            <v>0</v>
          </cell>
          <cell r="CK158">
            <v>0</v>
          </cell>
        </row>
        <row r="159">
          <cell r="BY159">
            <v>0</v>
          </cell>
          <cell r="CC159">
            <v>0</v>
          </cell>
          <cell r="CE159">
            <v>0</v>
          </cell>
          <cell r="CG159">
            <v>0</v>
          </cell>
          <cell r="CI159">
            <v>0</v>
          </cell>
          <cell r="CK159">
            <v>0</v>
          </cell>
        </row>
        <row r="160">
          <cell r="BY160">
            <v>0</v>
          </cell>
          <cell r="CC160">
            <v>0</v>
          </cell>
          <cell r="CE160">
            <v>0</v>
          </cell>
          <cell r="CG160">
            <v>0</v>
          </cell>
          <cell r="CI160">
            <v>0</v>
          </cell>
          <cell r="CK160">
            <v>0</v>
          </cell>
        </row>
        <row r="161">
          <cell r="BY161">
            <v>0</v>
          </cell>
          <cell r="CC161">
            <v>0</v>
          </cell>
          <cell r="CE161">
            <v>0</v>
          </cell>
          <cell r="CG161">
            <v>0</v>
          </cell>
          <cell r="CI161">
            <v>0</v>
          </cell>
          <cell r="CK161">
            <v>0</v>
          </cell>
        </row>
        <row r="167">
          <cell r="BY167">
            <v>0</v>
          </cell>
          <cell r="CC167" t="e">
            <v>#REF!</v>
          </cell>
          <cell r="CE167" t="e">
            <v>#REF!</v>
          </cell>
          <cell r="CG167" t="e">
            <v>#REF!</v>
          </cell>
          <cell r="CI167" t="e">
            <v>#REF!</v>
          </cell>
          <cell r="CK167" t="e">
            <v>#REF!</v>
          </cell>
        </row>
        <row r="168">
          <cell r="BY168">
            <v>0</v>
          </cell>
          <cell r="CC168" t="e">
            <v>#REF!</v>
          </cell>
          <cell r="CE168" t="e">
            <v>#REF!</v>
          </cell>
          <cell r="CG168" t="e">
            <v>#REF!</v>
          </cell>
          <cell r="CI168" t="e">
            <v>#REF!</v>
          </cell>
          <cell r="CK168" t="e">
            <v>#REF!</v>
          </cell>
        </row>
        <row r="169">
          <cell r="BY169">
            <v>0</v>
          </cell>
          <cell r="CC169">
            <v>0</v>
          </cell>
          <cell r="CE169">
            <v>0</v>
          </cell>
          <cell r="CG169">
            <v>0</v>
          </cell>
          <cell r="CI169">
            <v>0</v>
          </cell>
          <cell r="CK169">
            <v>0</v>
          </cell>
        </row>
        <row r="170">
          <cell r="BY170">
            <v>0</v>
          </cell>
          <cell r="CC170">
            <v>0</v>
          </cell>
          <cell r="CE170">
            <v>0</v>
          </cell>
          <cell r="CG170">
            <v>0</v>
          </cell>
          <cell r="CI170">
            <v>0</v>
          </cell>
          <cell r="CK170">
            <v>0</v>
          </cell>
        </row>
        <row r="171">
          <cell r="BY171">
            <v>0</v>
          </cell>
          <cell r="CC171">
            <v>0</v>
          </cell>
          <cell r="CE171">
            <v>0</v>
          </cell>
          <cell r="CG171">
            <v>0</v>
          </cell>
          <cell r="CI171">
            <v>0</v>
          </cell>
          <cell r="CK171">
            <v>0</v>
          </cell>
        </row>
        <row r="172">
          <cell r="BY172">
            <v>0</v>
          </cell>
          <cell r="CC172" t="e">
            <v>#REF!</v>
          </cell>
          <cell r="CE172" t="e">
            <v>#REF!</v>
          </cell>
          <cell r="CG172" t="e">
            <v>#REF!</v>
          </cell>
          <cell r="CI172" t="e">
            <v>#REF!</v>
          </cell>
          <cell r="CK172" t="e">
            <v>#REF!</v>
          </cell>
        </row>
        <row r="173">
          <cell r="BT173">
            <v>0</v>
          </cell>
          <cell r="BY173">
            <v>0</v>
          </cell>
          <cell r="CC173" t="e">
            <v>#REF!</v>
          </cell>
          <cell r="CE173" t="e">
            <v>#REF!</v>
          </cell>
          <cell r="CG173" t="e">
            <v>#REF!</v>
          </cell>
          <cell r="CI173" t="e">
            <v>#REF!</v>
          </cell>
          <cell r="CK173" t="e">
            <v>#REF!</v>
          </cell>
        </row>
        <row r="174">
          <cell r="BT174">
            <v>0</v>
          </cell>
          <cell r="BY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</row>
        <row r="175">
          <cell r="BT175">
            <v>0</v>
          </cell>
          <cell r="BY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</row>
        <row r="176">
          <cell r="BT176">
            <v>0</v>
          </cell>
          <cell r="BY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</row>
        <row r="177">
          <cell r="CC177">
            <v>0</v>
          </cell>
          <cell r="CE177" t="e">
            <v>#REF!</v>
          </cell>
          <cell r="CG177" t="e">
            <v>#REF!</v>
          </cell>
          <cell r="CI177" t="e">
            <v>#REF!</v>
          </cell>
          <cell r="CK177" t="e">
            <v>#REF!</v>
          </cell>
        </row>
      </sheetData>
      <sheetData sheetId="53">
        <row r="93">
          <cell r="BY93">
            <v>0</v>
          </cell>
        </row>
        <row r="95">
          <cell r="BY95">
            <v>0</v>
          </cell>
        </row>
        <row r="96">
          <cell r="BY96">
            <v>67.209999999999994</v>
          </cell>
        </row>
        <row r="98">
          <cell r="BY98">
            <v>0</v>
          </cell>
        </row>
        <row r="106">
          <cell r="BY106">
            <v>0</v>
          </cell>
        </row>
        <row r="114">
          <cell r="BY114">
            <v>0</v>
          </cell>
        </row>
        <row r="115">
          <cell r="BY115">
            <v>0</v>
          </cell>
        </row>
        <row r="126">
          <cell r="BY126">
            <v>0</v>
          </cell>
          <cell r="CE126">
            <v>0</v>
          </cell>
          <cell r="CG126">
            <v>0</v>
          </cell>
          <cell r="CI126">
            <v>0</v>
          </cell>
          <cell r="CK126">
            <v>0</v>
          </cell>
        </row>
        <row r="138">
          <cell r="BY138">
            <v>0</v>
          </cell>
          <cell r="CE138">
            <v>0</v>
          </cell>
          <cell r="CG138">
            <v>0</v>
          </cell>
          <cell r="CI138">
            <v>0</v>
          </cell>
          <cell r="CK138">
            <v>0</v>
          </cell>
        </row>
        <row r="139">
          <cell r="BY139">
            <v>0</v>
          </cell>
          <cell r="CE139">
            <v>0</v>
          </cell>
          <cell r="CG139">
            <v>0</v>
          </cell>
          <cell r="CI139">
            <v>0</v>
          </cell>
          <cell r="CK139">
            <v>0</v>
          </cell>
        </row>
        <row r="140">
          <cell r="BY140">
            <v>0</v>
          </cell>
          <cell r="CE140">
            <v>0</v>
          </cell>
          <cell r="CG140">
            <v>0</v>
          </cell>
          <cell r="CI140">
            <v>0</v>
          </cell>
          <cell r="CK140">
            <v>0</v>
          </cell>
        </row>
        <row r="141">
          <cell r="BY141">
            <v>0</v>
          </cell>
          <cell r="CE141">
            <v>0</v>
          </cell>
          <cell r="CG141">
            <v>0</v>
          </cell>
          <cell r="CI141">
            <v>0</v>
          </cell>
          <cell r="CK141">
            <v>0</v>
          </cell>
        </row>
        <row r="142">
          <cell r="BY142">
            <v>0</v>
          </cell>
          <cell r="CE142">
            <v>0</v>
          </cell>
          <cell r="CG142">
            <v>0</v>
          </cell>
          <cell r="CI142">
            <v>0</v>
          </cell>
          <cell r="CK142">
            <v>0</v>
          </cell>
        </row>
        <row r="144">
          <cell r="CE144">
            <v>0</v>
          </cell>
          <cell r="CG144">
            <v>0</v>
          </cell>
          <cell r="CI144">
            <v>0</v>
          </cell>
          <cell r="CK144">
            <v>0</v>
          </cell>
        </row>
        <row r="146">
          <cell r="BY146">
            <v>0</v>
          </cell>
          <cell r="CE146">
            <v>0</v>
          </cell>
          <cell r="CG146">
            <v>0</v>
          </cell>
          <cell r="CI146">
            <v>0</v>
          </cell>
          <cell r="CK146">
            <v>0</v>
          </cell>
        </row>
        <row r="148">
          <cell r="BY148">
            <v>0</v>
          </cell>
          <cell r="CE148">
            <v>0</v>
          </cell>
          <cell r="CG148">
            <v>0</v>
          </cell>
          <cell r="CI148">
            <v>0</v>
          </cell>
          <cell r="CK148">
            <v>0</v>
          </cell>
        </row>
        <row r="150">
          <cell r="CE150">
            <v>0</v>
          </cell>
          <cell r="CG150">
            <v>0</v>
          </cell>
          <cell r="CI150">
            <v>0</v>
          </cell>
          <cell r="CK150">
            <v>0</v>
          </cell>
        </row>
        <row r="153">
          <cell r="BY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</row>
        <row r="155">
          <cell r="BY155">
            <v>0</v>
          </cell>
          <cell r="CE155" t="e">
            <v>#REF!</v>
          </cell>
          <cell r="CG155" t="e">
            <v>#REF!</v>
          </cell>
          <cell r="CI155" t="e">
            <v>#REF!</v>
          </cell>
          <cell r="CK155" t="e">
            <v>#REF!</v>
          </cell>
        </row>
        <row r="156">
          <cell r="BT156">
            <v>55639.72</v>
          </cell>
          <cell r="BY156">
            <v>0</v>
          </cell>
          <cell r="CE156" t="e">
            <v>#REF!</v>
          </cell>
          <cell r="CG156" t="e">
            <v>#REF!</v>
          </cell>
          <cell r="CI156" t="e">
            <v>#REF!</v>
          </cell>
          <cell r="CK156" t="e">
            <v>#REF!</v>
          </cell>
        </row>
        <row r="157">
          <cell r="BY157">
            <v>0</v>
          </cell>
          <cell r="CE157" t="e">
            <v>#REF!</v>
          </cell>
          <cell r="CG157" t="e">
            <v>#REF!</v>
          </cell>
          <cell r="CI157" t="e">
            <v>#REF!</v>
          </cell>
          <cell r="CK157" t="e">
            <v>#REF!</v>
          </cell>
        </row>
        <row r="158">
          <cell r="BT158">
            <v>66.400000000000006</v>
          </cell>
          <cell r="BY158">
            <v>0</v>
          </cell>
          <cell r="CE158">
            <v>41.79</v>
          </cell>
          <cell r="CG158">
            <v>41.79</v>
          </cell>
          <cell r="CI158">
            <v>41.79</v>
          </cell>
          <cell r="CK158">
            <v>41.79</v>
          </cell>
        </row>
        <row r="159">
          <cell r="BT159">
            <v>16803.195</v>
          </cell>
          <cell r="BY159">
            <v>0</v>
          </cell>
          <cell r="CE159" t="e">
            <v>#REF!</v>
          </cell>
          <cell r="CG159" t="e">
            <v>#REF!</v>
          </cell>
          <cell r="CI159" t="e">
            <v>#REF!</v>
          </cell>
          <cell r="CK159" t="e">
            <v>#REF!</v>
          </cell>
        </row>
        <row r="160">
          <cell r="BY160">
            <v>0</v>
          </cell>
          <cell r="CE160" t="e">
            <v>#REF!</v>
          </cell>
          <cell r="CG160" t="e">
            <v>#REF!</v>
          </cell>
          <cell r="CI160" t="e">
            <v>#REF!</v>
          </cell>
          <cell r="CK160" t="e">
            <v>#REF!</v>
          </cell>
        </row>
        <row r="161">
          <cell r="BT161">
            <v>1126.425</v>
          </cell>
          <cell r="BY161">
            <v>0</v>
          </cell>
          <cell r="CE161" t="e">
            <v>#REF!</v>
          </cell>
          <cell r="CG161" t="e">
            <v>#REF!</v>
          </cell>
          <cell r="CI161" t="e">
            <v>#REF!</v>
          </cell>
          <cell r="CK161" t="e">
            <v>#REF!</v>
          </cell>
        </row>
        <row r="162">
          <cell r="BT162">
            <v>0</v>
          </cell>
          <cell r="BY162">
            <v>0</v>
          </cell>
          <cell r="CE162" t="e">
            <v>#REF!</v>
          </cell>
          <cell r="CG162" t="e">
            <v>#REF!</v>
          </cell>
          <cell r="CI162" t="e">
            <v>#REF!</v>
          </cell>
          <cell r="CK162" t="e">
            <v>#REF!</v>
          </cell>
        </row>
        <row r="163">
          <cell r="BT163">
            <v>154.44</v>
          </cell>
          <cell r="BY163">
            <v>0</v>
          </cell>
          <cell r="CE163" t="e">
            <v>#REF!</v>
          </cell>
          <cell r="CG163" t="e">
            <v>#REF!</v>
          </cell>
          <cell r="CI163" t="e">
            <v>#REF!</v>
          </cell>
          <cell r="CK163" t="e">
            <v>#REF!</v>
          </cell>
        </row>
        <row r="164">
          <cell r="BT164">
            <v>1161.213</v>
          </cell>
          <cell r="BY164">
            <v>0</v>
          </cell>
          <cell r="CE164" t="e">
            <v>#REF!</v>
          </cell>
          <cell r="CG164" t="e">
            <v>#REF!</v>
          </cell>
          <cell r="CI164" t="e">
            <v>#REF!</v>
          </cell>
          <cell r="CK164" t="e">
            <v>#REF!</v>
          </cell>
        </row>
        <row r="165">
          <cell r="BT165">
            <v>1032.828</v>
          </cell>
          <cell r="BY165">
            <v>0</v>
          </cell>
          <cell r="CE165" t="e">
            <v>#REF!</v>
          </cell>
          <cell r="CG165" t="e">
            <v>#REF!</v>
          </cell>
          <cell r="CI165" t="e">
            <v>#REF!</v>
          </cell>
          <cell r="CK165" t="e">
            <v>#REF!</v>
          </cell>
        </row>
        <row r="166">
          <cell r="BT166">
            <v>4443.7640000000001</v>
          </cell>
          <cell r="BY166">
            <v>0</v>
          </cell>
          <cell r="CE166" t="e">
            <v>#REF!</v>
          </cell>
          <cell r="CG166" t="e">
            <v>#REF!</v>
          </cell>
          <cell r="CI166" t="e">
            <v>#REF!</v>
          </cell>
          <cell r="CK166" t="e">
            <v>#REF!</v>
          </cell>
        </row>
        <row r="167">
          <cell r="BT167">
            <v>0</v>
          </cell>
          <cell r="BY167">
            <v>0</v>
          </cell>
          <cell r="CE167" t="e">
            <v>#REF!</v>
          </cell>
          <cell r="CG167" t="e">
            <v>#REF!</v>
          </cell>
          <cell r="CI167" t="e">
            <v>#REF!</v>
          </cell>
          <cell r="CK167" t="e">
            <v>#REF!</v>
          </cell>
        </row>
        <row r="168">
          <cell r="BT168">
            <v>0</v>
          </cell>
          <cell r="BY168">
            <v>0</v>
          </cell>
          <cell r="CE168" t="e">
            <v>#REF!</v>
          </cell>
          <cell r="CG168" t="e">
            <v>#REF!</v>
          </cell>
          <cell r="CI168" t="e">
            <v>#REF!</v>
          </cell>
          <cell r="CK168" t="e">
            <v>#REF!</v>
          </cell>
        </row>
        <row r="169">
          <cell r="BY169">
            <v>0</v>
          </cell>
          <cell r="CE169" t="e">
            <v>#REF!</v>
          </cell>
          <cell r="CG169" t="e">
            <v>#REF!</v>
          </cell>
          <cell r="CI169" t="e">
            <v>#REF!</v>
          </cell>
          <cell r="CK169" t="e">
            <v>#REF!</v>
          </cell>
        </row>
        <row r="170">
          <cell r="BY170">
            <v>0</v>
          </cell>
          <cell r="CE170" t="e">
            <v>#REF!</v>
          </cell>
          <cell r="CG170" t="e">
            <v>#REF!</v>
          </cell>
          <cell r="CI170" t="e">
            <v>#REF!</v>
          </cell>
          <cell r="CK170" t="e">
            <v>#REF!</v>
          </cell>
        </row>
        <row r="171">
          <cell r="BY171">
            <v>0</v>
          </cell>
          <cell r="CE171" t="e">
            <v>#REF!</v>
          </cell>
          <cell r="CG171" t="e">
            <v>#REF!</v>
          </cell>
          <cell r="CI171" t="e">
            <v>#REF!</v>
          </cell>
          <cell r="CK171" t="e">
            <v>#REF!</v>
          </cell>
        </row>
        <row r="172">
          <cell r="BY172">
            <v>0</v>
          </cell>
          <cell r="CE172" t="e">
            <v>#REF!</v>
          </cell>
          <cell r="CG172" t="e">
            <v>#REF!</v>
          </cell>
          <cell r="CI172" t="e">
            <v>#REF!</v>
          </cell>
          <cell r="CK172" t="e">
            <v>#REF!</v>
          </cell>
        </row>
        <row r="173">
          <cell r="BT173">
            <v>558.12699999999995</v>
          </cell>
          <cell r="BY173">
            <v>0</v>
          </cell>
          <cell r="CE173" t="e">
            <v>#REF!</v>
          </cell>
          <cell r="CG173" t="e">
            <v>#REF!</v>
          </cell>
          <cell r="CI173" t="e">
            <v>#REF!</v>
          </cell>
          <cell r="CK173" t="e">
            <v>#REF!</v>
          </cell>
        </row>
        <row r="174">
          <cell r="BT174">
            <v>524.58000000000004</v>
          </cell>
          <cell r="BY174">
            <v>0</v>
          </cell>
          <cell r="CE174" t="e">
            <v>#REF!</v>
          </cell>
          <cell r="CG174" t="e">
            <v>#REF!</v>
          </cell>
          <cell r="CI174" t="e">
            <v>#REF!</v>
          </cell>
          <cell r="CK174" t="e">
            <v>#REF!</v>
          </cell>
        </row>
        <row r="175">
          <cell r="BT175">
            <v>0.32</v>
          </cell>
          <cell r="BY175">
            <v>0</v>
          </cell>
          <cell r="CE175" t="e">
            <v>#REF!</v>
          </cell>
          <cell r="CG175" t="e">
            <v>#REF!</v>
          </cell>
          <cell r="CI175" t="e">
            <v>#REF!</v>
          </cell>
          <cell r="CK175" t="e">
            <v>#REF!</v>
          </cell>
        </row>
        <row r="176">
          <cell r="BY176">
            <v>0</v>
          </cell>
          <cell r="CE176" t="e">
            <v>#REF!</v>
          </cell>
          <cell r="CG176" t="e">
            <v>#REF!</v>
          </cell>
          <cell r="CI176" t="e">
            <v>#REF!</v>
          </cell>
          <cell r="CK176" t="e">
            <v>#REF!</v>
          </cell>
        </row>
        <row r="177">
          <cell r="BT177">
            <v>0</v>
          </cell>
          <cell r="BY177">
            <v>0</v>
          </cell>
          <cell r="CE177" t="e">
            <v>#REF!</v>
          </cell>
          <cell r="CG177" t="e">
            <v>#REF!</v>
          </cell>
          <cell r="CI177" t="e">
            <v>#REF!</v>
          </cell>
          <cell r="CK177" t="e">
            <v>#REF!</v>
          </cell>
        </row>
        <row r="178">
          <cell r="BT178">
            <v>165.00399999999999</v>
          </cell>
          <cell r="BY178">
            <v>0</v>
          </cell>
          <cell r="CE178" t="e">
            <v>#REF!</v>
          </cell>
          <cell r="CG178" t="e">
            <v>#REF!</v>
          </cell>
          <cell r="CI178" t="e">
            <v>#REF!</v>
          </cell>
          <cell r="CK178" t="e">
            <v>#REF!</v>
          </cell>
        </row>
        <row r="179">
          <cell r="BT179">
            <v>0</v>
          </cell>
          <cell r="BY179">
            <v>0</v>
          </cell>
          <cell r="CE179" t="e">
            <v>#REF!</v>
          </cell>
          <cell r="CG179" t="e">
            <v>#REF!</v>
          </cell>
          <cell r="CI179" t="e">
            <v>#REF!</v>
          </cell>
          <cell r="CK179" t="e">
            <v>#REF!</v>
          </cell>
        </row>
        <row r="181">
          <cell r="BT181">
            <v>0</v>
          </cell>
          <cell r="BY181">
            <v>0</v>
          </cell>
          <cell r="CE181" t="e">
            <v>#REF!</v>
          </cell>
          <cell r="CG181" t="e">
            <v>#REF!</v>
          </cell>
          <cell r="CI181" t="e">
            <v>#REF!</v>
          </cell>
          <cell r="CK181" t="e">
            <v>#REF!</v>
          </cell>
        </row>
        <row r="182">
          <cell r="BT182">
            <v>0</v>
          </cell>
          <cell r="BY182">
            <v>0</v>
          </cell>
          <cell r="CE182" t="e">
            <v>#REF!</v>
          </cell>
          <cell r="CG182" t="e">
            <v>#REF!</v>
          </cell>
          <cell r="CI182" t="e">
            <v>#REF!</v>
          </cell>
          <cell r="CK182" t="e">
            <v>#REF!</v>
          </cell>
        </row>
        <row r="188">
          <cell r="BY188">
            <v>0</v>
          </cell>
          <cell r="CE188" t="e">
            <v>#REF!</v>
          </cell>
          <cell r="CG188" t="e">
            <v>#REF!</v>
          </cell>
          <cell r="CI188" t="e">
            <v>#REF!</v>
          </cell>
          <cell r="CK188" t="e">
            <v>#REF!</v>
          </cell>
        </row>
        <row r="189">
          <cell r="BT189">
            <v>7673.4210000000003</v>
          </cell>
          <cell r="BY189">
            <v>0</v>
          </cell>
          <cell r="CE189" t="e">
            <v>#REF!</v>
          </cell>
          <cell r="CG189" t="e">
            <v>#REF!</v>
          </cell>
          <cell r="CI189" t="e">
            <v>#REF!</v>
          </cell>
          <cell r="CK189" t="e">
            <v>#REF!</v>
          </cell>
        </row>
        <row r="190">
          <cell r="BY190">
            <v>0</v>
          </cell>
          <cell r="CE190">
            <v>0</v>
          </cell>
          <cell r="CG190">
            <v>0</v>
          </cell>
          <cell r="CI190">
            <v>0</v>
          </cell>
          <cell r="CK190">
            <v>0</v>
          </cell>
        </row>
        <row r="191">
          <cell r="BY191">
            <v>0</v>
          </cell>
          <cell r="CE191">
            <v>0</v>
          </cell>
          <cell r="CG191">
            <v>0</v>
          </cell>
          <cell r="CI191">
            <v>0</v>
          </cell>
          <cell r="CK191">
            <v>0</v>
          </cell>
        </row>
        <row r="192">
          <cell r="BY192">
            <v>0</v>
          </cell>
          <cell r="CE192">
            <v>0</v>
          </cell>
          <cell r="CG192">
            <v>0</v>
          </cell>
          <cell r="CI192">
            <v>0</v>
          </cell>
          <cell r="CK192">
            <v>0</v>
          </cell>
        </row>
        <row r="193">
          <cell r="BY193">
            <v>0</v>
          </cell>
          <cell r="CE193" t="e">
            <v>#REF!</v>
          </cell>
          <cell r="CG193" t="e">
            <v>#REF!</v>
          </cell>
          <cell r="CI193" t="e">
            <v>#REF!</v>
          </cell>
          <cell r="CK193" t="e">
            <v>#REF!</v>
          </cell>
        </row>
        <row r="194">
          <cell r="BY194">
            <v>0</v>
          </cell>
          <cell r="CE194" t="e">
            <v>#REF!</v>
          </cell>
          <cell r="CG194" t="e">
            <v>#REF!</v>
          </cell>
          <cell r="CI194" t="e">
            <v>#REF!</v>
          </cell>
          <cell r="CK194" t="e">
            <v>#REF!</v>
          </cell>
        </row>
        <row r="195">
          <cell r="BT195">
            <v>0</v>
          </cell>
          <cell r="BY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</row>
        <row r="196">
          <cell r="BT196">
            <v>0</v>
          </cell>
          <cell r="BY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</row>
        <row r="197">
          <cell r="BT197">
            <v>0</v>
          </cell>
          <cell r="BY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</row>
        <row r="198">
          <cell r="CE198" t="e">
            <v>#REF!</v>
          </cell>
          <cell r="CG198" t="e">
            <v>#REF!</v>
          </cell>
          <cell r="CI198" t="e">
            <v>#REF!</v>
          </cell>
          <cell r="CK198" t="e">
            <v>#REF!</v>
          </cell>
        </row>
      </sheetData>
      <sheetData sheetId="54"/>
      <sheetData sheetId="55"/>
      <sheetData sheetId="56"/>
      <sheetData sheetId="57"/>
      <sheetData sheetId="58">
        <row r="142">
          <cell r="BG142">
            <v>0</v>
          </cell>
          <cell r="BH142">
            <v>0</v>
          </cell>
          <cell r="BT142">
            <v>42919.229999999996</v>
          </cell>
        </row>
        <row r="147">
          <cell r="BA147">
            <v>0</v>
          </cell>
        </row>
        <row r="213">
          <cell r="BG213">
            <v>0</v>
          </cell>
          <cell r="BH213">
            <v>0</v>
          </cell>
          <cell r="BT213">
            <v>0</v>
          </cell>
        </row>
        <row r="216">
          <cell r="BA216">
            <v>0</v>
          </cell>
        </row>
      </sheetData>
      <sheetData sheetId="59">
        <row r="127">
          <cell r="BP127">
            <v>10162.550999999999</v>
          </cell>
        </row>
        <row r="170">
          <cell r="BP170">
            <v>0</v>
          </cell>
        </row>
      </sheetData>
      <sheetData sheetId="60">
        <row r="2">
          <cell r="K2" t="str">
            <v>D0528 Версия данных</v>
          </cell>
          <cell r="L2" t="str">
            <v>D0041 Год</v>
          </cell>
          <cell r="M2" t="str">
            <v>D0004 План / факт</v>
          </cell>
          <cell r="N2" t="str">
            <v>D0462 Период</v>
          </cell>
          <cell r="P2" t="str">
            <v>D0528 Версия данных</v>
          </cell>
          <cell r="Q2" t="str">
            <v>D0041 Год</v>
          </cell>
          <cell r="R2" t="str">
            <v>D0004 План / факт</v>
          </cell>
          <cell r="S2" t="str">
            <v>D0462 Период</v>
          </cell>
        </row>
        <row r="3">
          <cell r="A3" t="str">
            <v>Версия организации2020фактгод</v>
          </cell>
          <cell r="B3" t="str">
            <v>Версия организации2020факт</v>
          </cell>
          <cell r="H3" t="b">
            <v>1</v>
          </cell>
          <cell r="I3" t="b">
            <v>1</v>
          </cell>
          <cell r="K3" t="str">
            <v>Версия организации</v>
          </cell>
          <cell r="L3">
            <v>2020</v>
          </cell>
          <cell r="M3" t="str">
            <v>Факт</v>
          </cell>
          <cell r="N3" t="str">
            <v>Год</v>
          </cell>
          <cell r="P3" t="str">
            <v>Версия организации</v>
          </cell>
          <cell r="Q3">
            <v>2020</v>
          </cell>
          <cell r="R3" t="str">
            <v>Факт</v>
          </cell>
          <cell r="S3" t="str">
            <v>Год</v>
          </cell>
        </row>
        <row r="4">
          <cell r="A4" t="str">
            <v>Версия организации2020фактI полугодие</v>
          </cell>
          <cell r="B4" t="str">
            <v>Версия организации2020факт</v>
          </cell>
          <cell r="H4" t="b">
            <v>1</v>
          </cell>
          <cell r="I4" t="b">
            <v>1</v>
          </cell>
          <cell r="K4" t="str">
            <v>Версия организации</v>
          </cell>
          <cell r="L4">
            <v>2020</v>
          </cell>
          <cell r="M4" t="str">
            <v>Факт</v>
          </cell>
          <cell r="N4" t="str">
            <v>I</v>
          </cell>
          <cell r="P4" t="str">
            <v>Версия организации</v>
          </cell>
          <cell r="Q4">
            <v>2020</v>
          </cell>
          <cell r="R4" t="str">
            <v>Факт</v>
          </cell>
          <cell r="S4" t="str">
            <v>I</v>
          </cell>
        </row>
        <row r="5">
          <cell r="A5" t="str">
            <v>Версия организации2020фактII полугодие</v>
          </cell>
          <cell r="B5" t="str">
            <v>Версия организации2020факт</v>
          </cell>
          <cell r="H5" t="b">
            <v>1</v>
          </cell>
          <cell r="I5" t="b">
            <v>1</v>
          </cell>
          <cell r="K5" t="str">
            <v>Версия организации</v>
          </cell>
          <cell r="L5">
            <v>2020</v>
          </cell>
          <cell r="M5" t="str">
            <v>Факт</v>
          </cell>
          <cell r="N5" t="str">
            <v>II</v>
          </cell>
          <cell r="P5" t="str">
            <v>Версия организации</v>
          </cell>
          <cell r="Q5">
            <v>2020</v>
          </cell>
          <cell r="R5" t="str">
            <v>Факт</v>
          </cell>
          <cell r="S5" t="str">
            <v>II</v>
          </cell>
        </row>
        <row r="6">
          <cell r="A6" t="str">
            <v>Версия регулятора2020фактгод</v>
          </cell>
          <cell r="B6" t="str">
            <v>Версия регулятора2020факт</v>
          </cell>
          <cell r="H6" t="b">
            <v>1</v>
          </cell>
          <cell r="I6" t="b">
            <v>0</v>
          </cell>
          <cell r="K6" t="str">
            <v>Версия регулятора</v>
          </cell>
          <cell r="L6">
            <v>2020</v>
          </cell>
          <cell r="M6" t="str">
            <v>Факт</v>
          </cell>
          <cell r="N6" t="str">
            <v>Год</v>
          </cell>
          <cell r="P6" t="str">
            <v>Не определено</v>
          </cell>
          <cell r="Q6" t="str">
            <v>Не определено</v>
          </cell>
          <cell r="R6" t="str">
            <v>Не определено</v>
          </cell>
          <cell r="S6" t="str">
            <v>Не определено</v>
          </cell>
        </row>
        <row r="7">
          <cell r="A7" t="str">
            <v>Версия регулятора2020фактI полугодие</v>
          </cell>
          <cell r="B7" t="str">
            <v>Версия регулятора2020факт</v>
          </cell>
          <cell r="H7" t="b">
            <v>1</v>
          </cell>
          <cell r="I7" t="b">
            <v>0</v>
          </cell>
          <cell r="K7" t="str">
            <v>Версия регулятора</v>
          </cell>
          <cell r="L7">
            <v>2020</v>
          </cell>
          <cell r="M7" t="str">
            <v>Факт</v>
          </cell>
          <cell r="N7" t="str">
            <v>I</v>
          </cell>
          <cell r="P7" t="str">
            <v>Не определено</v>
          </cell>
          <cell r="Q7" t="str">
            <v>Не определено</v>
          </cell>
          <cell r="R7" t="str">
            <v>Не определено</v>
          </cell>
          <cell r="S7" t="str">
            <v>Не определено</v>
          </cell>
        </row>
        <row r="8">
          <cell r="A8" t="str">
            <v>Версия регулятора2020фактII полугодие</v>
          </cell>
          <cell r="B8" t="str">
            <v>Версия регулятора2020факт</v>
          </cell>
          <cell r="H8" t="b">
            <v>1</v>
          </cell>
          <cell r="I8" t="b">
            <v>0</v>
          </cell>
          <cell r="K8" t="str">
            <v>Версия регулятора</v>
          </cell>
          <cell r="L8">
            <v>2020</v>
          </cell>
          <cell r="M8" t="str">
            <v>Факт</v>
          </cell>
          <cell r="N8" t="str">
            <v>II</v>
          </cell>
          <cell r="P8" t="str">
            <v>Не определено</v>
          </cell>
          <cell r="Q8" t="str">
            <v>Не определено</v>
          </cell>
          <cell r="R8" t="str">
            <v>Не определено</v>
          </cell>
          <cell r="S8" t="str">
            <v>Не определено</v>
          </cell>
        </row>
        <row r="9">
          <cell r="A9" t="str">
            <v>Версия организации2021план Органа регулированиягод</v>
          </cell>
          <cell r="B9" t="str">
            <v>Версия организации2021план Органа регулирования</v>
          </cell>
          <cell r="H9" t="b">
            <v>1</v>
          </cell>
          <cell r="I9" t="b">
            <v>0</v>
          </cell>
          <cell r="K9" t="str">
            <v>Версия организации</v>
          </cell>
          <cell r="L9">
            <v>2021</v>
          </cell>
          <cell r="M9" t="str">
            <v>План</v>
          </cell>
          <cell r="N9" t="str">
            <v>Год</v>
          </cell>
          <cell r="P9" t="str">
            <v>Версия организации</v>
          </cell>
          <cell r="Q9">
            <v>2021</v>
          </cell>
          <cell r="R9" t="str">
            <v>План</v>
          </cell>
          <cell r="S9" t="str">
            <v>Год</v>
          </cell>
        </row>
        <row r="10">
          <cell r="A10" t="str">
            <v>Версия организации2021план Органа регулированияI полугодие</v>
          </cell>
          <cell r="B10" t="str">
            <v>Версия организации2021план Органа регулирования</v>
          </cell>
          <cell r="H10" t="b">
            <v>1</v>
          </cell>
          <cell r="I10" t="b">
            <v>0</v>
          </cell>
          <cell r="K10" t="str">
            <v>Версия организации</v>
          </cell>
          <cell r="L10">
            <v>2021</v>
          </cell>
          <cell r="M10" t="str">
            <v>План</v>
          </cell>
          <cell r="N10" t="str">
            <v>I</v>
          </cell>
          <cell r="P10" t="str">
            <v>Версия организации</v>
          </cell>
          <cell r="Q10">
            <v>2021</v>
          </cell>
          <cell r="R10" t="str">
            <v>План</v>
          </cell>
          <cell r="S10" t="str">
            <v>I</v>
          </cell>
        </row>
        <row r="11">
          <cell r="A11" t="str">
            <v>Версия организации2021план Органа регулированияII полугодие</v>
          </cell>
          <cell r="B11" t="str">
            <v>Версия организации2021план Органа регулирования</v>
          </cell>
          <cell r="H11" t="b">
            <v>1</v>
          </cell>
          <cell r="I11" t="b">
            <v>0</v>
          </cell>
          <cell r="K11" t="str">
            <v>Версия организации</v>
          </cell>
          <cell r="L11">
            <v>2021</v>
          </cell>
          <cell r="M11" t="str">
            <v>План</v>
          </cell>
          <cell r="N11" t="str">
            <v>II</v>
          </cell>
          <cell r="P11" t="str">
            <v>Версия организации</v>
          </cell>
          <cell r="Q11">
            <v>2021</v>
          </cell>
          <cell r="R11" t="str">
            <v>План</v>
          </cell>
          <cell r="S11" t="str">
            <v>II</v>
          </cell>
        </row>
        <row r="12">
          <cell r="A12" t="str">
            <v>Версия регулятора2021план Органа регулированиягод</v>
          </cell>
          <cell r="B12" t="str">
            <v>Версия регулятора2021план Органа регулирования</v>
          </cell>
          <cell r="H12" t="b">
            <v>1</v>
          </cell>
          <cell r="I12" t="b">
            <v>0</v>
          </cell>
          <cell r="K12" t="str">
            <v>Версия регулятора</v>
          </cell>
          <cell r="L12">
            <v>2021</v>
          </cell>
          <cell r="M12" t="str">
            <v>План</v>
          </cell>
          <cell r="N12" t="str">
            <v>Год</v>
          </cell>
          <cell r="P12" t="str">
            <v>Не определено</v>
          </cell>
          <cell r="Q12" t="str">
            <v>Не определено</v>
          </cell>
          <cell r="R12" t="str">
            <v>Не определено</v>
          </cell>
          <cell r="S12" t="str">
            <v>Не определено</v>
          </cell>
        </row>
        <row r="13">
          <cell r="A13" t="str">
            <v>Версия регулятора2021план Органа регулированияI полугодие</v>
          </cell>
          <cell r="B13" t="str">
            <v>Версия регулятора2021план Органа регулирования</v>
          </cell>
          <cell r="H13" t="b">
            <v>1</v>
          </cell>
          <cell r="I13" t="b">
            <v>0</v>
          </cell>
          <cell r="K13" t="str">
            <v>Версия регулятора</v>
          </cell>
          <cell r="L13">
            <v>2021</v>
          </cell>
          <cell r="M13" t="str">
            <v>План</v>
          </cell>
          <cell r="N13" t="str">
            <v>I</v>
          </cell>
          <cell r="P13" t="str">
            <v>Не определено</v>
          </cell>
          <cell r="Q13" t="str">
            <v>Не определено</v>
          </cell>
          <cell r="R13" t="str">
            <v>Не определено</v>
          </cell>
          <cell r="S13" t="str">
            <v>Не определено</v>
          </cell>
        </row>
        <row r="14">
          <cell r="A14" t="str">
            <v>Версия регулятора2021план Органа регулированияII полугодие</v>
          </cell>
          <cell r="B14" t="str">
            <v>Версия регулятора2021план Органа регулирования</v>
          </cell>
          <cell r="H14" t="b">
            <v>1</v>
          </cell>
          <cell r="I14" t="b">
            <v>0</v>
          </cell>
          <cell r="K14" t="str">
            <v>Версия регулятора</v>
          </cell>
          <cell r="L14">
            <v>2021</v>
          </cell>
          <cell r="M14" t="str">
            <v>План</v>
          </cell>
          <cell r="N14" t="str">
            <v>II</v>
          </cell>
          <cell r="P14" t="str">
            <v>Не определено</v>
          </cell>
          <cell r="Q14" t="str">
            <v>Не определено</v>
          </cell>
          <cell r="R14" t="str">
            <v>Не определено</v>
          </cell>
          <cell r="S14" t="str">
            <v>Не определено</v>
          </cell>
        </row>
        <row r="15">
          <cell r="A15" t="str">
            <v>Версия организации2021фактгод</v>
          </cell>
          <cell r="B15" t="str">
            <v>Версия организации2021факт</v>
          </cell>
          <cell r="H15" t="b">
            <v>1</v>
          </cell>
          <cell r="I15" t="b">
            <v>1</v>
          </cell>
          <cell r="K15" t="str">
            <v>Версия организации</v>
          </cell>
          <cell r="L15">
            <v>2021</v>
          </cell>
          <cell r="M15" t="str">
            <v>Факт</v>
          </cell>
          <cell r="N15" t="str">
            <v>Год</v>
          </cell>
          <cell r="P15" t="str">
            <v>Версия организации</v>
          </cell>
          <cell r="Q15">
            <v>2021</v>
          </cell>
          <cell r="R15" t="str">
            <v>Факт</v>
          </cell>
          <cell r="S15" t="str">
            <v>Год</v>
          </cell>
        </row>
        <row r="16">
          <cell r="A16" t="str">
            <v>Версия организации2021фактI полугодие</v>
          </cell>
          <cell r="B16" t="str">
            <v>Версия организации2021факт</v>
          </cell>
          <cell r="H16" t="b">
            <v>1</v>
          </cell>
          <cell r="I16" t="b">
            <v>1</v>
          </cell>
          <cell r="K16" t="str">
            <v>Версия организации</v>
          </cell>
          <cell r="L16">
            <v>2021</v>
          </cell>
          <cell r="M16" t="str">
            <v>Факт</v>
          </cell>
          <cell r="N16" t="str">
            <v>I</v>
          </cell>
          <cell r="P16" t="str">
            <v>Версия организации</v>
          </cell>
          <cell r="Q16">
            <v>2021</v>
          </cell>
          <cell r="R16" t="str">
            <v>Факт</v>
          </cell>
          <cell r="S16" t="str">
            <v>I</v>
          </cell>
        </row>
        <row r="17">
          <cell r="A17" t="str">
            <v>Версия организации2021фактII полугодие</v>
          </cell>
          <cell r="B17" t="str">
            <v>Версия организации2021факт</v>
          </cell>
          <cell r="H17" t="b">
            <v>1</v>
          </cell>
          <cell r="I17" t="b">
            <v>1</v>
          </cell>
          <cell r="K17" t="str">
            <v>Версия организации</v>
          </cell>
          <cell r="L17">
            <v>2021</v>
          </cell>
          <cell r="M17" t="str">
            <v>Факт</v>
          </cell>
          <cell r="N17" t="str">
            <v>II</v>
          </cell>
          <cell r="P17" t="str">
            <v>Версия организации</v>
          </cell>
          <cell r="Q17">
            <v>2021</v>
          </cell>
          <cell r="R17" t="str">
            <v>Факт</v>
          </cell>
          <cell r="S17" t="str">
            <v>II</v>
          </cell>
        </row>
        <row r="18">
          <cell r="A18" t="str">
            <v>Версия регулятора2021фактгод</v>
          </cell>
          <cell r="B18" t="str">
            <v>Версия регулятора2021факт</v>
          </cell>
          <cell r="H18" t="b">
            <v>1</v>
          </cell>
          <cell r="I18" t="b">
            <v>0</v>
          </cell>
          <cell r="K18" t="str">
            <v>Версия регулятора</v>
          </cell>
          <cell r="L18">
            <v>2021</v>
          </cell>
          <cell r="M18" t="str">
            <v>Факт</v>
          </cell>
          <cell r="N18" t="str">
            <v>Год</v>
          </cell>
          <cell r="P18" t="str">
            <v>Не определено</v>
          </cell>
          <cell r="Q18" t="str">
            <v>Не определено</v>
          </cell>
          <cell r="R18" t="str">
            <v>Не определено</v>
          </cell>
          <cell r="S18" t="str">
            <v>Не определено</v>
          </cell>
        </row>
        <row r="19">
          <cell r="A19" t="str">
            <v>Версия регулятора2021фактI полугодие</v>
          </cell>
          <cell r="B19" t="str">
            <v>Версия регулятора2021факт</v>
          </cell>
          <cell r="H19" t="b">
            <v>1</v>
          </cell>
          <cell r="I19" t="b">
            <v>0</v>
          </cell>
          <cell r="K19" t="str">
            <v>Версия регулятора</v>
          </cell>
          <cell r="L19">
            <v>2021</v>
          </cell>
          <cell r="M19" t="str">
            <v>Факт</v>
          </cell>
          <cell r="N19" t="str">
            <v>I</v>
          </cell>
          <cell r="P19" t="str">
            <v>Не определено</v>
          </cell>
          <cell r="Q19" t="str">
            <v>Не определено</v>
          </cell>
          <cell r="R19" t="str">
            <v>Не определено</v>
          </cell>
          <cell r="S19" t="str">
            <v>Не определено</v>
          </cell>
        </row>
        <row r="20">
          <cell r="A20" t="str">
            <v>Версия регулятора2021фактII полугодие</v>
          </cell>
          <cell r="B20" t="str">
            <v>Версия регулятора2021факт</v>
          </cell>
          <cell r="H20" t="b">
            <v>1</v>
          </cell>
          <cell r="I20" t="b">
            <v>0</v>
          </cell>
          <cell r="K20" t="str">
            <v>Версия регулятора</v>
          </cell>
          <cell r="L20">
            <v>2021</v>
          </cell>
          <cell r="M20" t="str">
            <v>Факт</v>
          </cell>
          <cell r="N20" t="str">
            <v>II</v>
          </cell>
          <cell r="P20" t="str">
            <v>Не определено</v>
          </cell>
          <cell r="Q20" t="str">
            <v>Не определено</v>
          </cell>
          <cell r="R20" t="str">
            <v>Не определено</v>
          </cell>
          <cell r="S20" t="str">
            <v>Не определено</v>
          </cell>
        </row>
        <row r="21">
          <cell r="A21" t="str">
            <v>Версия организации2022план Органа регулированиягод</v>
          </cell>
          <cell r="B21" t="str">
            <v>Версия организации2022план Органа регулирования</v>
          </cell>
          <cell r="H21" t="b">
            <v>1</v>
          </cell>
          <cell r="I21" t="b">
            <v>0</v>
          </cell>
          <cell r="K21" t="str">
            <v>Версия организации</v>
          </cell>
          <cell r="L21">
            <v>2022</v>
          </cell>
          <cell r="M21" t="str">
            <v>План</v>
          </cell>
          <cell r="N21" t="str">
            <v>Год</v>
          </cell>
          <cell r="P21" t="str">
            <v>Версия организации</v>
          </cell>
          <cell r="Q21">
            <v>2022</v>
          </cell>
          <cell r="R21" t="str">
            <v>План</v>
          </cell>
          <cell r="S21" t="str">
            <v>Год</v>
          </cell>
        </row>
        <row r="22">
          <cell r="A22" t="str">
            <v>Версия организации2022план Органа регулированияI полугодие</v>
          </cell>
          <cell r="B22" t="str">
            <v>Версия организации2022план Органа регулирования</v>
          </cell>
          <cell r="H22" t="b">
            <v>1</v>
          </cell>
          <cell r="I22" t="b">
            <v>0</v>
          </cell>
          <cell r="K22" t="str">
            <v>Версия организации</v>
          </cell>
          <cell r="L22">
            <v>2022</v>
          </cell>
          <cell r="M22" t="str">
            <v>План</v>
          </cell>
          <cell r="N22" t="str">
            <v>I</v>
          </cell>
          <cell r="P22" t="str">
            <v>Версия организации</v>
          </cell>
          <cell r="Q22">
            <v>2022</v>
          </cell>
          <cell r="R22" t="str">
            <v>План</v>
          </cell>
          <cell r="S22" t="str">
            <v>I</v>
          </cell>
        </row>
        <row r="23">
          <cell r="A23" t="str">
            <v>Версия организации2022план Органа регулированияII полугодие</v>
          </cell>
          <cell r="B23" t="str">
            <v>Версия организации2022план Органа регулирования</v>
          </cell>
          <cell r="H23" t="b">
            <v>1</v>
          </cell>
          <cell r="I23" t="b">
            <v>0</v>
          </cell>
          <cell r="K23" t="str">
            <v>Версия организации</v>
          </cell>
          <cell r="L23">
            <v>2022</v>
          </cell>
          <cell r="M23" t="str">
            <v>План</v>
          </cell>
          <cell r="N23" t="str">
            <v>II</v>
          </cell>
          <cell r="P23" t="str">
            <v>Версия организации</v>
          </cell>
          <cell r="Q23">
            <v>2022</v>
          </cell>
          <cell r="R23" t="str">
            <v>План</v>
          </cell>
          <cell r="S23" t="str">
            <v>II</v>
          </cell>
        </row>
        <row r="24">
          <cell r="A24" t="str">
            <v>Версия регулятора2022план Органа регулированиягод</v>
          </cell>
          <cell r="B24" t="str">
            <v>Версия регулятора2022план Органа регулирования</v>
          </cell>
          <cell r="H24" t="b">
            <v>1</v>
          </cell>
          <cell r="I24" t="b">
            <v>0</v>
          </cell>
          <cell r="K24" t="str">
            <v>Версия регулятора</v>
          </cell>
          <cell r="L24">
            <v>2022</v>
          </cell>
          <cell r="M24" t="str">
            <v>План</v>
          </cell>
          <cell r="N24" t="str">
            <v>Год</v>
          </cell>
          <cell r="P24" t="str">
            <v>Не определено</v>
          </cell>
          <cell r="Q24" t="str">
            <v>Не определено</v>
          </cell>
          <cell r="R24" t="str">
            <v>Не определено</v>
          </cell>
          <cell r="S24" t="str">
            <v>Не определено</v>
          </cell>
        </row>
        <row r="25">
          <cell r="A25" t="str">
            <v>Версия регулятора2022план Органа регулированияI полугодие</v>
          </cell>
          <cell r="B25" t="str">
            <v>Версия регулятора2022план Органа регулирования</v>
          </cell>
          <cell r="H25" t="b">
            <v>1</v>
          </cell>
          <cell r="I25" t="b">
            <v>0</v>
          </cell>
          <cell r="K25" t="str">
            <v>Версия регулятора</v>
          </cell>
          <cell r="L25">
            <v>2022</v>
          </cell>
          <cell r="M25" t="str">
            <v>План</v>
          </cell>
          <cell r="N25" t="str">
            <v>I</v>
          </cell>
          <cell r="P25" t="str">
            <v>Не определено</v>
          </cell>
          <cell r="Q25" t="str">
            <v>Не определено</v>
          </cell>
          <cell r="R25" t="str">
            <v>Не определено</v>
          </cell>
          <cell r="S25" t="str">
            <v>Не определено</v>
          </cell>
        </row>
        <row r="26">
          <cell r="A26" t="str">
            <v>Версия регулятора2022план Органа регулированияII полугодие</v>
          </cell>
          <cell r="B26" t="str">
            <v>Версия регулятора2022план Органа регулирования</v>
          </cell>
          <cell r="H26" t="b">
            <v>1</v>
          </cell>
          <cell r="I26" t="b">
            <v>0</v>
          </cell>
          <cell r="K26" t="str">
            <v>Версия регулятора</v>
          </cell>
          <cell r="L26">
            <v>2022</v>
          </cell>
          <cell r="M26" t="str">
            <v>План</v>
          </cell>
          <cell r="N26" t="str">
            <v>II</v>
          </cell>
          <cell r="P26" t="str">
            <v>Не определено</v>
          </cell>
          <cell r="Q26" t="str">
            <v>Не определено</v>
          </cell>
          <cell r="R26" t="str">
            <v>Не определено</v>
          </cell>
          <cell r="S26" t="str">
            <v>Не определено</v>
          </cell>
        </row>
        <row r="27">
          <cell r="A27" t="str">
            <v>Версия организации2022фактгод</v>
          </cell>
          <cell r="B27" t="str">
            <v>Версия организации2022факт</v>
          </cell>
          <cell r="H27" t="b">
            <v>1</v>
          </cell>
          <cell r="I27" t="b">
            <v>1</v>
          </cell>
          <cell r="K27" t="str">
            <v>Версия организации</v>
          </cell>
          <cell r="L27">
            <v>2022</v>
          </cell>
          <cell r="M27" t="str">
            <v>Факт</v>
          </cell>
          <cell r="N27" t="str">
            <v>Год</v>
          </cell>
          <cell r="P27" t="str">
            <v>Версия организации</v>
          </cell>
          <cell r="Q27">
            <v>2022</v>
          </cell>
          <cell r="R27" t="str">
            <v>Факт</v>
          </cell>
          <cell r="S27" t="str">
            <v>Год</v>
          </cell>
        </row>
        <row r="28">
          <cell r="A28" t="str">
            <v>Версия организации2022фактI полугодие</v>
          </cell>
          <cell r="B28" t="str">
            <v>Версия организации2022факт</v>
          </cell>
          <cell r="H28" t="b">
            <v>1</v>
          </cell>
          <cell r="I28" t="b">
            <v>1</v>
          </cell>
          <cell r="K28" t="str">
            <v>Версия организации</v>
          </cell>
          <cell r="L28">
            <v>2022</v>
          </cell>
          <cell r="M28" t="str">
            <v>Факт</v>
          </cell>
          <cell r="N28" t="str">
            <v>I</v>
          </cell>
          <cell r="P28" t="str">
            <v>Версия организации</v>
          </cell>
          <cell r="Q28">
            <v>2022</v>
          </cell>
          <cell r="R28" t="str">
            <v>Факт</v>
          </cell>
          <cell r="S28" t="str">
            <v>I</v>
          </cell>
        </row>
        <row r="29">
          <cell r="A29" t="str">
            <v>Версия организации2022фактII полугодие</v>
          </cell>
          <cell r="B29" t="str">
            <v>Версия организации2022факт</v>
          </cell>
          <cell r="H29" t="b">
            <v>1</v>
          </cell>
          <cell r="I29" t="b">
            <v>1</v>
          </cell>
          <cell r="K29" t="str">
            <v>Версия организации</v>
          </cell>
          <cell r="L29">
            <v>2022</v>
          </cell>
          <cell r="M29" t="str">
            <v>Факт</v>
          </cell>
          <cell r="N29" t="str">
            <v>II</v>
          </cell>
          <cell r="P29" t="str">
            <v>Версия организации</v>
          </cell>
          <cell r="Q29">
            <v>2022</v>
          </cell>
          <cell r="R29" t="str">
            <v>Факт</v>
          </cell>
          <cell r="S29" t="str">
            <v>II</v>
          </cell>
        </row>
        <row r="30">
          <cell r="A30" t="str">
            <v>Версия регулятора2022фактгод</v>
          </cell>
          <cell r="B30" t="str">
            <v>Версия регулятора2022факт</v>
          </cell>
          <cell r="H30" t="b">
            <v>1</v>
          </cell>
          <cell r="I30" t="b">
            <v>0</v>
          </cell>
          <cell r="K30" t="str">
            <v>Версия регулятора</v>
          </cell>
          <cell r="L30">
            <v>2022</v>
          </cell>
          <cell r="M30" t="str">
            <v>Факт</v>
          </cell>
          <cell r="N30" t="str">
            <v>Год</v>
          </cell>
          <cell r="P30" t="str">
            <v>Не определено</v>
          </cell>
          <cell r="Q30" t="str">
            <v>Не определено</v>
          </cell>
          <cell r="R30" t="str">
            <v>Не определено</v>
          </cell>
          <cell r="S30" t="str">
            <v>Не определено</v>
          </cell>
        </row>
        <row r="31">
          <cell r="A31" t="str">
            <v>Версия регулятора2022фактI полугодие</v>
          </cell>
          <cell r="B31" t="str">
            <v>Версия регулятора2022факт</v>
          </cell>
          <cell r="H31" t="b">
            <v>1</v>
          </cell>
          <cell r="I31" t="b">
            <v>0</v>
          </cell>
          <cell r="K31" t="str">
            <v>Версия регулятора</v>
          </cell>
          <cell r="L31">
            <v>2022</v>
          </cell>
          <cell r="M31" t="str">
            <v>Факт</v>
          </cell>
          <cell r="N31" t="str">
            <v>I</v>
          </cell>
          <cell r="P31" t="str">
            <v>Не определено</v>
          </cell>
          <cell r="Q31" t="str">
            <v>Не определено</v>
          </cell>
          <cell r="R31" t="str">
            <v>Не определено</v>
          </cell>
          <cell r="S31" t="str">
            <v>Не определено</v>
          </cell>
        </row>
        <row r="32">
          <cell r="A32" t="str">
            <v>Версия регулятора2022фактII полугодие</v>
          </cell>
          <cell r="B32" t="str">
            <v>Версия регулятора2022факт</v>
          </cell>
          <cell r="H32" t="b">
            <v>1</v>
          </cell>
          <cell r="I32" t="b">
            <v>0</v>
          </cell>
          <cell r="K32" t="str">
            <v>Версия регулятора</v>
          </cell>
          <cell r="L32">
            <v>2022</v>
          </cell>
          <cell r="M32" t="str">
            <v>Факт</v>
          </cell>
          <cell r="N32" t="str">
            <v>II</v>
          </cell>
          <cell r="P32" t="str">
            <v>Не определено</v>
          </cell>
          <cell r="Q32" t="str">
            <v>Не определено</v>
          </cell>
          <cell r="R32" t="str">
            <v>Не определено</v>
          </cell>
          <cell r="S32" t="str">
            <v>Не определено</v>
          </cell>
        </row>
        <row r="33">
          <cell r="A33" t="str">
            <v>Версия организации2023план Органа регулированиягод</v>
          </cell>
          <cell r="B33" t="str">
            <v>Версия организации2023план Органа регулирования</v>
          </cell>
          <cell r="H33" t="b">
            <v>1</v>
          </cell>
          <cell r="I33" t="b">
            <v>1</v>
          </cell>
          <cell r="K33" t="str">
            <v>Версия организации</v>
          </cell>
          <cell r="L33">
            <v>2023</v>
          </cell>
          <cell r="M33" t="str">
            <v>План</v>
          </cell>
          <cell r="N33" t="str">
            <v>Год</v>
          </cell>
          <cell r="P33" t="str">
            <v>Версия организации</v>
          </cell>
          <cell r="Q33">
            <v>2023</v>
          </cell>
          <cell r="R33" t="str">
            <v>План</v>
          </cell>
          <cell r="S33" t="str">
            <v>Год</v>
          </cell>
        </row>
        <row r="34">
          <cell r="A34" t="str">
            <v>Версия организации2023план Органа регулированияI полугодие</v>
          </cell>
          <cell r="B34" t="str">
            <v>Версия организации2023план Органа регулирования</v>
          </cell>
          <cell r="H34" t="b">
            <v>1</v>
          </cell>
          <cell r="I34" t="b">
            <v>1</v>
          </cell>
          <cell r="K34" t="str">
            <v>Версия организации</v>
          </cell>
          <cell r="L34">
            <v>2023</v>
          </cell>
          <cell r="M34" t="str">
            <v>План</v>
          </cell>
          <cell r="N34" t="str">
            <v>I</v>
          </cell>
          <cell r="P34" t="str">
            <v>Версия организации</v>
          </cell>
          <cell r="Q34">
            <v>2023</v>
          </cell>
          <cell r="R34" t="str">
            <v>План</v>
          </cell>
          <cell r="S34" t="str">
            <v>I</v>
          </cell>
        </row>
        <row r="35">
          <cell r="A35" t="str">
            <v>Версия организации2023план Органа регулированияII полугодие</v>
          </cell>
          <cell r="B35" t="str">
            <v>Версия организации2023план Органа регулирования</v>
          </cell>
          <cell r="H35" t="b">
            <v>1</v>
          </cell>
          <cell r="I35" t="b">
            <v>1</v>
          </cell>
          <cell r="K35" t="str">
            <v>Версия организации</v>
          </cell>
          <cell r="L35">
            <v>2023</v>
          </cell>
          <cell r="M35" t="str">
            <v>План</v>
          </cell>
          <cell r="N35" t="str">
            <v>II</v>
          </cell>
          <cell r="P35" t="str">
            <v>Версия организации</v>
          </cell>
          <cell r="Q35">
            <v>2023</v>
          </cell>
          <cell r="R35" t="str">
            <v>План</v>
          </cell>
          <cell r="S35" t="str">
            <v>II</v>
          </cell>
        </row>
        <row r="36">
          <cell r="A36" t="str">
            <v>Версия регулятора2023план Органа регулированиягод</v>
          </cell>
          <cell r="B36" t="str">
            <v>Версия регулятора2023план Органа регулирования</v>
          </cell>
          <cell r="H36" t="b">
            <v>1</v>
          </cell>
          <cell r="I36" t="b">
            <v>0</v>
          </cell>
          <cell r="K36" t="str">
            <v>Версия регулятора</v>
          </cell>
          <cell r="L36">
            <v>2023</v>
          </cell>
          <cell r="M36" t="str">
            <v>План</v>
          </cell>
          <cell r="N36" t="str">
            <v>Год</v>
          </cell>
          <cell r="P36" t="str">
            <v>Не определено</v>
          </cell>
          <cell r="Q36" t="str">
            <v>Не определено</v>
          </cell>
          <cell r="R36" t="str">
            <v>Не определено</v>
          </cell>
          <cell r="S36" t="str">
            <v>Не определено</v>
          </cell>
        </row>
        <row r="37">
          <cell r="A37" t="str">
            <v>Версия регулятора2023план Органа регулированияI полугодие</v>
          </cell>
          <cell r="B37" t="str">
            <v>Версия регулятора2023план Органа регулирования</v>
          </cell>
          <cell r="H37" t="b">
            <v>1</v>
          </cell>
          <cell r="I37" t="b">
            <v>0</v>
          </cell>
          <cell r="K37" t="str">
            <v>Версия регулятора</v>
          </cell>
          <cell r="L37">
            <v>2023</v>
          </cell>
          <cell r="M37" t="str">
            <v>План</v>
          </cell>
          <cell r="N37" t="str">
            <v>I</v>
          </cell>
          <cell r="P37" t="str">
            <v>Не определено</v>
          </cell>
          <cell r="Q37" t="str">
            <v>Не определено</v>
          </cell>
          <cell r="R37" t="str">
            <v>Не определено</v>
          </cell>
          <cell r="S37" t="str">
            <v>Не определено</v>
          </cell>
        </row>
        <row r="38">
          <cell r="A38" t="str">
            <v>Версия регулятора2023план Органа регулированияII полугодие</v>
          </cell>
          <cell r="B38" t="str">
            <v>Версия регулятора2023план Органа регулирования</v>
          </cell>
          <cell r="H38" t="b">
            <v>1</v>
          </cell>
          <cell r="I38" t="b">
            <v>0</v>
          </cell>
          <cell r="K38" t="str">
            <v>Версия регулятора</v>
          </cell>
          <cell r="L38">
            <v>2023</v>
          </cell>
          <cell r="M38" t="str">
            <v>План</v>
          </cell>
          <cell r="N38" t="str">
            <v>II</v>
          </cell>
          <cell r="P38" t="str">
            <v>Не определено</v>
          </cell>
          <cell r="Q38" t="str">
            <v>Не определено</v>
          </cell>
          <cell r="R38" t="str">
            <v>Не определено</v>
          </cell>
          <cell r="S38" t="str">
            <v>Не определено</v>
          </cell>
        </row>
        <row r="39">
          <cell r="A39" t="str">
            <v>Версия организации2023фактгод</v>
          </cell>
          <cell r="B39" t="str">
            <v>Версия организации2023факт</v>
          </cell>
          <cell r="H39" t="b">
            <v>1</v>
          </cell>
          <cell r="I39" t="b">
            <v>1</v>
          </cell>
          <cell r="K39" t="str">
            <v>Версия организации</v>
          </cell>
          <cell r="L39">
            <v>2023</v>
          </cell>
          <cell r="M39" t="str">
            <v>Факт</v>
          </cell>
          <cell r="N39" t="str">
            <v>Год</v>
          </cell>
          <cell r="P39" t="str">
            <v>Не определено</v>
          </cell>
          <cell r="Q39" t="str">
            <v>Не определено</v>
          </cell>
          <cell r="R39" t="str">
            <v>Не определено</v>
          </cell>
          <cell r="S39" t="str">
            <v>Не определено</v>
          </cell>
        </row>
        <row r="40">
          <cell r="A40" t="str">
            <v>Версия организации2023фактI полугодие</v>
          </cell>
          <cell r="B40" t="str">
            <v>Версия организации2023факт</v>
          </cell>
          <cell r="H40" t="b">
            <v>1</v>
          </cell>
          <cell r="I40" t="b">
            <v>1</v>
          </cell>
          <cell r="K40" t="str">
            <v>Версия организации</v>
          </cell>
          <cell r="L40">
            <v>2023</v>
          </cell>
          <cell r="M40" t="str">
            <v>Факт</v>
          </cell>
          <cell r="N40" t="str">
            <v>I</v>
          </cell>
          <cell r="P40" t="str">
            <v>Не определено</v>
          </cell>
          <cell r="Q40" t="str">
            <v>Не определено</v>
          </cell>
          <cell r="R40" t="str">
            <v>Не определено</v>
          </cell>
          <cell r="S40" t="str">
            <v>Не определено</v>
          </cell>
        </row>
        <row r="41">
          <cell r="A41" t="str">
            <v>Версия организации2023фактII полугодие</v>
          </cell>
          <cell r="B41" t="str">
            <v>Версия организации2023факт</v>
          </cell>
          <cell r="H41" t="b">
            <v>1</v>
          </cell>
          <cell r="I41" t="b">
            <v>1</v>
          </cell>
          <cell r="K41" t="str">
            <v>Версия организации</v>
          </cell>
          <cell r="L41">
            <v>2023</v>
          </cell>
          <cell r="M41" t="str">
            <v>Факт</v>
          </cell>
          <cell r="N41" t="str">
            <v>II</v>
          </cell>
          <cell r="P41" t="str">
            <v>Не определено</v>
          </cell>
          <cell r="Q41" t="str">
            <v>Не определено</v>
          </cell>
          <cell r="R41" t="str">
            <v>Не определено</v>
          </cell>
          <cell r="S41" t="str">
            <v>Не определено</v>
          </cell>
        </row>
        <row r="42">
          <cell r="A42" t="str">
            <v>Версия регулятора2023фактгод</v>
          </cell>
          <cell r="B42" t="str">
            <v>Версия регулятора2023факт</v>
          </cell>
          <cell r="H42" t="b">
            <v>1</v>
          </cell>
          <cell r="I42" t="b">
            <v>0</v>
          </cell>
          <cell r="K42" t="str">
            <v>Версия регулятора</v>
          </cell>
          <cell r="L42">
            <v>2023</v>
          </cell>
          <cell r="M42" t="str">
            <v>Факт</v>
          </cell>
          <cell r="N42" t="str">
            <v>Год</v>
          </cell>
          <cell r="P42" t="str">
            <v>Не определено</v>
          </cell>
          <cell r="Q42" t="str">
            <v>Не определено</v>
          </cell>
          <cell r="R42" t="str">
            <v>Не определено</v>
          </cell>
          <cell r="S42" t="str">
            <v>Не определено</v>
          </cell>
        </row>
        <row r="43">
          <cell r="A43" t="str">
            <v>Версия регулятора2023фактI полугодие</v>
          </cell>
          <cell r="B43" t="str">
            <v>Версия регулятора2023факт</v>
          </cell>
          <cell r="H43" t="b">
            <v>1</v>
          </cell>
          <cell r="I43" t="b">
            <v>0</v>
          </cell>
          <cell r="K43" t="str">
            <v>Версия регулятора</v>
          </cell>
          <cell r="L43">
            <v>2023</v>
          </cell>
          <cell r="M43" t="str">
            <v>Факт</v>
          </cell>
          <cell r="N43" t="str">
            <v>I</v>
          </cell>
          <cell r="P43" t="str">
            <v>Не определено</v>
          </cell>
          <cell r="Q43" t="str">
            <v>Не определено</v>
          </cell>
          <cell r="R43" t="str">
            <v>Не определено</v>
          </cell>
          <cell r="S43" t="str">
            <v>Не определено</v>
          </cell>
        </row>
        <row r="44">
          <cell r="A44" t="str">
            <v>Версия регулятора2023фактII полугодие</v>
          </cell>
          <cell r="B44" t="str">
            <v>Версия регулятора2023факт</v>
          </cell>
          <cell r="H44" t="b">
            <v>1</v>
          </cell>
          <cell r="I44" t="b">
            <v>0</v>
          </cell>
          <cell r="K44" t="str">
            <v>Версия регулятора</v>
          </cell>
          <cell r="L44">
            <v>2023</v>
          </cell>
          <cell r="M44" t="str">
            <v>Факт</v>
          </cell>
          <cell r="N44" t="str">
            <v>II</v>
          </cell>
          <cell r="P44" t="str">
            <v>Не определено</v>
          </cell>
          <cell r="Q44" t="str">
            <v>Не определено</v>
          </cell>
          <cell r="R44" t="str">
            <v>Не определено</v>
          </cell>
          <cell r="S44" t="str">
            <v>Не определено</v>
          </cell>
        </row>
        <row r="45">
          <cell r="A45" t="str">
            <v>Версия организации2024план Органа регулированиягод</v>
          </cell>
          <cell r="B45" t="str">
            <v>Версия организации2024план Органа регулирования</v>
          </cell>
          <cell r="H45" t="b">
            <v>1</v>
          </cell>
          <cell r="I45" t="b">
            <v>1</v>
          </cell>
          <cell r="K45" t="str">
            <v>Версия организации</v>
          </cell>
          <cell r="L45">
            <v>2024</v>
          </cell>
          <cell r="M45" t="str">
            <v>План</v>
          </cell>
          <cell r="N45" t="str">
            <v>Год</v>
          </cell>
          <cell r="P45" t="str">
            <v>Версия организации</v>
          </cell>
          <cell r="Q45">
            <v>2024</v>
          </cell>
          <cell r="R45" t="str">
            <v>План</v>
          </cell>
          <cell r="S45" t="str">
            <v>Год</v>
          </cell>
        </row>
        <row r="46">
          <cell r="A46" t="str">
            <v>Версия организации2024план Органа регулированияI полугодие</v>
          </cell>
          <cell r="B46" t="str">
            <v>Версия организации2024план Органа регулирования</v>
          </cell>
          <cell r="H46" t="b">
            <v>1</v>
          </cell>
          <cell r="I46" t="b">
            <v>1</v>
          </cell>
          <cell r="K46" t="str">
            <v>Версия организации</v>
          </cell>
          <cell r="L46">
            <v>2024</v>
          </cell>
          <cell r="M46" t="str">
            <v>План</v>
          </cell>
          <cell r="N46" t="str">
            <v>I</v>
          </cell>
          <cell r="P46" t="str">
            <v>Версия организации</v>
          </cell>
          <cell r="Q46">
            <v>2024</v>
          </cell>
          <cell r="R46" t="str">
            <v>План</v>
          </cell>
          <cell r="S46" t="str">
            <v>I</v>
          </cell>
        </row>
        <row r="47">
          <cell r="A47" t="str">
            <v>Версия организации2024план Органа регулированияII полугодие</v>
          </cell>
          <cell r="B47" t="str">
            <v>Версия организации2024план Органа регулирования</v>
          </cell>
          <cell r="H47" t="b">
            <v>1</v>
          </cell>
          <cell r="I47" t="b">
            <v>1</v>
          </cell>
          <cell r="K47" t="str">
            <v>Версия организации</v>
          </cell>
          <cell r="L47">
            <v>2024</v>
          </cell>
          <cell r="M47" t="str">
            <v>План</v>
          </cell>
          <cell r="N47" t="str">
            <v>II</v>
          </cell>
          <cell r="P47" t="str">
            <v>Версия организации</v>
          </cell>
          <cell r="Q47">
            <v>2024</v>
          </cell>
          <cell r="R47" t="str">
            <v>План</v>
          </cell>
          <cell r="S47" t="str">
            <v>II</v>
          </cell>
        </row>
        <row r="48">
          <cell r="A48" t="str">
            <v>Версия регулятора2024план Органа регулированиягод</v>
          </cell>
          <cell r="B48" t="str">
            <v>Версия регулятора2024план Органа регулирования</v>
          </cell>
          <cell r="H48" t="b">
            <v>1</v>
          </cell>
          <cell r="I48" t="b">
            <v>0</v>
          </cell>
          <cell r="K48" t="str">
            <v>Версия регулятора</v>
          </cell>
          <cell r="L48">
            <v>2024</v>
          </cell>
          <cell r="M48" t="str">
            <v>План</v>
          </cell>
          <cell r="N48" t="str">
            <v>Год</v>
          </cell>
          <cell r="P48" t="str">
            <v>Не определено</v>
          </cell>
          <cell r="Q48" t="str">
            <v>Не определено</v>
          </cell>
          <cell r="R48" t="str">
            <v>Не определено</v>
          </cell>
          <cell r="S48" t="str">
            <v>Не определено</v>
          </cell>
        </row>
        <row r="49">
          <cell r="A49" t="str">
            <v>Версия регулятора2024план Органа регулированияI полугодие</v>
          </cell>
          <cell r="B49" t="str">
            <v>Версия регулятора2024план Органа регулирования</v>
          </cell>
          <cell r="H49" t="b">
            <v>1</v>
          </cell>
          <cell r="I49" t="b">
            <v>0</v>
          </cell>
          <cell r="K49" t="str">
            <v>Версия регулятора</v>
          </cell>
          <cell r="L49">
            <v>2024</v>
          </cell>
          <cell r="M49" t="str">
            <v>План</v>
          </cell>
          <cell r="N49" t="str">
            <v>I</v>
          </cell>
          <cell r="P49" t="str">
            <v>Не определено</v>
          </cell>
          <cell r="Q49" t="str">
            <v>Не определено</v>
          </cell>
          <cell r="R49" t="str">
            <v>Не определено</v>
          </cell>
          <cell r="S49" t="str">
            <v>Не определено</v>
          </cell>
        </row>
        <row r="50">
          <cell r="A50" t="str">
            <v>Версия регулятора2024план Органа регулированияII полугодие</v>
          </cell>
          <cell r="B50" t="str">
            <v>Версия регулятора2024план Органа регулирования</v>
          </cell>
          <cell r="H50" t="b">
            <v>1</v>
          </cell>
          <cell r="I50" t="b">
            <v>0</v>
          </cell>
          <cell r="K50" t="str">
            <v>Версия регулятора</v>
          </cell>
          <cell r="L50">
            <v>2024</v>
          </cell>
          <cell r="M50" t="str">
            <v>План</v>
          </cell>
          <cell r="N50" t="str">
            <v>II</v>
          </cell>
          <cell r="P50" t="str">
            <v>Не определено</v>
          </cell>
          <cell r="Q50" t="str">
            <v>Не определено</v>
          </cell>
          <cell r="R50" t="str">
            <v>Не определено</v>
          </cell>
          <cell r="S50" t="str">
            <v>Не определено</v>
          </cell>
        </row>
        <row r="51">
          <cell r="A51" t="str">
            <v>Версия организации2024факт за  месяцев</v>
          </cell>
          <cell r="B51" t="str">
            <v>Версия организации2024факт за  месяцев</v>
          </cell>
          <cell r="H51" t="b">
            <v>1</v>
          </cell>
          <cell r="I51" t="b">
            <v>1</v>
          </cell>
          <cell r="K51" t="str">
            <v>Версия организации</v>
          </cell>
          <cell r="L51">
            <v>2024</v>
          </cell>
          <cell r="M51" t="str">
            <v>Факт</v>
          </cell>
          <cell r="N51" t="str">
            <v>Год</v>
          </cell>
          <cell r="P51" t="str">
            <v>Не определено</v>
          </cell>
          <cell r="Q51" t="str">
            <v>Не определено</v>
          </cell>
          <cell r="R51" t="str">
            <v>Не определено</v>
          </cell>
          <cell r="S51" t="str">
            <v>Не определено</v>
          </cell>
        </row>
        <row r="52">
          <cell r="A52" t="str">
            <v>Версия организации2024ожидаемоегод</v>
          </cell>
          <cell r="B52" t="str">
            <v>Версия организации2024ожидаемое</v>
          </cell>
          <cell r="H52" t="b">
            <v>1</v>
          </cell>
          <cell r="I52" t="b">
            <v>1</v>
          </cell>
          <cell r="K52" t="str">
            <v>Версия организации</v>
          </cell>
          <cell r="L52">
            <v>2024</v>
          </cell>
          <cell r="M52" t="str">
            <v>Ожидаемо</v>
          </cell>
          <cell r="N52" t="str">
            <v>Год</v>
          </cell>
          <cell r="P52" t="str">
            <v>Не определено</v>
          </cell>
          <cell r="Q52" t="str">
            <v>Не определено</v>
          </cell>
          <cell r="R52" t="str">
            <v>Не определено</v>
          </cell>
          <cell r="S52" t="str">
            <v>Не определено</v>
          </cell>
        </row>
        <row r="53">
          <cell r="A53" t="str">
            <v>Версия организации2024ожидаемоеI полугодие</v>
          </cell>
          <cell r="B53" t="str">
            <v>Версия организации2024ожидаемое</v>
          </cell>
          <cell r="H53" t="b">
            <v>1</v>
          </cell>
          <cell r="I53" t="b">
            <v>1</v>
          </cell>
          <cell r="K53" t="str">
            <v>Версия организации</v>
          </cell>
          <cell r="L53">
            <v>2024</v>
          </cell>
          <cell r="M53" t="str">
            <v>Ожидаемо</v>
          </cell>
          <cell r="N53" t="str">
            <v>I</v>
          </cell>
          <cell r="P53" t="str">
            <v>Не определено</v>
          </cell>
          <cell r="Q53" t="str">
            <v>Не определено</v>
          </cell>
          <cell r="R53" t="str">
            <v>Не определено</v>
          </cell>
          <cell r="S53" t="str">
            <v>Не определено</v>
          </cell>
        </row>
        <row r="54">
          <cell r="A54" t="str">
            <v>Версия организации2024ожидаемоеII полугодие</v>
          </cell>
          <cell r="B54" t="str">
            <v>Версия организации2024ожидаемое</v>
          </cell>
          <cell r="H54" t="b">
            <v>1</v>
          </cell>
          <cell r="I54" t="b">
            <v>1</v>
          </cell>
          <cell r="K54" t="str">
            <v>Версия организации</v>
          </cell>
          <cell r="L54">
            <v>2024</v>
          </cell>
          <cell r="M54" t="str">
            <v>Ожидаемо</v>
          </cell>
          <cell r="N54" t="str">
            <v>II</v>
          </cell>
          <cell r="P54" t="str">
            <v>Не определено</v>
          </cell>
          <cell r="Q54" t="str">
            <v>Не определено</v>
          </cell>
          <cell r="R54" t="str">
            <v>Не определено</v>
          </cell>
          <cell r="S54" t="str">
            <v>Не определено</v>
          </cell>
        </row>
        <row r="55">
          <cell r="A55" t="str">
            <v>Версия регулятора2024ожидаемоегод</v>
          </cell>
          <cell r="B55" t="str">
            <v>Версия регулятора2024ожидаемое</v>
          </cell>
          <cell r="H55" t="b">
            <v>1</v>
          </cell>
          <cell r="I55" t="b">
            <v>0</v>
          </cell>
          <cell r="K55" t="str">
            <v>Версия регулятора</v>
          </cell>
          <cell r="L55">
            <v>2024</v>
          </cell>
          <cell r="M55" t="str">
            <v>Ожидаемо</v>
          </cell>
          <cell r="N55" t="str">
            <v>Год</v>
          </cell>
          <cell r="P55" t="str">
            <v>Не определено</v>
          </cell>
          <cell r="Q55" t="str">
            <v>Не определено</v>
          </cell>
          <cell r="R55" t="str">
            <v>Не определено</v>
          </cell>
          <cell r="S55" t="str">
            <v>Не определено</v>
          </cell>
        </row>
        <row r="56">
          <cell r="A56" t="str">
            <v>Версия регулятора2024ожидаемоеI полугодие</v>
          </cell>
          <cell r="B56" t="str">
            <v>Версия регулятора2024ожидаемое</v>
          </cell>
          <cell r="H56" t="b">
            <v>1</v>
          </cell>
          <cell r="I56" t="b">
            <v>0</v>
          </cell>
          <cell r="K56" t="str">
            <v>Версия регулятора</v>
          </cell>
          <cell r="L56">
            <v>2024</v>
          </cell>
          <cell r="M56" t="str">
            <v>Ожидаемо</v>
          </cell>
          <cell r="N56" t="str">
            <v>I</v>
          </cell>
          <cell r="P56" t="str">
            <v>Не определено</v>
          </cell>
          <cell r="Q56" t="str">
            <v>Не определено</v>
          </cell>
          <cell r="R56" t="str">
            <v>Не определено</v>
          </cell>
          <cell r="S56" t="str">
            <v>Не определено</v>
          </cell>
        </row>
        <row r="57">
          <cell r="A57" t="str">
            <v>Версия регулятора2024ожидаемоеII полугодие</v>
          </cell>
          <cell r="B57" t="str">
            <v>Версия регулятора2024ожидаемое</v>
          </cell>
          <cell r="H57" t="b">
            <v>1</v>
          </cell>
          <cell r="I57" t="b">
            <v>0</v>
          </cell>
          <cell r="K57" t="str">
            <v>Версия регулятора</v>
          </cell>
          <cell r="L57">
            <v>2024</v>
          </cell>
          <cell r="M57" t="str">
            <v>Ожидаемо</v>
          </cell>
          <cell r="N57" t="str">
            <v>II</v>
          </cell>
          <cell r="P57" t="str">
            <v>Не определено</v>
          </cell>
          <cell r="Q57" t="str">
            <v>Не определено</v>
          </cell>
          <cell r="R57" t="str">
            <v>Не определено</v>
          </cell>
          <cell r="S57" t="str">
            <v>Не определено</v>
          </cell>
        </row>
        <row r="58">
          <cell r="A58" t="str">
            <v>Версия организации2025утвержденный план Органа регулированиягод</v>
          </cell>
          <cell r="B58" t="str">
            <v>Версия организации2025утвержденный план Органа регулирования</v>
          </cell>
          <cell r="H58" t="b">
            <v>1</v>
          </cell>
          <cell r="I58" t="b">
            <v>1</v>
          </cell>
          <cell r="K58" t="str">
            <v>Версия организации</v>
          </cell>
          <cell r="L58">
            <v>2025</v>
          </cell>
          <cell r="M58" t="str">
            <v>Утверждено</v>
          </cell>
          <cell r="N58" t="str">
            <v>Год</v>
          </cell>
          <cell r="P58" t="str">
            <v>Версия организации</v>
          </cell>
          <cell r="Q58">
            <v>2025</v>
          </cell>
          <cell r="R58" t="str">
            <v>План</v>
          </cell>
          <cell r="S58" t="str">
            <v>Год</v>
          </cell>
        </row>
        <row r="59">
          <cell r="A59" t="str">
            <v>Версия организации2025утвержденный план Органа регулированияI полугодие</v>
          </cell>
          <cell r="B59" t="str">
            <v>Версия организации2025утвержденный план Органа регулирования</v>
          </cell>
          <cell r="H59" t="b">
            <v>1</v>
          </cell>
          <cell r="I59" t="b">
            <v>1</v>
          </cell>
          <cell r="K59" t="str">
            <v>Версия организации</v>
          </cell>
          <cell r="L59">
            <v>2025</v>
          </cell>
          <cell r="M59" t="str">
            <v>Утверждено</v>
          </cell>
          <cell r="N59" t="str">
            <v>I</v>
          </cell>
          <cell r="P59" t="str">
            <v>Версия организации</v>
          </cell>
          <cell r="Q59">
            <v>2025</v>
          </cell>
          <cell r="R59" t="str">
            <v>План</v>
          </cell>
          <cell r="S59" t="str">
            <v>I</v>
          </cell>
        </row>
        <row r="60">
          <cell r="A60" t="str">
            <v>Версия организации2025утвержденный план Органа регулированияII полугодие</v>
          </cell>
          <cell r="B60" t="str">
            <v>Версия организации2025утвержденный план Органа регулирования</v>
          </cell>
          <cell r="H60" t="b">
            <v>1</v>
          </cell>
          <cell r="I60" t="b">
            <v>1</v>
          </cell>
          <cell r="K60" t="str">
            <v>Версия организации</v>
          </cell>
          <cell r="L60">
            <v>2025</v>
          </cell>
          <cell r="M60" t="str">
            <v>Утверждено</v>
          </cell>
          <cell r="N60" t="str">
            <v>II</v>
          </cell>
          <cell r="P60" t="str">
            <v>Версия организации</v>
          </cell>
          <cell r="Q60">
            <v>2025</v>
          </cell>
          <cell r="R60" t="str">
            <v>План</v>
          </cell>
          <cell r="S60" t="str">
            <v>II</v>
          </cell>
        </row>
        <row r="61">
          <cell r="A61" t="str">
            <v>Версия регулятора2025утвержденный план Органа регулированиягод</v>
          </cell>
          <cell r="B61" t="str">
            <v>Версия регулятора2025утвержденный план Органа регулирования</v>
          </cell>
          <cell r="H61" t="b">
            <v>1</v>
          </cell>
          <cell r="I61" t="b">
            <v>0</v>
          </cell>
          <cell r="K61" t="str">
            <v>Версия регулятора</v>
          </cell>
          <cell r="L61">
            <v>2025</v>
          </cell>
          <cell r="M61" t="str">
            <v>Утверждено</v>
          </cell>
          <cell r="N61" t="str">
            <v>Год</v>
          </cell>
          <cell r="P61" t="str">
            <v>Не определено</v>
          </cell>
          <cell r="Q61" t="str">
            <v>Не определено</v>
          </cell>
          <cell r="R61" t="str">
            <v>Не определено</v>
          </cell>
          <cell r="S61" t="str">
            <v>Не определено</v>
          </cell>
        </row>
        <row r="62">
          <cell r="A62" t="str">
            <v>Версия регулятора2025утвержденный план Органа регулированияI полугодие</v>
          </cell>
          <cell r="B62" t="str">
            <v>Версия регулятора2025утвержденный план Органа регулирования</v>
          </cell>
          <cell r="H62" t="b">
            <v>1</v>
          </cell>
          <cell r="I62" t="b">
            <v>0</v>
          </cell>
          <cell r="K62" t="str">
            <v>Версия регулятора</v>
          </cell>
          <cell r="L62">
            <v>2025</v>
          </cell>
          <cell r="M62" t="str">
            <v>Утверждено</v>
          </cell>
          <cell r="N62" t="str">
            <v>I</v>
          </cell>
          <cell r="P62" t="str">
            <v>Не определено</v>
          </cell>
          <cell r="Q62" t="str">
            <v>Не определено</v>
          </cell>
          <cell r="R62" t="str">
            <v>Не определено</v>
          </cell>
          <cell r="S62" t="str">
            <v>Не определено</v>
          </cell>
        </row>
        <row r="63">
          <cell r="A63" t="str">
            <v>Версия регулятора2025утвержденный план Органа регулированияII полугодие</v>
          </cell>
          <cell r="B63" t="str">
            <v>Версия регулятора2025утвержденный план Органа регулирования</v>
          </cell>
          <cell r="H63" t="b">
            <v>1</v>
          </cell>
          <cell r="I63" t="b">
            <v>0</v>
          </cell>
          <cell r="K63" t="str">
            <v>Версия регулятора</v>
          </cell>
          <cell r="L63">
            <v>2025</v>
          </cell>
          <cell r="M63" t="str">
            <v>Утверждено</v>
          </cell>
          <cell r="N63" t="str">
            <v>II</v>
          </cell>
          <cell r="P63" t="str">
            <v>Не определено</v>
          </cell>
          <cell r="Q63" t="str">
            <v>Не определено</v>
          </cell>
          <cell r="R63" t="str">
            <v>Не определено</v>
          </cell>
          <cell r="S63" t="str">
            <v>Не определено</v>
          </cell>
        </row>
        <row r="64">
          <cell r="A64" t="str">
            <v>Версия организации2025план организации (корректировка)год</v>
          </cell>
          <cell r="B64" t="str">
            <v>Версия организации2025план организации (корректировка)</v>
          </cell>
          <cell r="H64" t="b">
            <v>1</v>
          </cell>
          <cell r="I64" t="b">
            <v>1</v>
          </cell>
          <cell r="K64" t="str">
            <v>Версия организации</v>
          </cell>
          <cell r="L64">
            <v>2025</v>
          </cell>
          <cell r="M64" t="str">
            <v>План</v>
          </cell>
          <cell r="N64" t="str">
            <v>Год</v>
          </cell>
          <cell r="P64" t="str">
            <v>Не определено</v>
          </cell>
          <cell r="Q64" t="str">
            <v>Не определено</v>
          </cell>
          <cell r="R64" t="str">
            <v>Не определено</v>
          </cell>
          <cell r="S64" t="str">
            <v>Не определено</v>
          </cell>
        </row>
        <row r="65">
          <cell r="A65" t="str">
            <v>Версия организации2025план организации (корректировка)I полугодие</v>
          </cell>
          <cell r="B65" t="str">
            <v>Версия организации2025план организации (корректировка)</v>
          </cell>
          <cell r="H65" t="b">
            <v>1</v>
          </cell>
          <cell r="I65" t="b">
            <v>1</v>
          </cell>
          <cell r="K65" t="str">
            <v>Версия организации</v>
          </cell>
          <cell r="L65">
            <v>2025</v>
          </cell>
          <cell r="M65" t="str">
            <v>План</v>
          </cell>
          <cell r="N65" t="str">
            <v>I</v>
          </cell>
          <cell r="P65" t="str">
            <v>Не определено</v>
          </cell>
          <cell r="Q65" t="str">
            <v>Не определено</v>
          </cell>
          <cell r="R65" t="str">
            <v>Не определено</v>
          </cell>
          <cell r="S65" t="str">
            <v>Не определено</v>
          </cell>
        </row>
        <row r="66">
          <cell r="A66" t="str">
            <v>Версия организации2025план организации (корректировка)II полугодие</v>
          </cell>
          <cell r="B66" t="str">
            <v>Версия организации2025план организации (корректировка)</v>
          </cell>
          <cell r="H66" t="b">
            <v>1</v>
          </cell>
          <cell r="I66" t="b">
            <v>1</v>
          </cell>
          <cell r="K66" t="str">
            <v>Версия организации</v>
          </cell>
          <cell r="L66">
            <v>2025</v>
          </cell>
          <cell r="M66" t="str">
            <v>План</v>
          </cell>
          <cell r="N66" t="str">
            <v>II</v>
          </cell>
          <cell r="P66" t="str">
            <v>Не определено</v>
          </cell>
          <cell r="Q66" t="str">
            <v>Не определено</v>
          </cell>
          <cell r="R66" t="str">
            <v>Не определено</v>
          </cell>
          <cell r="S66" t="str">
            <v>Не определено</v>
          </cell>
        </row>
        <row r="67">
          <cell r="A67" t="str">
            <v>Версия организации2026план организации (корректировка)год</v>
          </cell>
          <cell r="B67" t="str">
            <v>Версия организации2026план организации (корректировка)</v>
          </cell>
          <cell r="H67" t="b">
            <v>1</v>
          </cell>
          <cell r="I67" t="b">
            <v>0</v>
          </cell>
          <cell r="K67" t="str">
            <v>Версия организации</v>
          </cell>
          <cell r="L67">
            <v>2026</v>
          </cell>
          <cell r="M67" t="str">
            <v>План</v>
          </cell>
          <cell r="N67" t="str">
            <v>Год</v>
          </cell>
          <cell r="P67" t="str">
            <v>Не определено</v>
          </cell>
          <cell r="Q67" t="str">
            <v>Не определено</v>
          </cell>
          <cell r="R67" t="str">
            <v>Не определено</v>
          </cell>
          <cell r="S67" t="str">
            <v>Не определено</v>
          </cell>
        </row>
        <row r="68">
          <cell r="A68" t="str">
            <v>Версия организации2026план организации (корректировка)I полугодие</v>
          </cell>
          <cell r="B68" t="str">
            <v>Версия организации2026план организации (корректировка)</v>
          </cell>
          <cell r="H68" t="b">
            <v>1</v>
          </cell>
          <cell r="I68" t="b">
            <v>0</v>
          </cell>
          <cell r="K68" t="str">
            <v>Версия организации</v>
          </cell>
          <cell r="L68">
            <v>2026</v>
          </cell>
          <cell r="M68" t="str">
            <v>План</v>
          </cell>
          <cell r="N68" t="str">
            <v>I</v>
          </cell>
          <cell r="P68" t="str">
            <v>Не определено</v>
          </cell>
          <cell r="Q68" t="str">
            <v>Не определено</v>
          </cell>
          <cell r="R68" t="str">
            <v>Не определено</v>
          </cell>
          <cell r="S68" t="str">
            <v>Не определено</v>
          </cell>
        </row>
        <row r="69">
          <cell r="A69" t="str">
            <v>Версия организации2026план организации (корректировка)II полугодие</v>
          </cell>
          <cell r="B69" t="str">
            <v>Версия организации2026план организации (корректировка)</v>
          </cell>
          <cell r="H69" t="b">
            <v>1</v>
          </cell>
          <cell r="I69" t="b">
            <v>0</v>
          </cell>
          <cell r="K69" t="str">
            <v>Версия организации</v>
          </cell>
          <cell r="L69">
            <v>2026</v>
          </cell>
          <cell r="M69" t="str">
            <v>План</v>
          </cell>
          <cell r="N69" t="str">
            <v>II</v>
          </cell>
          <cell r="P69" t="str">
            <v>Не определено</v>
          </cell>
          <cell r="Q69" t="str">
            <v>Не определено</v>
          </cell>
          <cell r="R69" t="str">
            <v>Не определено</v>
          </cell>
          <cell r="S69" t="str">
            <v>Не определено</v>
          </cell>
        </row>
        <row r="70">
          <cell r="A70" t="str">
            <v>Версия организации2027план организации (корректировка)год</v>
          </cell>
          <cell r="B70" t="str">
            <v>Версия организации2027план организации (корректировка)</v>
          </cell>
          <cell r="H70" t="b">
            <v>1</v>
          </cell>
          <cell r="I70" t="b">
            <v>0</v>
          </cell>
          <cell r="K70" t="str">
            <v>Версия организации</v>
          </cell>
          <cell r="L70">
            <v>2027</v>
          </cell>
          <cell r="M70" t="str">
            <v>План</v>
          </cell>
          <cell r="N70" t="str">
            <v>Год</v>
          </cell>
          <cell r="P70" t="str">
            <v>Не определено</v>
          </cell>
          <cell r="Q70" t="str">
            <v>Не определено</v>
          </cell>
          <cell r="R70" t="str">
            <v>Не определено</v>
          </cell>
          <cell r="S70" t="str">
            <v>Не определено</v>
          </cell>
        </row>
        <row r="71">
          <cell r="A71" t="str">
            <v>Версия организации2027план организации (корректировка)I полугодие</v>
          </cell>
          <cell r="B71" t="str">
            <v>Версия организации2027план организации (корректировка)</v>
          </cell>
          <cell r="H71" t="b">
            <v>1</v>
          </cell>
          <cell r="I71" t="b">
            <v>0</v>
          </cell>
          <cell r="K71" t="str">
            <v>Версия организации</v>
          </cell>
          <cell r="L71">
            <v>2027</v>
          </cell>
          <cell r="M71" t="str">
            <v>План</v>
          </cell>
          <cell r="N71" t="str">
            <v>I</v>
          </cell>
          <cell r="P71" t="str">
            <v>Не определено</v>
          </cell>
          <cell r="Q71" t="str">
            <v>Не определено</v>
          </cell>
          <cell r="R71" t="str">
            <v>Не определено</v>
          </cell>
          <cell r="S71" t="str">
            <v>Не определено</v>
          </cell>
        </row>
        <row r="72">
          <cell r="A72" t="str">
            <v>Версия организации2027план организации (корректировка)II полугодие</v>
          </cell>
          <cell r="B72" t="str">
            <v>Версия организации2027план организации (корректировка)</v>
          </cell>
          <cell r="H72" t="b">
            <v>1</v>
          </cell>
          <cell r="I72" t="b">
            <v>0</v>
          </cell>
          <cell r="K72" t="str">
            <v>Версия организации</v>
          </cell>
          <cell r="L72">
            <v>2027</v>
          </cell>
          <cell r="M72" t="str">
            <v>План</v>
          </cell>
          <cell r="N72" t="str">
            <v>II</v>
          </cell>
          <cell r="P72" t="str">
            <v>Не определено</v>
          </cell>
          <cell r="Q72" t="str">
            <v>Не определено</v>
          </cell>
          <cell r="R72" t="str">
            <v>Не определено</v>
          </cell>
          <cell r="S72" t="str">
            <v>Не определено</v>
          </cell>
        </row>
        <row r="73">
          <cell r="A73" t="str">
            <v>Версия организации2028план организации (корректировка)год</v>
          </cell>
          <cell r="B73" t="str">
            <v>Версия организации2028план организации (корректировка)</v>
          </cell>
          <cell r="H73" t="b">
            <v>1</v>
          </cell>
          <cell r="I73" t="b">
            <v>0</v>
          </cell>
          <cell r="K73" t="str">
            <v>Версия организации</v>
          </cell>
          <cell r="L73">
            <v>2028</v>
          </cell>
          <cell r="M73" t="str">
            <v>План</v>
          </cell>
          <cell r="N73" t="str">
            <v>Год</v>
          </cell>
          <cell r="P73" t="str">
            <v>Не определено</v>
          </cell>
          <cell r="Q73" t="str">
            <v>Не определено</v>
          </cell>
          <cell r="R73" t="str">
            <v>Не определено</v>
          </cell>
          <cell r="S73" t="str">
            <v>Не определено</v>
          </cell>
        </row>
        <row r="74">
          <cell r="A74" t="str">
            <v>Версия организации2028план организации (корректировка)I полугодие</v>
          </cell>
          <cell r="B74" t="str">
            <v>Версия организации2028план организации (корректировка)</v>
          </cell>
          <cell r="H74" t="b">
            <v>1</v>
          </cell>
          <cell r="I74" t="b">
            <v>0</v>
          </cell>
          <cell r="K74" t="str">
            <v>Версия организации</v>
          </cell>
          <cell r="L74">
            <v>2028</v>
          </cell>
          <cell r="M74" t="str">
            <v>План</v>
          </cell>
          <cell r="N74" t="str">
            <v>I</v>
          </cell>
          <cell r="P74" t="str">
            <v>Не определено</v>
          </cell>
          <cell r="Q74" t="str">
            <v>Не определено</v>
          </cell>
          <cell r="R74" t="str">
            <v>Не определено</v>
          </cell>
          <cell r="S74" t="str">
            <v>Не определено</v>
          </cell>
        </row>
        <row r="75">
          <cell r="A75" t="str">
            <v>Версия организации2028план организации (корректировка)II полугодие</v>
          </cell>
          <cell r="B75" t="str">
            <v>Версия организации2028план организации (корректировка)</v>
          </cell>
          <cell r="H75" t="b">
            <v>1</v>
          </cell>
          <cell r="I75" t="b">
            <v>0</v>
          </cell>
          <cell r="K75" t="str">
            <v>Версия организации</v>
          </cell>
          <cell r="L75">
            <v>2028</v>
          </cell>
          <cell r="M75" t="str">
            <v>План</v>
          </cell>
          <cell r="N75" t="str">
            <v>II</v>
          </cell>
          <cell r="P75" t="str">
            <v>Не определено</v>
          </cell>
          <cell r="Q75" t="str">
            <v>Не определено</v>
          </cell>
          <cell r="R75" t="str">
            <v>Не определено</v>
          </cell>
          <cell r="S75" t="str">
            <v>Не определено</v>
          </cell>
        </row>
        <row r="76">
          <cell r="A76" t="str">
            <v>Версия организации2029план организации (корректировка)год</v>
          </cell>
          <cell r="B76" t="str">
            <v>Версия организации2029план организации (корректировка)</v>
          </cell>
          <cell r="H76" t="b">
            <v>1</v>
          </cell>
          <cell r="I76" t="b">
            <v>0</v>
          </cell>
          <cell r="K76" t="str">
            <v>Версия организации</v>
          </cell>
          <cell r="L76">
            <v>2029</v>
          </cell>
          <cell r="M76" t="str">
            <v>План</v>
          </cell>
          <cell r="N76" t="str">
            <v>Год</v>
          </cell>
          <cell r="P76" t="str">
            <v>Не определено</v>
          </cell>
          <cell r="Q76" t="str">
            <v>Не определено</v>
          </cell>
          <cell r="R76" t="str">
            <v>Не определено</v>
          </cell>
          <cell r="S76" t="str">
            <v>Не определено</v>
          </cell>
        </row>
        <row r="77">
          <cell r="A77" t="str">
            <v>Версия организации2029план организации (корректировка)I полугодие</v>
          </cell>
          <cell r="B77" t="str">
            <v>Версия организации2029план организации (корректировка)</v>
          </cell>
          <cell r="H77" t="b">
            <v>1</v>
          </cell>
          <cell r="I77" t="b">
            <v>0</v>
          </cell>
          <cell r="K77" t="str">
            <v>Версия организации</v>
          </cell>
          <cell r="L77">
            <v>2029</v>
          </cell>
          <cell r="M77" t="str">
            <v>План</v>
          </cell>
          <cell r="N77" t="str">
            <v>I</v>
          </cell>
          <cell r="P77" t="str">
            <v>Не определено</v>
          </cell>
          <cell r="Q77" t="str">
            <v>Не определено</v>
          </cell>
          <cell r="R77" t="str">
            <v>Не определено</v>
          </cell>
          <cell r="S77" t="str">
            <v>Не определено</v>
          </cell>
        </row>
        <row r="78">
          <cell r="A78" t="str">
            <v>Версия организации2029план организации (корректировка)II полугодие</v>
          </cell>
          <cell r="B78" t="str">
            <v>Версия организации2029план организации (корректировка)</v>
          </cell>
          <cell r="H78" t="b">
            <v>1</v>
          </cell>
          <cell r="I78" t="b">
            <v>0</v>
          </cell>
          <cell r="K78" t="str">
            <v>Версия организации</v>
          </cell>
          <cell r="L78">
            <v>2029</v>
          </cell>
          <cell r="M78" t="str">
            <v>План</v>
          </cell>
          <cell r="N78" t="str">
            <v>II</v>
          </cell>
          <cell r="P78" t="str">
            <v>Не определено</v>
          </cell>
          <cell r="Q78" t="str">
            <v>Не определено</v>
          </cell>
          <cell r="R78" t="str">
            <v>Не определено</v>
          </cell>
          <cell r="S78" t="str">
            <v>Не определено</v>
          </cell>
        </row>
        <row r="79">
          <cell r="A79" t="str">
            <v>Комментарий</v>
          </cell>
          <cell r="B79" t="str">
            <v>Комментарий</v>
          </cell>
          <cell r="H79" t="b">
            <v>1</v>
          </cell>
          <cell r="I79" t="b">
            <v>1</v>
          </cell>
          <cell r="K79" t="str">
            <v>Версия организации</v>
          </cell>
          <cell r="L79" t="str">
            <v>Не определено</v>
          </cell>
          <cell r="M79" t="str">
            <v>Не определено</v>
          </cell>
          <cell r="N79" t="str">
            <v>Не определено</v>
          </cell>
          <cell r="P79" t="str">
            <v>Не определено</v>
          </cell>
          <cell r="Q79" t="str">
            <v>Не определено</v>
          </cell>
          <cell r="R79" t="str">
            <v>Не определено</v>
          </cell>
          <cell r="S79" t="str">
            <v>Не определено</v>
          </cell>
        </row>
        <row r="80">
          <cell r="A80" t="str">
            <v>Версия регулятора2025план Органа регулирования (корректировка)год</v>
          </cell>
          <cell r="B80" t="str">
            <v>Версия регулятора2025план Органа регулирования (корректировка)</v>
          </cell>
          <cell r="H80" t="b">
            <v>1</v>
          </cell>
          <cell r="I80" t="b">
            <v>0</v>
          </cell>
          <cell r="K80" t="str">
            <v>Версия регулятора</v>
          </cell>
          <cell r="L80">
            <v>2025</v>
          </cell>
          <cell r="M80" t="str">
            <v>План</v>
          </cell>
          <cell r="N80" t="str">
            <v>Год</v>
          </cell>
          <cell r="P80" t="str">
            <v>Не определено</v>
          </cell>
          <cell r="Q80" t="str">
            <v>Не определено</v>
          </cell>
          <cell r="R80" t="str">
            <v>Не определено</v>
          </cell>
          <cell r="S80" t="str">
            <v>Не определено</v>
          </cell>
        </row>
        <row r="81">
          <cell r="A81" t="str">
            <v>Версия регулятора2025план Органа регулирования (корректировка)I полугодие</v>
          </cell>
          <cell r="B81" t="str">
            <v>Версия регулятора2025план Органа регулирования (корректировка)</v>
          </cell>
          <cell r="H81" t="b">
            <v>1</v>
          </cell>
          <cell r="I81" t="b">
            <v>0</v>
          </cell>
          <cell r="K81" t="str">
            <v>Версия регулятора</v>
          </cell>
          <cell r="L81">
            <v>2025</v>
          </cell>
          <cell r="M81" t="str">
            <v>План</v>
          </cell>
          <cell r="N81" t="str">
            <v>I</v>
          </cell>
          <cell r="P81" t="str">
            <v>Не определено</v>
          </cell>
          <cell r="Q81" t="str">
            <v>Не определено</v>
          </cell>
          <cell r="R81" t="str">
            <v>Не определено</v>
          </cell>
          <cell r="S81" t="str">
            <v>Не определено</v>
          </cell>
        </row>
        <row r="82">
          <cell r="A82" t="str">
            <v>Версия регулятора2025план Органа регулирования (корректировка)II полугодие</v>
          </cell>
          <cell r="B82" t="str">
            <v>Версия регулятора2025план Органа регулирования (корректировка)</v>
          </cell>
          <cell r="H82" t="b">
            <v>1</v>
          </cell>
          <cell r="I82" t="b">
            <v>0</v>
          </cell>
          <cell r="K82" t="str">
            <v>Версия регулятора</v>
          </cell>
          <cell r="L82">
            <v>2025</v>
          </cell>
          <cell r="M82" t="str">
            <v>План</v>
          </cell>
          <cell r="N82" t="str">
            <v>II</v>
          </cell>
          <cell r="P82" t="str">
            <v>Не определено</v>
          </cell>
          <cell r="Q82" t="str">
            <v>Не определено</v>
          </cell>
          <cell r="R82" t="str">
            <v>Не определено</v>
          </cell>
          <cell r="S82" t="str">
            <v>Не определено</v>
          </cell>
        </row>
        <row r="83">
          <cell r="A83" t="str">
            <v>Версия регулятора2026план Органа регулирования (корректировка)год</v>
          </cell>
          <cell r="B83" t="str">
            <v>Версия регулятора2026план Органа регулирования (корректировка)</v>
          </cell>
          <cell r="H83" t="b">
            <v>1</v>
          </cell>
          <cell r="I83" t="b">
            <v>0</v>
          </cell>
          <cell r="K83" t="str">
            <v>Версия регулятора</v>
          </cell>
          <cell r="L83">
            <v>2026</v>
          </cell>
          <cell r="M83" t="str">
            <v>План</v>
          </cell>
          <cell r="N83" t="str">
            <v>Год</v>
          </cell>
          <cell r="P83" t="str">
            <v>Не определено</v>
          </cell>
          <cell r="Q83" t="str">
            <v>Не определено</v>
          </cell>
          <cell r="R83" t="str">
            <v>Не определено</v>
          </cell>
          <cell r="S83" t="str">
            <v>Не определено</v>
          </cell>
        </row>
        <row r="84">
          <cell r="A84" t="str">
            <v>Версия регулятора2026план Органа регулирования (корректировка)I полугодие</v>
          </cell>
          <cell r="B84" t="str">
            <v>Версия регулятора2026план Органа регулирования (корректировка)</v>
          </cell>
          <cell r="H84" t="b">
            <v>1</v>
          </cell>
          <cell r="I84" t="b">
            <v>0</v>
          </cell>
          <cell r="K84" t="str">
            <v>Версия регулятора</v>
          </cell>
          <cell r="L84">
            <v>2026</v>
          </cell>
          <cell r="M84" t="str">
            <v>План</v>
          </cell>
          <cell r="N84" t="str">
            <v>I</v>
          </cell>
          <cell r="P84" t="str">
            <v>Не определено</v>
          </cell>
          <cell r="Q84" t="str">
            <v>Не определено</v>
          </cell>
          <cell r="R84" t="str">
            <v>Не определено</v>
          </cell>
          <cell r="S84" t="str">
            <v>Не определено</v>
          </cell>
        </row>
        <row r="85">
          <cell r="A85" t="str">
            <v>Версия регулятора2026план Органа регулирования (корректировка)II полугодие</v>
          </cell>
          <cell r="B85" t="str">
            <v>Версия регулятора2026план Органа регулирования (корректировка)</v>
          </cell>
          <cell r="H85" t="b">
            <v>1</v>
          </cell>
          <cell r="I85" t="b">
            <v>0</v>
          </cell>
          <cell r="K85" t="str">
            <v>Версия регулятора</v>
          </cell>
          <cell r="L85">
            <v>2026</v>
          </cell>
          <cell r="M85" t="str">
            <v>План</v>
          </cell>
          <cell r="N85" t="str">
            <v>II</v>
          </cell>
          <cell r="P85" t="str">
            <v>Не определено</v>
          </cell>
          <cell r="Q85" t="str">
            <v>Не определено</v>
          </cell>
          <cell r="R85" t="str">
            <v>Не определено</v>
          </cell>
          <cell r="S85" t="str">
            <v>Не определено</v>
          </cell>
        </row>
        <row r="86">
          <cell r="A86" t="str">
            <v>Версия регулятора2027план Органа регулирования (корректировка)год</v>
          </cell>
          <cell r="B86" t="str">
            <v>Версия регулятора2027план Органа регулирования (корректировка)</v>
          </cell>
          <cell r="H86" t="b">
            <v>1</v>
          </cell>
          <cell r="I86" t="b">
            <v>0</v>
          </cell>
          <cell r="K86" t="str">
            <v>Версия регулятора</v>
          </cell>
          <cell r="L86">
            <v>2027</v>
          </cell>
          <cell r="M86" t="str">
            <v>План</v>
          </cell>
          <cell r="N86" t="str">
            <v>Год</v>
          </cell>
          <cell r="P86" t="str">
            <v>Не определено</v>
          </cell>
          <cell r="Q86" t="str">
            <v>Не определено</v>
          </cell>
          <cell r="R86" t="str">
            <v>Не определено</v>
          </cell>
          <cell r="S86" t="str">
            <v>Не определено</v>
          </cell>
        </row>
        <row r="87">
          <cell r="A87" t="str">
            <v>Версия регулятора2027план Органа регулирования (корректировка)I полугодие</v>
          </cell>
          <cell r="B87" t="str">
            <v>Версия регулятора2027план Органа регулирования (корректировка)</v>
          </cell>
          <cell r="H87" t="b">
            <v>1</v>
          </cell>
          <cell r="I87" t="b">
            <v>0</v>
          </cell>
          <cell r="K87" t="str">
            <v>Версия регулятора</v>
          </cell>
          <cell r="L87">
            <v>2027</v>
          </cell>
          <cell r="M87" t="str">
            <v>План</v>
          </cell>
          <cell r="N87" t="str">
            <v>I</v>
          </cell>
          <cell r="P87" t="str">
            <v>Не определено</v>
          </cell>
          <cell r="Q87" t="str">
            <v>Не определено</v>
          </cell>
          <cell r="R87" t="str">
            <v>Не определено</v>
          </cell>
          <cell r="S87" t="str">
            <v>Не определено</v>
          </cell>
        </row>
        <row r="88">
          <cell r="A88" t="str">
            <v>Версия регулятора2027план Органа регулирования (корректировка)II полугодие</v>
          </cell>
          <cell r="B88" t="str">
            <v>Версия регулятора2027план Органа регулирования (корректировка)</v>
          </cell>
          <cell r="H88" t="b">
            <v>1</v>
          </cell>
          <cell r="I88" t="b">
            <v>0</v>
          </cell>
          <cell r="K88" t="str">
            <v>Версия регулятора</v>
          </cell>
          <cell r="L88">
            <v>2027</v>
          </cell>
          <cell r="M88" t="str">
            <v>План</v>
          </cell>
          <cell r="N88" t="str">
            <v>II</v>
          </cell>
          <cell r="P88" t="str">
            <v>Не определено</v>
          </cell>
          <cell r="Q88" t="str">
            <v>Не определено</v>
          </cell>
          <cell r="R88" t="str">
            <v>Не определено</v>
          </cell>
          <cell r="S88" t="str">
            <v>Не определено</v>
          </cell>
        </row>
        <row r="89">
          <cell r="A89" t="str">
            <v>Версия регулятора2028план Органа регулирования (корректировка)год</v>
          </cell>
          <cell r="B89" t="str">
            <v>Версия регулятора2028план Органа регулирования (корректировка)</v>
          </cell>
          <cell r="H89" t="b">
            <v>1</v>
          </cell>
          <cell r="I89" t="b">
            <v>0</v>
          </cell>
          <cell r="K89" t="str">
            <v>Версия регулятора</v>
          </cell>
          <cell r="L89">
            <v>2028</v>
          </cell>
          <cell r="M89" t="str">
            <v>План</v>
          </cell>
          <cell r="N89" t="str">
            <v>Год</v>
          </cell>
          <cell r="P89" t="str">
            <v>Не определено</v>
          </cell>
          <cell r="Q89" t="str">
            <v>Не определено</v>
          </cell>
          <cell r="R89" t="str">
            <v>Не определено</v>
          </cell>
          <cell r="S89" t="str">
            <v>Не определено</v>
          </cell>
        </row>
        <row r="90">
          <cell r="A90" t="str">
            <v>Версия регулятора2028план Органа регулирования (корректировка)I полугодие</v>
          </cell>
          <cell r="B90" t="str">
            <v>Версия регулятора2028план Органа регулирования (корректировка)</v>
          </cell>
          <cell r="H90" t="b">
            <v>1</v>
          </cell>
          <cell r="I90" t="b">
            <v>0</v>
          </cell>
          <cell r="K90" t="str">
            <v>Версия регулятора</v>
          </cell>
          <cell r="L90">
            <v>2028</v>
          </cell>
          <cell r="M90" t="str">
            <v>План</v>
          </cell>
          <cell r="N90" t="str">
            <v>I</v>
          </cell>
          <cell r="P90" t="str">
            <v>Не определено</v>
          </cell>
          <cell r="Q90" t="str">
            <v>Не определено</v>
          </cell>
          <cell r="R90" t="str">
            <v>Не определено</v>
          </cell>
          <cell r="S90" t="str">
            <v>Не определено</v>
          </cell>
        </row>
        <row r="91">
          <cell r="A91" t="str">
            <v>Версия регулятора2028план Органа регулирования (корректировка)II полугодие</v>
          </cell>
          <cell r="B91" t="str">
            <v>Версия регулятора2028план Органа регулирования (корректировка)</v>
          </cell>
          <cell r="H91" t="b">
            <v>1</v>
          </cell>
          <cell r="I91" t="b">
            <v>0</v>
          </cell>
          <cell r="K91" t="str">
            <v>Версия регулятора</v>
          </cell>
          <cell r="L91">
            <v>2028</v>
          </cell>
          <cell r="M91" t="str">
            <v>План</v>
          </cell>
          <cell r="N91" t="str">
            <v>II</v>
          </cell>
          <cell r="P91" t="str">
            <v>Не определено</v>
          </cell>
          <cell r="Q91" t="str">
            <v>Не определено</v>
          </cell>
          <cell r="R91" t="str">
            <v>Не определено</v>
          </cell>
          <cell r="S91" t="str">
            <v>Не определено</v>
          </cell>
        </row>
        <row r="92">
          <cell r="A92" t="str">
            <v>Версия регулятора2029план Органа регулирования (корректировка)год</v>
          </cell>
          <cell r="B92" t="str">
            <v>Версия регулятора2029план Органа регулирования (корректировка)</v>
          </cell>
          <cell r="H92" t="b">
            <v>1</v>
          </cell>
          <cell r="I92" t="b">
            <v>0</v>
          </cell>
          <cell r="K92" t="str">
            <v>Версия регулятора</v>
          </cell>
          <cell r="L92">
            <v>2029</v>
          </cell>
          <cell r="M92" t="str">
            <v>План</v>
          </cell>
          <cell r="N92" t="str">
            <v>Год</v>
          </cell>
          <cell r="P92" t="str">
            <v>Не определено</v>
          </cell>
          <cell r="Q92" t="str">
            <v>Не определено</v>
          </cell>
          <cell r="R92" t="str">
            <v>Не определено</v>
          </cell>
          <cell r="S92" t="str">
            <v>Не определено</v>
          </cell>
        </row>
        <row r="93">
          <cell r="A93" t="str">
            <v>Версия регулятора2029план Органа регулирования (корректировка)I полугодие</v>
          </cell>
          <cell r="B93" t="str">
            <v>Версия регулятора2029план Органа регулирования (корректировка)</v>
          </cell>
          <cell r="H93" t="b">
            <v>1</v>
          </cell>
          <cell r="I93" t="b">
            <v>0</v>
          </cell>
          <cell r="K93" t="str">
            <v>Версия регулятора</v>
          </cell>
          <cell r="L93">
            <v>2029</v>
          </cell>
          <cell r="M93" t="str">
            <v>План</v>
          </cell>
          <cell r="N93" t="str">
            <v>I</v>
          </cell>
          <cell r="P93" t="str">
            <v>Не определено</v>
          </cell>
          <cell r="Q93" t="str">
            <v>Не определено</v>
          </cell>
          <cell r="R93" t="str">
            <v>Не определено</v>
          </cell>
          <cell r="S93" t="str">
            <v>Не определено</v>
          </cell>
        </row>
        <row r="94">
          <cell r="A94" t="str">
            <v>Версия регулятора2029план Органа регулирования (корректировка)II полугодие</v>
          </cell>
          <cell r="B94" t="str">
            <v>Версия регулятора2029план Органа регулирования (корректировка)</v>
          </cell>
          <cell r="H94" t="b">
            <v>1</v>
          </cell>
          <cell r="I94" t="b">
            <v>0</v>
          </cell>
          <cell r="K94" t="str">
            <v>Версия регулятора</v>
          </cell>
          <cell r="L94">
            <v>2029</v>
          </cell>
          <cell r="M94" t="str">
            <v>План</v>
          </cell>
          <cell r="N94" t="str">
            <v>II</v>
          </cell>
          <cell r="P94" t="str">
            <v>Не определено</v>
          </cell>
          <cell r="Q94" t="str">
            <v>Не определено</v>
          </cell>
          <cell r="R94" t="str">
            <v>Не определено</v>
          </cell>
          <cell r="S94" t="str">
            <v>Не определено</v>
          </cell>
        </row>
        <row r="95">
          <cell r="A95" t="str">
            <v>Обоснование причины отклонения (комментарий регулятора)</v>
          </cell>
          <cell r="B95" t="str">
            <v>Обоснование причины отклонения (комментарий регулятора)</v>
          </cell>
          <cell r="H95" t="b">
            <v>1</v>
          </cell>
          <cell r="I95" t="b">
            <v>0</v>
          </cell>
          <cell r="K95" t="str">
            <v>Версия регулятора</v>
          </cell>
          <cell r="L95" t="str">
            <v>Не определено</v>
          </cell>
          <cell r="M95" t="str">
            <v>Не определено</v>
          </cell>
          <cell r="N95" t="str">
            <v>Не определено</v>
          </cell>
          <cell r="P95" t="str">
            <v>Не определено</v>
          </cell>
          <cell r="Q95" t="str">
            <v>Не определено</v>
          </cell>
          <cell r="R95" t="str">
            <v>Не определено</v>
          </cell>
          <cell r="S95" t="str">
            <v>Не определено</v>
          </cell>
        </row>
        <row r="96">
          <cell r="A96" t="str">
            <v>Рабочее пространство для комментариев и дополнительных расчетов (не будет загружено в БД)</v>
          </cell>
          <cell r="B96" t="str">
            <v>Рабочее пространство для комментариев и дополнительных расчетов (не будет загружено в БД)</v>
          </cell>
          <cell r="H96" t="b">
            <v>1</v>
          </cell>
          <cell r="I96" t="b">
            <v>0</v>
          </cell>
          <cell r="K96" t="str">
            <v>Не определено</v>
          </cell>
          <cell r="L96" t="str">
            <v>Не определено</v>
          </cell>
          <cell r="M96" t="str">
            <v>Не определено</v>
          </cell>
          <cell r="N96" t="str">
            <v>Не определено</v>
          </cell>
          <cell r="P96" t="str">
            <v>Не определено</v>
          </cell>
          <cell r="Q96" t="str">
            <v>Не определено</v>
          </cell>
          <cell r="R96" t="str">
            <v>Не определено</v>
          </cell>
          <cell r="S96" t="str">
            <v>Не определено</v>
          </cell>
        </row>
        <row r="97">
          <cell r="A97" t="str">
            <v>Рабочее пространство для комментариев и дополнительных расчетов (не будет загружено в БД)</v>
          </cell>
          <cell r="B97" t="str">
            <v>Рабочее пространство для комментариев и дополнительных расчетов (не будет загружено в БД)</v>
          </cell>
          <cell r="H97" t="b">
            <v>1</v>
          </cell>
          <cell r="I97" t="b">
            <v>0</v>
          </cell>
          <cell r="K97" t="str">
            <v>Не определено</v>
          </cell>
          <cell r="L97" t="str">
            <v>Не определено</v>
          </cell>
          <cell r="M97" t="str">
            <v>Не определено</v>
          </cell>
          <cell r="N97" t="str">
            <v>Не определено</v>
          </cell>
          <cell r="P97" t="str">
            <v>Не определено</v>
          </cell>
          <cell r="Q97" t="str">
            <v>Не определено</v>
          </cell>
          <cell r="R97" t="str">
            <v>Не определено</v>
          </cell>
          <cell r="S97" t="str">
            <v>Не определено</v>
          </cell>
        </row>
        <row r="98">
          <cell r="A98" t="str">
            <v>Рабочее пространство для комментариев и дополнительных расчетов (не будет загружено в БД)</v>
          </cell>
          <cell r="B98" t="str">
            <v>Рабочее пространство для комментариев и дополнительных расчетов (не будет загружено в БД)</v>
          </cell>
          <cell r="H98" t="b">
            <v>1</v>
          </cell>
          <cell r="I98" t="b">
            <v>0</v>
          </cell>
          <cell r="K98" t="str">
            <v>Не определено</v>
          </cell>
          <cell r="L98" t="str">
            <v>Не определено</v>
          </cell>
          <cell r="M98" t="str">
            <v>Не определено</v>
          </cell>
          <cell r="N98" t="str">
            <v>Не определено</v>
          </cell>
          <cell r="P98" t="str">
            <v>Не определено</v>
          </cell>
          <cell r="Q98" t="str">
            <v>Не определено</v>
          </cell>
          <cell r="R98" t="str">
            <v>Не определено</v>
          </cell>
          <cell r="S98" t="str">
            <v>Не определено</v>
          </cell>
        </row>
        <row r="99">
          <cell r="A99" t="str">
            <v>Рабочее пространство для комментариев и дополнительных расчетов (не будет загружено в БД)</v>
          </cell>
          <cell r="B99" t="str">
            <v>Рабочее пространство для комментариев и дополнительных расчетов (не будет загружено в БД)</v>
          </cell>
          <cell r="H99" t="b">
            <v>1</v>
          </cell>
          <cell r="I99" t="b">
            <v>0</v>
          </cell>
          <cell r="K99" t="str">
            <v>Не определено</v>
          </cell>
          <cell r="L99" t="str">
            <v>Не определено</v>
          </cell>
          <cell r="M99" t="str">
            <v>Не определено</v>
          </cell>
          <cell r="N99" t="str">
            <v>Не определено</v>
          </cell>
          <cell r="P99" t="str">
            <v>Не определено</v>
          </cell>
          <cell r="Q99" t="str">
            <v>Не определено</v>
          </cell>
          <cell r="R99" t="str">
            <v>Не определено</v>
          </cell>
          <cell r="S99" t="str">
            <v>Не определено</v>
          </cell>
        </row>
        <row r="100">
          <cell r="A100" t="str">
            <v>Рабочее пространство для комментариев и дополнительных расчетов (не будет загружено в БД)</v>
          </cell>
          <cell r="B100" t="str">
            <v>Рабочее пространство для комментариев и дополнительных расчетов (не будет загружено в БД)</v>
          </cell>
          <cell r="H100" t="b">
            <v>1</v>
          </cell>
          <cell r="I100" t="b">
            <v>0</v>
          </cell>
          <cell r="K100" t="str">
            <v>Не определено</v>
          </cell>
          <cell r="L100" t="str">
            <v>Не определено</v>
          </cell>
          <cell r="M100" t="str">
            <v>Не определено</v>
          </cell>
          <cell r="N100" t="str">
            <v>Не определено</v>
          </cell>
          <cell r="P100" t="str">
            <v>Не определено</v>
          </cell>
          <cell r="Q100" t="str">
            <v>Не определено</v>
          </cell>
          <cell r="R100" t="str">
            <v>Не определено</v>
          </cell>
          <cell r="S100" t="str">
            <v>Не определено</v>
          </cell>
        </row>
        <row r="101">
          <cell r="A101" t="str">
            <v>Рабочее пространство для комментариев и дополнительных расчетов (не будет загружено в БД)</v>
          </cell>
          <cell r="B101" t="str">
            <v>Рабочее пространство для комментариев и дополнительных расчетов (не будет загружено в БД)</v>
          </cell>
          <cell r="H101" t="b">
            <v>1</v>
          </cell>
          <cell r="I101" t="b">
            <v>0</v>
          </cell>
          <cell r="K101" t="str">
            <v>Не определено</v>
          </cell>
          <cell r="L101" t="str">
            <v>Не определено</v>
          </cell>
          <cell r="M101" t="str">
            <v>Не определено</v>
          </cell>
          <cell r="N101" t="str">
            <v>Не определено</v>
          </cell>
          <cell r="P101" t="str">
            <v>Не определено</v>
          </cell>
          <cell r="Q101" t="str">
            <v>Не определено</v>
          </cell>
          <cell r="R101" t="str">
            <v>Не определено</v>
          </cell>
          <cell r="S101" t="str">
            <v>Не определено</v>
          </cell>
        </row>
        <row r="102">
          <cell r="A102" t="str">
            <v>Рабочее пространство для комментариев и дополнительных расчетов (не будет загружено в БД)</v>
          </cell>
          <cell r="B102" t="str">
            <v>Рабочее пространство для комментариев и дополнительных расчетов (не будет загружено в БД)</v>
          </cell>
          <cell r="H102" t="b">
            <v>1</v>
          </cell>
          <cell r="I102" t="b">
            <v>0</v>
          </cell>
          <cell r="K102" t="str">
            <v>Не определено</v>
          </cell>
          <cell r="L102" t="str">
            <v>Не определено</v>
          </cell>
          <cell r="M102" t="str">
            <v>Не определено</v>
          </cell>
          <cell r="N102" t="str">
            <v>Не определено</v>
          </cell>
          <cell r="P102" t="str">
            <v>Не определено</v>
          </cell>
          <cell r="Q102" t="str">
            <v>Не определено</v>
          </cell>
          <cell r="R102" t="str">
            <v>Не определено</v>
          </cell>
          <cell r="S102" t="str">
            <v>Не определено</v>
          </cell>
        </row>
        <row r="103">
          <cell r="A103" t="str">
            <v>Рабочее пространство для комментариев и дополнительных расчетов (не будет загружено в БД)</v>
          </cell>
          <cell r="B103" t="str">
            <v>Рабочее пространство для комментариев и дополнительных расчетов (не будет загружено в БД)</v>
          </cell>
          <cell r="H103" t="b">
            <v>1</v>
          </cell>
          <cell r="I103" t="b">
            <v>0</v>
          </cell>
          <cell r="K103" t="str">
            <v>Не определено</v>
          </cell>
          <cell r="L103" t="str">
            <v>Не определено</v>
          </cell>
          <cell r="M103" t="str">
            <v>Не определено</v>
          </cell>
          <cell r="N103" t="str">
            <v>Не определено</v>
          </cell>
          <cell r="P103" t="str">
            <v>Не определено</v>
          </cell>
          <cell r="Q103" t="str">
            <v>Не определено</v>
          </cell>
          <cell r="R103" t="str">
            <v>Не определено</v>
          </cell>
          <cell r="S103" t="str">
            <v>Не определено</v>
          </cell>
        </row>
        <row r="104">
          <cell r="A104" t="str">
            <v>Рабочее пространство для комментариев и дополнительных расчетов (не будет загружено в БД)</v>
          </cell>
          <cell r="B104" t="str">
            <v>Рабочее пространство для комментариев и дополнительных расчетов (не будет загружено в БД)</v>
          </cell>
          <cell r="H104" t="b">
            <v>1</v>
          </cell>
          <cell r="I104" t="b">
            <v>0</v>
          </cell>
          <cell r="K104" t="str">
            <v>Не определено</v>
          </cell>
          <cell r="L104" t="str">
            <v>Не определено</v>
          </cell>
          <cell r="M104" t="str">
            <v>Не определено</v>
          </cell>
          <cell r="N104" t="str">
            <v>Не определено</v>
          </cell>
          <cell r="P104" t="str">
            <v>Не определено</v>
          </cell>
          <cell r="Q104" t="str">
            <v>Не определено</v>
          </cell>
          <cell r="R104" t="str">
            <v>Не определено</v>
          </cell>
          <cell r="S104" t="str">
            <v>Не определено</v>
          </cell>
        </row>
      </sheetData>
      <sheetData sheetId="61"/>
      <sheetData sheetId="62">
        <row r="121">
          <cell r="AG121">
            <v>548.22199999999998</v>
          </cell>
          <cell r="AL121">
            <v>2.5</v>
          </cell>
          <cell r="AP121">
            <v>2.5</v>
          </cell>
          <cell r="AQ121">
            <v>2.5</v>
          </cell>
          <cell r="AR121">
            <v>2.5</v>
          </cell>
          <cell r="AS121">
            <v>2.5</v>
          </cell>
          <cell r="AU121">
            <v>2.5</v>
          </cell>
          <cell r="AV121">
            <v>2.5</v>
          </cell>
          <cell r="AW121">
            <v>2.5</v>
          </cell>
          <cell r="AX121">
            <v>2.5</v>
          </cell>
          <cell r="AY121">
            <v>2.5</v>
          </cell>
        </row>
        <row r="131">
          <cell r="AG131">
            <v>0</v>
          </cell>
          <cell r="AL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</row>
        <row r="135">
          <cell r="AG135">
            <v>0</v>
          </cell>
          <cell r="AL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</row>
        <row r="139">
          <cell r="AG139">
            <v>91186.07</v>
          </cell>
          <cell r="AL139">
            <v>0</v>
          </cell>
          <cell r="AP139">
            <v>27952.412789849648</v>
          </cell>
          <cell r="AQ139">
            <v>26300.788029715575</v>
          </cell>
          <cell r="AR139">
            <v>24649.313303350937</v>
          </cell>
          <cell r="AS139">
            <v>22997.838576986298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</row>
        <row r="149">
          <cell r="AG149">
            <v>0</v>
          </cell>
          <cell r="AL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</row>
        <row r="159">
          <cell r="AG159">
            <v>10035.016</v>
          </cell>
          <cell r="AL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</row>
        <row r="164">
          <cell r="AG164">
            <v>0</v>
          </cell>
          <cell r="AL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</row>
      </sheetData>
      <sheetData sheetId="63">
        <row r="91">
          <cell r="AH91">
            <v>15753.631000000001</v>
          </cell>
          <cell r="AM91">
            <v>29652.971134271997</v>
          </cell>
        </row>
        <row r="94">
          <cell r="AH94">
            <v>0</v>
          </cell>
          <cell r="AM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</row>
      </sheetData>
      <sheetData sheetId="64"/>
      <sheetData sheetId="65"/>
      <sheetData sheetId="66"/>
      <sheetData sheetId="67"/>
      <sheetData sheetId="68"/>
      <sheetData sheetId="69">
        <row r="103">
          <cell r="AF103" t="e">
            <v>#REF!</v>
          </cell>
        </row>
      </sheetData>
      <sheetData sheetId="70">
        <row r="90">
          <cell r="AG90" t="e">
            <v>#REF!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5"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>
        <row r="92">
          <cell r="AN92">
            <v>0</v>
          </cell>
          <cell r="AP92">
            <v>0</v>
          </cell>
          <cell r="AT92">
            <v>0</v>
          </cell>
          <cell r="AW92">
            <v>0</v>
          </cell>
        </row>
        <row r="93">
          <cell r="AN93">
            <v>0</v>
          </cell>
          <cell r="AP93">
            <v>0</v>
          </cell>
          <cell r="AT93">
            <v>0</v>
          </cell>
          <cell r="AW93">
            <v>0</v>
          </cell>
        </row>
        <row r="94">
          <cell r="AP94">
            <v>0</v>
          </cell>
        </row>
        <row r="95">
          <cell r="AP95">
            <v>0</v>
          </cell>
        </row>
        <row r="96">
          <cell r="AN96">
            <v>7.2000000000000064</v>
          </cell>
          <cell r="AP96">
            <v>4.2000000000000037</v>
          </cell>
          <cell r="AT96">
            <v>4.0000000000000036</v>
          </cell>
          <cell r="AW96">
            <v>4.0000000000000036</v>
          </cell>
        </row>
        <row r="97">
          <cell r="AP97">
            <v>0</v>
          </cell>
        </row>
        <row r="98">
          <cell r="AN98">
            <v>0</v>
          </cell>
          <cell r="AP98">
            <v>0</v>
          </cell>
          <cell r="AT98">
            <v>0</v>
          </cell>
          <cell r="AW98">
            <v>0</v>
          </cell>
        </row>
        <row r="99">
          <cell r="AN99">
            <v>1854.61</v>
          </cell>
          <cell r="AP99">
            <v>1854.61</v>
          </cell>
          <cell r="AT99">
            <v>1854.61</v>
          </cell>
          <cell r="AW99">
            <v>1854.61</v>
          </cell>
        </row>
        <row r="100">
          <cell r="AN100">
            <v>0</v>
          </cell>
          <cell r="AP100">
            <v>0</v>
          </cell>
          <cell r="AT100">
            <v>0</v>
          </cell>
          <cell r="AW100">
            <v>0</v>
          </cell>
        </row>
        <row r="101">
          <cell r="AN101">
            <v>0</v>
          </cell>
          <cell r="AP101">
            <v>0</v>
          </cell>
          <cell r="AT101">
            <v>0</v>
          </cell>
          <cell r="AW101">
            <v>0</v>
          </cell>
        </row>
        <row r="103">
          <cell r="AN103">
            <v>112.012</v>
          </cell>
          <cell r="AP103">
            <v>112.54</v>
          </cell>
          <cell r="AT103">
            <v>112.54</v>
          </cell>
          <cell r="AW103">
            <v>112.54</v>
          </cell>
        </row>
        <row r="104">
          <cell r="AN104">
            <v>56.006</v>
          </cell>
          <cell r="AP104">
            <v>56.27</v>
          </cell>
          <cell r="AT104">
            <v>56.27</v>
          </cell>
          <cell r="AW104">
            <v>56.27</v>
          </cell>
        </row>
        <row r="105">
          <cell r="AN105">
            <v>56.006</v>
          </cell>
          <cell r="AP105">
            <v>56.27</v>
          </cell>
          <cell r="AT105">
            <v>56.27</v>
          </cell>
          <cell r="AW105">
            <v>56.27</v>
          </cell>
        </row>
        <row r="106">
          <cell r="AN106">
            <v>0</v>
          </cell>
          <cell r="AP106">
            <v>0</v>
          </cell>
          <cell r="AT106">
            <v>0</v>
          </cell>
          <cell r="AW106">
            <v>0</v>
          </cell>
        </row>
        <row r="107">
          <cell r="AP107">
            <v>0</v>
          </cell>
          <cell r="AT107">
            <v>0</v>
          </cell>
          <cell r="AW107">
            <v>0</v>
          </cell>
        </row>
        <row r="108">
          <cell r="AP108">
            <v>0</v>
          </cell>
          <cell r="AT108">
            <v>0</v>
          </cell>
          <cell r="AW108">
            <v>0</v>
          </cell>
        </row>
        <row r="109">
          <cell r="AP109">
            <v>0</v>
          </cell>
          <cell r="AT109">
            <v>0</v>
          </cell>
          <cell r="AW109">
            <v>0</v>
          </cell>
        </row>
        <row r="110">
          <cell r="AP110">
            <v>0</v>
          </cell>
          <cell r="AT110">
            <v>0</v>
          </cell>
          <cell r="AW110">
            <v>0</v>
          </cell>
        </row>
        <row r="111">
          <cell r="AP111">
            <v>0</v>
          </cell>
          <cell r="AT111">
            <v>0</v>
          </cell>
          <cell r="AW111">
            <v>0</v>
          </cell>
        </row>
        <row r="112">
          <cell r="AP112">
            <v>0</v>
          </cell>
          <cell r="AT112">
            <v>0</v>
          </cell>
          <cell r="AW112">
            <v>0</v>
          </cell>
        </row>
      </sheetData>
      <sheetData sheetId="78">
        <row r="94">
          <cell r="K94" t="e">
            <v>#REF!</v>
          </cell>
          <cell r="O94" t="e">
            <v>#REF!</v>
          </cell>
          <cell r="P94" t="e">
            <v>#REF!</v>
          </cell>
        </row>
        <row r="108">
          <cell r="K108" t="e">
            <v>#REF!</v>
          </cell>
          <cell r="O108" t="e">
            <v>#REF!</v>
          </cell>
          <cell r="P108" t="e">
            <v>#REF!</v>
          </cell>
        </row>
        <row r="119">
          <cell r="K119" t="e">
            <v>#REF!</v>
          </cell>
          <cell r="O119" t="e">
            <v>#REF!</v>
          </cell>
          <cell r="P119" t="e">
            <v>#REF!</v>
          </cell>
        </row>
        <row r="120">
          <cell r="K120" t="e">
            <v>#REF!</v>
          </cell>
          <cell r="O120" t="e">
            <v>#REF!</v>
          </cell>
          <cell r="P120" t="e">
            <v>#REF!</v>
          </cell>
        </row>
        <row r="121">
          <cell r="K121" t="e">
            <v>#REF!</v>
          </cell>
          <cell r="O121" t="e">
            <v>#REF!</v>
          </cell>
          <cell r="P121" t="e">
            <v>#REF!</v>
          </cell>
        </row>
        <row r="122">
          <cell r="K122" t="e">
            <v>#REF!</v>
          </cell>
          <cell r="O122" t="e">
            <v>#REF!</v>
          </cell>
          <cell r="P122" t="e">
            <v>#REF!</v>
          </cell>
        </row>
        <row r="125">
          <cell r="K125" t="e">
            <v>#REF!</v>
          </cell>
          <cell r="O125" t="e">
            <v>#REF!</v>
          </cell>
          <cell r="P125" t="e">
            <v>#REF!</v>
          </cell>
        </row>
        <row r="131">
          <cell r="K131" t="e">
            <v>#REF!</v>
          </cell>
          <cell r="O131" t="e">
            <v>#REF!</v>
          </cell>
          <cell r="P131" t="e">
            <v>#REF!</v>
          </cell>
        </row>
        <row r="132">
          <cell r="K132" t="e">
            <v>#REF!</v>
          </cell>
          <cell r="O132" t="e">
            <v>#REF!</v>
          </cell>
          <cell r="P132" t="e">
            <v>#REF!</v>
          </cell>
        </row>
        <row r="137">
          <cell r="K137" t="e">
            <v>#REF!</v>
          </cell>
          <cell r="O137" t="e">
            <v>#REF!</v>
          </cell>
          <cell r="P137" t="e">
            <v>#REF!</v>
          </cell>
        </row>
        <row r="138">
          <cell r="K138" t="e">
            <v>#REF!</v>
          </cell>
          <cell r="O138" t="e">
            <v>#REF!</v>
          </cell>
          <cell r="P138" t="e">
            <v>#REF!</v>
          </cell>
        </row>
        <row r="139">
          <cell r="K139" t="e">
            <v>#REF!</v>
          </cell>
          <cell r="O139" t="e">
            <v>#REF!</v>
          </cell>
          <cell r="P139" t="e">
            <v>#REF!</v>
          </cell>
        </row>
        <row r="140">
          <cell r="K140" t="e">
            <v>#REF!</v>
          </cell>
          <cell r="O140" t="e">
            <v>#REF!</v>
          </cell>
          <cell r="P140" t="e">
            <v>#REF!</v>
          </cell>
        </row>
        <row r="141">
          <cell r="K141" t="e">
            <v>#REF!</v>
          </cell>
          <cell r="O141" t="e">
            <v>#REF!</v>
          </cell>
          <cell r="P141" t="e">
            <v>#REF!</v>
          </cell>
        </row>
        <row r="142">
          <cell r="K142" t="e">
            <v>#REF!</v>
          </cell>
          <cell r="O142" t="e">
            <v>#REF!</v>
          </cell>
          <cell r="P142" t="e">
            <v>#REF!</v>
          </cell>
        </row>
        <row r="143">
          <cell r="K143" t="e">
            <v>#REF!</v>
          </cell>
          <cell r="O143" t="e">
            <v>#REF!</v>
          </cell>
          <cell r="P143" t="e">
            <v>#REF!</v>
          </cell>
        </row>
        <row r="144">
          <cell r="K144" t="e">
            <v>#REF!</v>
          </cell>
          <cell r="O144" t="e">
            <v>#REF!</v>
          </cell>
          <cell r="P144" t="e">
            <v>#REF!</v>
          </cell>
        </row>
        <row r="145">
          <cell r="K145" t="e">
            <v>#REF!</v>
          </cell>
          <cell r="O145" t="e">
            <v>#REF!</v>
          </cell>
          <cell r="P145" t="e">
            <v>#REF!</v>
          </cell>
        </row>
        <row r="146">
          <cell r="K146" t="e">
            <v>#REF!</v>
          </cell>
          <cell r="O146" t="e">
            <v>#REF!</v>
          </cell>
          <cell r="P146" t="e">
            <v>#REF!</v>
          </cell>
        </row>
        <row r="147">
          <cell r="K147" t="e">
            <v>#REF!</v>
          </cell>
          <cell r="O147" t="e">
            <v>#REF!</v>
          </cell>
          <cell r="P147" t="e">
            <v>#REF!</v>
          </cell>
        </row>
        <row r="148">
          <cell r="K148" t="e">
            <v>#REF!</v>
          </cell>
          <cell r="O148" t="e">
            <v>#REF!</v>
          </cell>
          <cell r="P148" t="e">
            <v>#REF!</v>
          </cell>
        </row>
        <row r="149">
          <cell r="K149" t="e">
            <v>#REF!</v>
          </cell>
          <cell r="O149" t="e">
            <v>#REF!</v>
          </cell>
          <cell r="P149" t="e">
            <v>#REF!</v>
          </cell>
        </row>
        <row r="150">
          <cell r="K150" t="e">
            <v>#REF!</v>
          </cell>
          <cell r="O150" t="e">
            <v>#REF!</v>
          </cell>
          <cell r="P150" t="e">
            <v>#REF!</v>
          </cell>
        </row>
        <row r="151">
          <cell r="K151" t="e">
            <v>#REF!</v>
          </cell>
          <cell r="O151" t="e">
            <v>#REF!</v>
          </cell>
          <cell r="P151" t="e">
            <v>#REF!</v>
          </cell>
        </row>
        <row r="152">
          <cell r="K152" t="e">
            <v>#REF!</v>
          </cell>
          <cell r="O152" t="e">
            <v>#REF!</v>
          </cell>
          <cell r="P152" t="e">
            <v>#REF!</v>
          </cell>
        </row>
        <row r="153">
          <cell r="K153" t="e">
            <v>#REF!</v>
          </cell>
          <cell r="O153" t="e">
            <v>#REF!</v>
          </cell>
          <cell r="P153" t="e">
            <v>#REF!</v>
          </cell>
        </row>
        <row r="154">
          <cell r="K154" t="e">
            <v>#REF!</v>
          </cell>
          <cell r="O154" t="e">
            <v>#REF!</v>
          </cell>
          <cell r="P154" t="e">
            <v>#REF!</v>
          </cell>
        </row>
        <row r="155">
          <cell r="K155" t="e">
            <v>#REF!</v>
          </cell>
          <cell r="O155" t="e">
            <v>#REF!</v>
          </cell>
          <cell r="P155" t="e">
            <v>#REF!</v>
          </cell>
        </row>
        <row r="156">
          <cell r="K156" t="e">
            <v>#REF!</v>
          </cell>
          <cell r="O156" t="e">
            <v>#REF!</v>
          </cell>
          <cell r="P156" t="e">
            <v>#REF!</v>
          </cell>
        </row>
        <row r="157">
          <cell r="K157" t="e">
            <v>#REF!</v>
          </cell>
          <cell r="O157" t="e">
            <v>#REF!</v>
          </cell>
          <cell r="P157" t="e">
            <v>#REF!</v>
          </cell>
        </row>
        <row r="158">
          <cell r="K158" t="e">
            <v>#REF!</v>
          </cell>
          <cell r="O158" t="e">
            <v>#REF!</v>
          </cell>
          <cell r="P158" t="e">
            <v>#REF!</v>
          </cell>
        </row>
        <row r="159">
          <cell r="K159" t="e">
            <v>#REF!</v>
          </cell>
          <cell r="O159" t="e">
            <v>#REF!</v>
          </cell>
          <cell r="P159" t="e">
            <v>#REF!</v>
          </cell>
        </row>
        <row r="160">
          <cell r="K160" t="e">
            <v>#REF!</v>
          </cell>
          <cell r="O160" t="e">
            <v>#REF!</v>
          </cell>
          <cell r="P160" t="e">
            <v>#REF!</v>
          </cell>
        </row>
        <row r="161">
          <cell r="K161" t="e">
            <v>#REF!</v>
          </cell>
          <cell r="O161" t="e">
            <v>#REF!</v>
          </cell>
          <cell r="P161" t="e">
            <v>#REF!</v>
          </cell>
        </row>
        <row r="162">
          <cell r="K162" t="e">
            <v>#REF!</v>
          </cell>
          <cell r="O162" t="e">
            <v>#REF!</v>
          </cell>
          <cell r="P162" t="e">
            <v>#REF!</v>
          </cell>
        </row>
        <row r="163">
          <cell r="K163" t="e">
            <v>#REF!</v>
          </cell>
          <cell r="O163" t="e">
            <v>#REF!</v>
          </cell>
          <cell r="P163" t="e">
            <v>#REF!</v>
          </cell>
        </row>
        <row r="164">
          <cell r="K164" t="e">
            <v>#REF!</v>
          </cell>
          <cell r="O164" t="e">
            <v>#REF!</v>
          </cell>
          <cell r="P164" t="e">
            <v>#REF!</v>
          </cell>
        </row>
        <row r="165">
          <cell r="K165" t="e">
            <v>#REF!</v>
          </cell>
          <cell r="O165" t="e">
            <v>#REF!</v>
          </cell>
          <cell r="P165" t="e">
            <v>#REF!</v>
          </cell>
        </row>
        <row r="166">
          <cell r="K166" t="e">
            <v>#REF!</v>
          </cell>
          <cell r="O166" t="e">
            <v>#REF!</v>
          </cell>
          <cell r="P166" t="e">
            <v>#REF!</v>
          </cell>
        </row>
        <row r="167">
          <cell r="K167" t="e">
            <v>#REF!</v>
          </cell>
          <cell r="O167" t="e">
            <v>#REF!</v>
          </cell>
          <cell r="P167" t="e">
            <v>#REF!</v>
          </cell>
        </row>
        <row r="168">
          <cell r="K168" t="e">
            <v>#REF!</v>
          </cell>
          <cell r="O168" t="e">
            <v>#REF!</v>
          </cell>
          <cell r="P168" t="e">
            <v>#REF!</v>
          </cell>
        </row>
        <row r="169">
          <cell r="K169" t="e">
            <v>#REF!</v>
          </cell>
          <cell r="O169" t="e">
            <v>#REF!</v>
          </cell>
          <cell r="P169" t="e">
            <v>#REF!</v>
          </cell>
        </row>
        <row r="170">
          <cell r="K170" t="e">
            <v>#REF!</v>
          </cell>
          <cell r="O170" t="e">
            <v>#REF!</v>
          </cell>
          <cell r="P170" t="e">
            <v>#REF!</v>
          </cell>
        </row>
      </sheetData>
      <sheetData sheetId="79"/>
      <sheetData sheetId="80"/>
      <sheetData sheetId="81">
        <row r="92">
          <cell r="W92" t="e">
            <v>#REF!</v>
          </cell>
          <cell r="AA92" t="e">
            <v>#REF!</v>
          </cell>
          <cell r="AC92" t="e">
            <v>#REF!</v>
          </cell>
          <cell r="AE92" t="e">
            <v>#REF!</v>
          </cell>
          <cell r="AG92" t="e">
            <v>#REF!</v>
          </cell>
          <cell r="AI92" t="e">
            <v>#REF!</v>
          </cell>
        </row>
        <row r="93">
          <cell r="W93">
            <v>0</v>
          </cell>
          <cell r="AA93">
            <v>0</v>
          </cell>
          <cell r="AC93">
            <v>0</v>
          </cell>
          <cell r="AE93">
            <v>0</v>
          </cell>
          <cell r="AG93">
            <v>0</v>
          </cell>
          <cell r="AI93">
            <v>0</v>
          </cell>
        </row>
        <row r="94">
          <cell r="W94" t="e">
            <v>#REF!</v>
          </cell>
          <cell r="AA94">
            <v>0</v>
          </cell>
          <cell r="AC94">
            <v>0</v>
          </cell>
          <cell r="AE94">
            <v>0</v>
          </cell>
          <cell r="AG94">
            <v>0</v>
          </cell>
          <cell r="AI94">
            <v>0</v>
          </cell>
        </row>
        <row r="95">
          <cell r="W95">
            <v>0.01</v>
          </cell>
          <cell r="AA95">
            <v>0.01</v>
          </cell>
          <cell r="AC95">
            <v>0.01</v>
          </cell>
          <cell r="AE95">
            <v>0.01</v>
          </cell>
          <cell r="AG95">
            <v>0.01</v>
          </cell>
          <cell r="AI95">
            <v>0.01</v>
          </cell>
        </row>
        <row r="96">
          <cell r="W96">
            <v>7.2000000000000064E-2</v>
          </cell>
          <cell r="AA96">
            <v>4.2000000000000037E-2</v>
          </cell>
          <cell r="AC96">
            <v>4.0000000000000036E-2</v>
          </cell>
          <cell r="AE96">
            <v>4.0000000000000036E-2</v>
          </cell>
          <cell r="AG96">
            <v>4.0000000000000036E-2</v>
          </cell>
          <cell r="AI96">
            <v>4.0000000000000036E-2</v>
          </cell>
        </row>
        <row r="97">
          <cell r="W97" t="e">
            <v>#REF!</v>
          </cell>
          <cell r="AA97" t="e">
            <v>#REF!</v>
          </cell>
          <cell r="AC97" t="e">
            <v>#REF!</v>
          </cell>
          <cell r="AE97" t="e">
            <v>#REF!</v>
          </cell>
          <cell r="AG97" t="e">
            <v>#REF!</v>
          </cell>
          <cell r="AI97" t="e">
            <v>#REF!</v>
          </cell>
        </row>
      </sheetData>
      <sheetData sheetId="82">
        <row r="93">
          <cell r="Z93">
            <v>2.5</v>
          </cell>
          <cell r="AD93">
            <v>2.5</v>
          </cell>
          <cell r="AH93">
            <v>2.5</v>
          </cell>
          <cell r="AL93">
            <v>2.5</v>
          </cell>
        </row>
        <row r="94">
          <cell r="Z94">
            <v>0</v>
          </cell>
          <cell r="AD94">
            <v>0</v>
          </cell>
          <cell r="AH94">
            <v>0</v>
          </cell>
          <cell r="AL94">
            <v>0</v>
          </cell>
        </row>
        <row r="95">
          <cell r="Z95">
            <v>0</v>
          </cell>
          <cell r="AD95">
            <v>0</v>
          </cell>
          <cell r="AH95">
            <v>0</v>
          </cell>
          <cell r="AL95">
            <v>0</v>
          </cell>
        </row>
        <row r="96">
          <cell r="Z96">
            <v>0</v>
          </cell>
          <cell r="AD96">
            <v>0</v>
          </cell>
          <cell r="AH96">
            <v>0</v>
          </cell>
          <cell r="AL96">
            <v>0</v>
          </cell>
        </row>
        <row r="97">
          <cell r="Z97">
            <v>0</v>
          </cell>
          <cell r="AD97">
            <v>0</v>
          </cell>
          <cell r="AH97">
            <v>0</v>
          </cell>
          <cell r="AL97">
            <v>0</v>
          </cell>
        </row>
        <row r="99">
          <cell r="Z99">
            <v>0</v>
          </cell>
          <cell r="AD99">
            <v>0</v>
          </cell>
          <cell r="AH99">
            <v>0</v>
          </cell>
          <cell r="AL99">
            <v>0</v>
          </cell>
        </row>
        <row r="105">
          <cell r="Z105">
            <v>0</v>
          </cell>
          <cell r="AD105">
            <v>0</v>
          </cell>
          <cell r="AH105">
            <v>0</v>
          </cell>
          <cell r="AL105">
            <v>0</v>
          </cell>
        </row>
        <row r="106">
          <cell r="Z106">
            <v>0</v>
          </cell>
          <cell r="AD106">
            <v>0</v>
          </cell>
          <cell r="AH106">
            <v>0</v>
          </cell>
          <cell r="AL106">
            <v>0</v>
          </cell>
        </row>
        <row r="107">
          <cell r="Z107">
            <v>2.5</v>
          </cell>
          <cell r="AD107">
            <v>2.5</v>
          </cell>
          <cell r="AH107">
            <v>2.5</v>
          </cell>
          <cell r="AL107">
            <v>2.5</v>
          </cell>
        </row>
        <row r="108">
          <cell r="Z108">
            <v>0</v>
          </cell>
          <cell r="AD108">
            <v>0</v>
          </cell>
          <cell r="AH108">
            <v>0</v>
          </cell>
          <cell r="AL108">
            <v>0</v>
          </cell>
        </row>
        <row r="109">
          <cell r="Z109">
            <v>0</v>
          </cell>
          <cell r="AD109">
            <v>0</v>
          </cell>
          <cell r="AH109">
            <v>0</v>
          </cell>
          <cell r="AL109">
            <v>0</v>
          </cell>
        </row>
        <row r="110">
          <cell r="Z110">
            <v>0</v>
          </cell>
          <cell r="AD110">
            <v>0</v>
          </cell>
          <cell r="AH110">
            <v>0</v>
          </cell>
          <cell r="AL110">
            <v>0</v>
          </cell>
        </row>
        <row r="113">
          <cell r="Z113">
            <v>2.5</v>
          </cell>
          <cell r="AD113">
            <v>2.5</v>
          </cell>
          <cell r="AH113">
            <v>2.5</v>
          </cell>
          <cell r="AL113">
            <v>2.5</v>
          </cell>
        </row>
        <row r="114">
          <cell r="Z114">
            <v>0</v>
          </cell>
          <cell r="AD114">
            <v>0</v>
          </cell>
          <cell r="AH114">
            <v>0</v>
          </cell>
          <cell r="AL114">
            <v>0</v>
          </cell>
        </row>
        <row r="115">
          <cell r="Z115">
            <v>0</v>
          </cell>
          <cell r="AD115">
            <v>0</v>
          </cell>
          <cell r="AH115">
            <v>0</v>
          </cell>
          <cell r="AL115">
            <v>0</v>
          </cell>
        </row>
        <row r="116">
          <cell r="Z116">
            <v>0</v>
          </cell>
          <cell r="AD116">
            <v>0</v>
          </cell>
          <cell r="AH116">
            <v>0</v>
          </cell>
          <cell r="AL116">
            <v>0</v>
          </cell>
        </row>
        <row r="117">
          <cell r="Z117">
            <v>0</v>
          </cell>
          <cell r="AD117">
            <v>0</v>
          </cell>
          <cell r="AH117">
            <v>0</v>
          </cell>
          <cell r="AL117">
            <v>0</v>
          </cell>
        </row>
        <row r="118">
          <cell r="Z118">
            <v>0</v>
          </cell>
          <cell r="AD118">
            <v>0</v>
          </cell>
          <cell r="AH118">
            <v>0</v>
          </cell>
          <cell r="AL118">
            <v>0</v>
          </cell>
        </row>
        <row r="120">
          <cell r="Z120">
            <v>0</v>
          </cell>
          <cell r="AD120">
            <v>0</v>
          </cell>
          <cell r="AH120">
            <v>0</v>
          </cell>
          <cell r="AL120">
            <v>0</v>
          </cell>
        </row>
        <row r="121">
          <cell r="Z121">
            <v>0</v>
          </cell>
          <cell r="AD121">
            <v>0</v>
          </cell>
          <cell r="AH121">
            <v>0</v>
          </cell>
          <cell r="AL121">
            <v>0</v>
          </cell>
        </row>
        <row r="122">
          <cell r="Z122">
            <v>0</v>
          </cell>
          <cell r="AD122">
            <v>0</v>
          </cell>
          <cell r="AH122">
            <v>0</v>
          </cell>
          <cell r="AL122">
            <v>0</v>
          </cell>
        </row>
        <row r="123">
          <cell r="Z123">
            <v>0</v>
          </cell>
          <cell r="AD123">
            <v>0</v>
          </cell>
          <cell r="AH123">
            <v>0</v>
          </cell>
          <cell r="AL123">
            <v>0</v>
          </cell>
        </row>
        <row r="124">
          <cell r="Z124">
            <v>0</v>
          </cell>
          <cell r="AD124">
            <v>0</v>
          </cell>
          <cell r="AH124">
            <v>0</v>
          </cell>
          <cell r="AL124">
            <v>0</v>
          </cell>
        </row>
        <row r="125">
          <cell r="Z125">
            <v>0</v>
          </cell>
          <cell r="AD125">
            <v>0</v>
          </cell>
          <cell r="AH125">
            <v>0</v>
          </cell>
          <cell r="AL125">
            <v>0</v>
          </cell>
        </row>
        <row r="126">
          <cell r="Z126">
            <v>0</v>
          </cell>
          <cell r="AD126">
            <v>0</v>
          </cell>
          <cell r="AH126">
            <v>0</v>
          </cell>
          <cell r="AL126">
            <v>0</v>
          </cell>
        </row>
        <row r="127">
          <cell r="Z127">
            <v>0</v>
          </cell>
          <cell r="AD127">
            <v>0</v>
          </cell>
          <cell r="AH127">
            <v>0</v>
          </cell>
          <cell r="AL127">
            <v>0</v>
          </cell>
        </row>
        <row r="128">
          <cell r="Z128">
            <v>0</v>
          </cell>
          <cell r="AD128">
            <v>0</v>
          </cell>
          <cell r="AH128">
            <v>0</v>
          </cell>
          <cell r="AL128">
            <v>0</v>
          </cell>
        </row>
        <row r="129">
          <cell r="Z129">
            <v>0</v>
          </cell>
          <cell r="AD129">
            <v>0</v>
          </cell>
          <cell r="AH129">
            <v>0</v>
          </cell>
          <cell r="AL129">
            <v>0</v>
          </cell>
        </row>
        <row r="130">
          <cell r="Z130">
            <v>0</v>
          </cell>
          <cell r="AD130">
            <v>0</v>
          </cell>
          <cell r="AH130">
            <v>0</v>
          </cell>
          <cell r="AL130">
            <v>0</v>
          </cell>
        </row>
        <row r="131">
          <cell r="Z131">
            <v>0</v>
          </cell>
          <cell r="AD131">
            <v>0</v>
          </cell>
          <cell r="AH131">
            <v>0</v>
          </cell>
          <cell r="AL131">
            <v>0</v>
          </cell>
        </row>
      </sheetData>
      <sheetData sheetId="83">
        <row r="92">
          <cell r="U92">
            <v>1</v>
          </cell>
          <cell r="Y92">
            <v>1</v>
          </cell>
        </row>
        <row r="93">
          <cell r="U93">
            <v>0</v>
          </cell>
          <cell r="Y93">
            <v>0</v>
          </cell>
          <cell r="AD93">
            <v>0</v>
          </cell>
          <cell r="AH93">
            <v>0</v>
          </cell>
          <cell r="AL93">
            <v>0</v>
          </cell>
          <cell r="AP93">
            <v>0</v>
          </cell>
        </row>
        <row r="94">
          <cell r="U94" t="e">
            <v>#REF!</v>
          </cell>
          <cell r="Y94" t="e">
            <v>#REF!</v>
          </cell>
          <cell r="AD94" t="e">
            <v>#REF!</v>
          </cell>
          <cell r="AH94" t="e">
            <v>#REF!</v>
          </cell>
          <cell r="AL94" t="e">
            <v>#REF!</v>
          </cell>
          <cell r="AP94" t="e">
            <v>#REF!</v>
          </cell>
        </row>
        <row r="95">
          <cell r="U95" t="e">
            <v>#REF!</v>
          </cell>
          <cell r="Y95" t="e">
            <v>#REF!</v>
          </cell>
          <cell r="AD95" t="e">
            <v>#REF!</v>
          </cell>
          <cell r="AH95" t="e">
            <v>#REF!</v>
          </cell>
          <cell r="AL95" t="e">
            <v>#REF!</v>
          </cell>
          <cell r="AP95" t="e">
            <v>#REF!</v>
          </cell>
        </row>
        <row r="96">
          <cell r="U96">
            <v>0.01</v>
          </cell>
          <cell r="Y96">
            <v>0.01</v>
          </cell>
          <cell r="AD96">
            <v>0.01</v>
          </cell>
          <cell r="AH96">
            <v>0.01</v>
          </cell>
          <cell r="AL96">
            <v>0.01</v>
          </cell>
          <cell r="AP96">
            <v>0.01</v>
          </cell>
        </row>
        <row r="97">
          <cell r="U97">
            <v>7.2000000000000064E-2</v>
          </cell>
          <cell r="Y97">
            <v>4.2000000000000037E-2</v>
          </cell>
          <cell r="AD97">
            <v>4.0000000000000036E-2</v>
          </cell>
          <cell r="AH97">
            <v>4.0000000000000036E-2</v>
          </cell>
          <cell r="AL97">
            <v>4.0000000000000036E-2</v>
          </cell>
          <cell r="AP97">
            <v>4.0000000000000036E-2</v>
          </cell>
        </row>
        <row r="98">
          <cell r="U98" t="e">
            <v>#REF!</v>
          </cell>
          <cell r="Y98" t="e">
            <v>#REF!</v>
          </cell>
          <cell r="AD98" t="e">
            <v>#REF!</v>
          </cell>
          <cell r="AH98" t="e">
            <v>#REF!</v>
          </cell>
          <cell r="AL98" t="e">
            <v>#REF!</v>
          </cell>
          <cell r="AP98" t="e">
            <v>#REF!</v>
          </cell>
        </row>
        <row r="99">
          <cell r="U99">
            <v>1</v>
          </cell>
          <cell r="Y99">
            <v>1</v>
          </cell>
        </row>
        <row r="100">
          <cell r="U100">
            <v>0</v>
          </cell>
          <cell r="Y100">
            <v>0</v>
          </cell>
          <cell r="AD100">
            <v>0</v>
          </cell>
          <cell r="AH100">
            <v>0</v>
          </cell>
          <cell r="AL100">
            <v>0</v>
          </cell>
          <cell r="AP100">
            <v>0</v>
          </cell>
        </row>
        <row r="101">
          <cell r="U101" t="e">
            <v>#REF!</v>
          </cell>
          <cell r="Y101">
            <v>2.5</v>
          </cell>
          <cell r="AD101">
            <v>2.5</v>
          </cell>
          <cell r="AH101">
            <v>2.5</v>
          </cell>
          <cell r="AL101">
            <v>2.5</v>
          </cell>
          <cell r="AP101">
            <v>2.5</v>
          </cell>
        </row>
        <row r="102">
          <cell r="U102" t="e">
            <v>#REF!</v>
          </cell>
          <cell r="Y102">
            <v>0</v>
          </cell>
          <cell r="AD102">
            <v>0</v>
          </cell>
          <cell r="AH102">
            <v>0</v>
          </cell>
          <cell r="AL102">
            <v>0</v>
          </cell>
          <cell r="AP102">
            <v>0</v>
          </cell>
        </row>
        <row r="103">
          <cell r="U103" t="e">
            <v>#REF!</v>
          </cell>
          <cell r="Y103">
            <v>0</v>
          </cell>
          <cell r="AD103">
            <v>0</v>
          </cell>
          <cell r="AH103">
            <v>0</v>
          </cell>
          <cell r="AL103">
            <v>0</v>
          </cell>
          <cell r="AP103">
            <v>0</v>
          </cell>
        </row>
        <row r="104">
          <cell r="U104">
            <v>0</v>
          </cell>
          <cell r="Y104">
            <v>0</v>
          </cell>
          <cell r="AD104">
            <v>0</v>
          </cell>
          <cell r="AH104">
            <v>0</v>
          </cell>
          <cell r="AL104">
            <v>0</v>
          </cell>
          <cell r="AP104">
            <v>0</v>
          </cell>
        </row>
        <row r="105">
          <cell r="U105" t="e">
            <v>#REF!</v>
          </cell>
          <cell r="Y105">
            <v>0</v>
          </cell>
          <cell r="AD105">
            <v>0</v>
          </cell>
          <cell r="AH105">
            <v>0</v>
          </cell>
          <cell r="AL105">
            <v>0</v>
          </cell>
          <cell r="AP105">
            <v>0</v>
          </cell>
        </row>
        <row r="106">
          <cell r="U106" t="e">
            <v>#REF!</v>
          </cell>
          <cell r="Y106">
            <v>0</v>
          </cell>
          <cell r="AD106">
            <v>0</v>
          </cell>
          <cell r="AH106">
            <v>0</v>
          </cell>
          <cell r="AL106">
            <v>0</v>
          </cell>
          <cell r="AP106">
            <v>0</v>
          </cell>
        </row>
        <row r="107">
          <cell r="U107" t="e">
            <v>#REF!</v>
          </cell>
          <cell r="Y107">
            <v>0</v>
          </cell>
          <cell r="AD107">
            <v>0</v>
          </cell>
          <cell r="AH107">
            <v>0</v>
          </cell>
          <cell r="AL107">
            <v>0</v>
          </cell>
          <cell r="AP107">
            <v>0</v>
          </cell>
        </row>
        <row r="108">
          <cell r="U108" t="e">
            <v>#REF!</v>
          </cell>
          <cell r="Y108">
            <v>0</v>
          </cell>
          <cell r="AD108">
            <v>0</v>
          </cell>
          <cell r="AH108">
            <v>0</v>
          </cell>
          <cell r="AL108">
            <v>0</v>
          </cell>
          <cell r="AP108">
            <v>0</v>
          </cell>
        </row>
        <row r="109">
          <cell r="U109" t="e">
            <v>#REF!</v>
          </cell>
          <cell r="Y109">
            <v>0</v>
          </cell>
          <cell r="AD109">
            <v>0</v>
          </cell>
          <cell r="AH109">
            <v>0</v>
          </cell>
          <cell r="AL109">
            <v>0</v>
          </cell>
          <cell r="AP109">
            <v>0</v>
          </cell>
        </row>
        <row r="110">
          <cell r="U110" t="e">
            <v>#REF!</v>
          </cell>
          <cell r="Y110">
            <v>0</v>
          </cell>
          <cell r="AD110">
            <v>0</v>
          </cell>
          <cell r="AH110">
            <v>0</v>
          </cell>
          <cell r="AL110">
            <v>0</v>
          </cell>
          <cell r="AP110">
            <v>0</v>
          </cell>
        </row>
        <row r="111">
          <cell r="U111">
            <v>0</v>
          </cell>
          <cell r="Y111">
            <v>0</v>
          </cell>
        </row>
        <row r="112">
          <cell r="U112">
            <v>0</v>
          </cell>
          <cell r="Y112">
            <v>0</v>
          </cell>
        </row>
        <row r="113">
          <cell r="U113" t="e">
            <v>#REF!</v>
          </cell>
          <cell r="Y113" t="e">
            <v>#REF!</v>
          </cell>
          <cell r="AD113" t="e">
            <v>#REF!</v>
          </cell>
          <cell r="AH113" t="e">
            <v>#REF!</v>
          </cell>
          <cell r="AL113" t="e">
            <v>#REF!</v>
          </cell>
          <cell r="AP113" t="e">
            <v>#REF!</v>
          </cell>
        </row>
        <row r="114">
          <cell r="U114" t="e">
            <v>#REF!</v>
          </cell>
          <cell r="Y114" t="e">
            <v>#REF!</v>
          </cell>
          <cell r="AD114" t="e">
            <v>#REF!</v>
          </cell>
          <cell r="AH114" t="e">
            <v>#REF!</v>
          </cell>
          <cell r="AL114" t="e">
            <v>#REF!</v>
          </cell>
          <cell r="AP114" t="e">
            <v>#REF!</v>
          </cell>
        </row>
        <row r="115">
          <cell r="U115">
            <v>0</v>
          </cell>
          <cell r="Y115">
            <v>0</v>
          </cell>
          <cell r="AD115">
            <v>0</v>
          </cell>
          <cell r="AH115">
            <v>0</v>
          </cell>
          <cell r="AL115">
            <v>0</v>
          </cell>
          <cell r="AP115">
            <v>0</v>
          </cell>
        </row>
        <row r="117">
          <cell r="U117" t="e">
            <v>#REF!</v>
          </cell>
          <cell r="Y117" t="e">
            <v>#REF!</v>
          </cell>
          <cell r="AD117">
            <v>0</v>
          </cell>
          <cell r="AH117">
            <v>0</v>
          </cell>
          <cell r="AL117">
            <v>0</v>
          </cell>
          <cell r="AP117">
            <v>0</v>
          </cell>
        </row>
        <row r="118">
          <cell r="U118" t="e">
            <v>#REF!</v>
          </cell>
          <cell r="Y118">
            <v>0</v>
          </cell>
          <cell r="AD118">
            <v>0</v>
          </cell>
          <cell r="AH118">
            <v>0</v>
          </cell>
          <cell r="AL118">
            <v>0</v>
          </cell>
          <cell r="AP118">
            <v>0</v>
          </cell>
        </row>
        <row r="119">
          <cell r="U119" t="e">
            <v>#REF!</v>
          </cell>
          <cell r="Y119">
            <v>0</v>
          </cell>
          <cell r="AD119">
            <v>0</v>
          </cell>
          <cell r="AH119">
            <v>0</v>
          </cell>
          <cell r="AL119">
            <v>0</v>
          </cell>
          <cell r="AP119">
            <v>0</v>
          </cell>
        </row>
        <row r="120">
          <cell r="U120" t="e">
            <v>#REF!</v>
          </cell>
          <cell r="Y120">
            <v>-139641.45097699718</v>
          </cell>
          <cell r="AD120">
            <v>0</v>
          </cell>
          <cell r="AH120">
            <v>0</v>
          </cell>
          <cell r="AL120">
            <v>0</v>
          </cell>
          <cell r="AP120">
            <v>0</v>
          </cell>
        </row>
        <row r="121">
          <cell r="U121" t="e">
            <v>#REF!</v>
          </cell>
          <cell r="Y121">
            <v>0</v>
          </cell>
          <cell r="AD121">
            <v>0</v>
          </cell>
          <cell r="AH121">
            <v>0</v>
          </cell>
          <cell r="AL121">
            <v>0</v>
          </cell>
          <cell r="AP121">
            <v>0</v>
          </cell>
        </row>
        <row r="122">
          <cell r="U122" t="e">
            <v>#REF!</v>
          </cell>
          <cell r="Y122">
            <v>0</v>
          </cell>
          <cell r="AD122">
            <v>0</v>
          </cell>
          <cell r="AH122">
            <v>0</v>
          </cell>
          <cell r="AL122">
            <v>0</v>
          </cell>
          <cell r="AP122">
            <v>0</v>
          </cell>
        </row>
        <row r="123">
          <cell r="U123" t="e">
            <v>#REF!</v>
          </cell>
          <cell r="Y123">
            <v>0</v>
          </cell>
          <cell r="AD123">
            <v>0</v>
          </cell>
          <cell r="AH123">
            <v>0</v>
          </cell>
          <cell r="AL123">
            <v>0</v>
          </cell>
          <cell r="AP123">
            <v>0</v>
          </cell>
        </row>
        <row r="124">
          <cell r="U124" t="e">
            <v>#REF!</v>
          </cell>
          <cell r="Y124">
            <v>26220.255145288189</v>
          </cell>
          <cell r="AD124">
            <v>0</v>
          </cell>
          <cell r="AH124">
            <v>0</v>
          </cell>
          <cell r="AL124">
            <v>0</v>
          </cell>
          <cell r="AP124">
            <v>0</v>
          </cell>
        </row>
        <row r="125">
          <cell r="U125" t="e">
            <v>#REF!</v>
          </cell>
          <cell r="Y125" t="e">
            <v>#REF!</v>
          </cell>
          <cell r="AD125">
            <v>0</v>
          </cell>
          <cell r="AH125">
            <v>0</v>
          </cell>
          <cell r="AL125">
            <v>0</v>
          </cell>
          <cell r="AP125">
            <v>0</v>
          </cell>
        </row>
        <row r="126">
          <cell r="U126" t="e">
            <v>#REF!</v>
          </cell>
          <cell r="Y126">
            <v>0</v>
          </cell>
          <cell r="AD126">
            <v>0</v>
          </cell>
          <cell r="AH126">
            <v>0</v>
          </cell>
          <cell r="AL126">
            <v>0</v>
          </cell>
          <cell r="AP126">
            <v>0</v>
          </cell>
        </row>
        <row r="127">
          <cell r="U127" t="e">
            <v>#REF!</v>
          </cell>
          <cell r="Y127" t="e">
            <v>#REF!</v>
          </cell>
          <cell r="AD127">
            <v>0</v>
          </cell>
          <cell r="AH127">
            <v>0</v>
          </cell>
          <cell r="AL127">
            <v>0</v>
          </cell>
          <cell r="AP127">
            <v>0</v>
          </cell>
        </row>
        <row r="128">
          <cell r="U128" t="e">
            <v>#REF!</v>
          </cell>
          <cell r="Y128" t="e">
            <v>#REF!</v>
          </cell>
          <cell r="AD128">
            <v>0</v>
          </cell>
          <cell r="AH128">
            <v>0</v>
          </cell>
          <cell r="AL128">
            <v>0</v>
          </cell>
          <cell r="AP128">
            <v>0</v>
          </cell>
        </row>
        <row r="129">
          <cell r="U129">
            <v>20.04</v>
          </cell>
          <cell r="Y129" t="e">
            <v>#REF!</v>
          </cell>
          <cell r="AD129" t="e">
            <v>#REF!</v>
          </cell>
          <cell r="AH129" t="e">
            <v>#REF!</v>
          </cell>
          <cell r="AL129" t="e">
            <v>#REF!</v>
          </cell>
          <cell r="AP129" t="e">
            <v>#REF!</v>
          </cell>
        </row>
        <row r="130">
          <cell r="U130">
            <v>23.99</v>
          </cell>
          <cell r="Y130" t="e">
            <v>#REF!</v>
          </cell>
          <cell r="AD130" t="e">
            <v>#REF!</v>
          </cell>
          <cell r="AH130" t="e">
            <v>#REF!</v>
          </cell>
          <cell r="AL130" t="e">
            <v>#REF!</v>
          </cell>
          <cell r="AP130" t="e">
            <v>#REF!</v>
          </cell>
        </row>
        <row r="131">
          <cell r="U131">
            <v>119.71057884231537</v>
          </cell>
          <cell r="Y131" t="e">
            <v>#REF!</v>
          </cell>
          <cell r="AD131" t="e">
            <v>#REF!</v>
          </cell>
          <cell r="AH131" t="e">
            <v>#REF!</v>
          </cell>
          <cell r="AL131" t="e">
            <v>#REF!</v>
          </cell>
          <cell r="AP131" t="e">
            <v>#REF!</v>
          </cell>
        </row>
        <row r="132">
          <cell r="U132" t="e">
            <v>#REF!</v>
          </cell>
          <cell r="Y132" t="e">
            <v>#REF!</v>
          </cell>
          <cell r="AD132" t="e">
            <v>#REF!</v>
          </cell>
          <cell r="AH132" t="e">
            <v>#REF!</v>
          </cell>
          <cell r="AL132" t="e">
            <v>#REF!</v>
          </cell>
          <cell r="AP132" t="e">
            <v>#REF!</v>
          </cell>
        </row>
        <row r="133">
          <cell r="U133">
            <v>24.05</v>
          </cell>
          <cell r="Y133" t="e">
            <v>#REF!</v>
          </cell>
          <cell r="AD133" t="e">
            <v>#REF!</v>
          </cell>
          <cell r="AH133" t="e">
            <v>#REF!</v>
          </cell>
          <cell r="AL133" t="e">
            <v>#REF!</v>
          </cell>
          <cell r="AP133" t="e">
            <v>#REF!</v>
          </cell>
        </row>
        <row r="134">
          <cell r="U134">
            <v>28.79</v>
          </cell>
          <cell r="Y134" t="e">
            <v>#REF!</v>
          </cell>
          <cell r="AD134" t="e">
            <v>#REF!</v>
          </cell>
          <cell r="AH134" t="e">
            <v>#REF!</v>
          </cell>
          <cell r="AL134" t="e">
            <v>#REF!</v>
          </cell>
          <cell r="AP134" t="e">
            <v>#REF!</v>
          </cell>
        </row>
        <row r="135">
          <cell r="U135">
            <v>119.7089397089397</v>
          </cell>
          <cell r="Y135" t="e">
            <v>#REF!</v>
          </cell>
          <cell r="AD135" t="e">
            <v>#REF!</v>
          </cell>
          <cell r="AH135" t="e">
            <v>#REF!</v>
          </cell>
          <cell r="AL135" t="e">
            <v>#REF!</v>
          </cell>
          <cell r="AP135" t="e">
            <v>#REF!</v>
          </cell>
        </row>
        <row r="136">
          <cell r="U136">
            <v>112.012</v>
          </cell>
          <cell r="Y136">
            <v>112.54</v>
          </cell>
          <cell r="AD136">
            <v>112.54</v>
          </cell>
          <cell r="AH136">
            <v>112.54</v>
          </cell>
          <cell r="AL136">
            <v>112.54</v>
          </cell>
          <cell r="AP136">
            <v>112.54</v>
          </cell>
        </row>
        <row r="137">
          <cell r="U137">
            <v>56.006</v>
          </cell>
          <cell r="Y137">
            <v>56.27</v>
          </cell>
          <cell r="AD137">
            <v>56.27</v>
          </cell>
          <cell r="AH137">
            <v>56.27</v>
          </cell>
          <cell r="AL137">
            <v>56.27</v>
          </cell>
          <cell r="AP137">
            <v>56.27</v>
          </cell>
        </row>
        <row r="138">
          <cell r="U138">
            <v>56.006</v>
          </cell>
          <cell r="Y138">
            <v>56.27</v>
          </cell>
          <cell r="AD138">
            <v>56.27</v>
          </cell>
          <cell r="AH138">
            <v>56.27</v>
          </cell>
          <cell r="AL138">
            <v>56.27</v>
          </cell>
          <cell r="AP138">
            <v>56.27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">
          <cell r="B1" t="str">
            <v>Алтайский край</v>
          </cell>
        </row>
        <row r="2">
          <cell r="B2" t="str">
            <v>Амурская область</v>
          </cell>
          <cell r="E2" t="str">
            <v>Разметка</v>
          </cell>
          <cell r="J2" t="str">
            <v>да</v>
          </cell>
          <cell r="N2">
            <v>2025</v>
          </cell>
          <cell r="O2" t="str">
            <v>экономически обоснованный</v>
          </cell>
          <cell r="P2" t="str">
            <v>первый</v>
          </cell>
          <cell r="Q2" t="str">
            <v>Методика</v>
          </cell>
          <cell r="R2" t="str">
            <v>Методика</v>
          </cell>
          <cell r="S2" t="str">
            <v>не индексировать</v>
          </cell>
          <cell r="AJ2" t="str">
            <v>Водоснабжение</v>
          </cell>
          <cell r="AT2" t="str">
            <v>Коагулянт - гидроксохлоросульфат алюминия (коагулянт смешанного типа)</v>
          </cell>
          <cell r="AU2" t="str">
            <v>годовой</v>
          </cell>
          <cell r="BC2" t="str">
            <v>норматив</v>
          </cell>
          <cell r="BE2" t="str">
            <v>механическая очистка, глубокое осветление и обесцвечивание воды</v>
          </cell>
          <cell r="BG2" t="str">
            <v>биологическая очистка</v>
          </cell>
          <cell r="BI2" t="str">
            <v>бетонные фальцевые трубы</v>
          </cell>
          <cell r="BL2" t="str">
            <v>Северный</v>
          </cell>
          <cell r="BN2" t="str">
            <v>Волга</v>
          </cell>
          <cell r="BP2" t="str">
            <v>Производственные расходы</v>
          </cell>
          <cell r="BU2" t="str">
            <v>занятые автостоянками, жилищным фондом и объектами инженерной инфраструктуры жилищно-коммунального комплекса</v>
          </cell>
          <cell r="BW2" t="str">
            <v>Земельные участки, предназначенные для размещения административных и офисных зданий, объектов социального обеспечения</v>
          </cell>
          <cell r="BX2">
            <v>1.5</v>
          </cell>
          <cell r="BZ2" t="str">
            <v>Легковые автомобили</v>
          </cell>
          <cell r="CB2" t="str">
            <v>Артезианская скважина</v>
          </cell>
          <cell r="CD2" t="str">
            <v>движимое</v>
          </cell>
          <cell r="CF2" t="str">
            <v>Собственность</v>
          </cell>
          <cell r="CH2">
            <v>0</v>
          </cell>
          <cell r="CJ2" t="str">
            <v>отсутствует</v>
          </cell>
          <cell r="CP2" t="str">
            <v>Производственный персонал</v>
          </cell>
          <cell r="CT2" t="str">
            <v>бензин</v>
          </cell>
          <cell r="CV2" t="str">
            <v>Представлено</v>
          </cell>
          <cell r="CX2" t="str">
            <v>Доходы</v>
          </cell>
          <cell r="CY2">
            <v>6</v>
          </cell>
          <cell r="DE2">
            <v>2020</v>
          </cell>
          <cell r="DG2" t="str">
            <v>Версия организации</v>
          </cell>
          <cell r="DI2">
            <v>2</v>
          </cell>
          <cell r="DK2" t="str">
            <v>мокрый грунт в отвал, с креплением</v>
          </cell>
          <cell r="EG2" t="str">
            <v>относимая на питьевую воду (питьевое водоснабжение)</v>
          </cell>
          <cell r="EI2" t="str">
            <v>максимальный</v>
          </cell>
          <cell r="EK2" t="str">
            <v>стоимость</v>
          </cell>
          <cell r="EQ2" t="str">
            <v>отпуск</v>
          </cell>
          <cell r="FL2" t="str">
            <v>ремонт сетей</v>
          </cell>
          <cell r="FN2">
            <v>0</v>
          </cell>
          <cell r="FP2">
            <v>1</v>
          </cell>
        </row>
        <row r="3">
          <cell r="B3" t="str">
            <v>Архангельская область</v>
          </cell>
          <cell r="I3">
            <v>1</v>
          </cell>
          <cell r="J3" t="str">
            <v>нет</v>
          </cell>
          <cell r="N3">
            <v>2024</v>
          </cell>
          <cell r="O3" t="str">
            <v>ГО</v>
          </cell>
          <cell r="P3" t="str">
            <v>прошлый</v>
          </cell>
          <cell r="Q3" t="str">
            <v>Бухучет</v>
          </cell>
          <cell r="R3" t="str">
            <v>Потребители</v>
          </cell>
          <cell r="S3" t="str">
            <v>индексировать</v>
          </cell>
          <cell r="AJ3" t="str">
            <v>Водоотведение</v>
          </cell>
          <cell r="AT3" t="str">
            <v>Коагулянт - железный купорос</v>
          </cell>
          <cell r="AU3" t="str">
            <v>полугодовой</v>
          </cell>
          <cell r="BC3" t="str">
            <v>расчет</v>
          </cell>
          <cell r="BE3" t="str">
            <v>обеззараживание подземных вод бактерицидными установками</v>
          </cell>
          <cell r="BG3" t="str">
            <v>механическая очистка</v>
          </cell>
          <cell r="BI3" t="str">
            <v>железобетонная безнапорная труба</v>
          </cell>
          <cell r="BL3" t="str">
            <v>Северо-Западный</v>
          </cell>
          <cell r="BN3" t="str">
            <v>Нева</v>
          </cell>
          <cell r="BP3" t="str">
            <v>Административные расходы</v>
          </cell>
          <cell r="BU3" t="str">
            <v>прочие земельные участки</v>
          </cell>
          <cell r="BW3" t="str">
            <v>Строительства, кроме объектов социального обеспечения</v>
          </cell>
          <cell r="BX3">
            <v>1.5</v>
          </cell>
          <cell r="BZ3" t="str">
            <v>Мотоциклы и мотороллеры</v>
          </cell>
          <cell r="CB3" t="str">
            <v>Аэротенки</v>
          </cell>
          <cell r="CD3" t="str">
            <v>недвижимое</v>
          </cell>
          <cell r="CF3" t="str">
            <v>Хозяйственное ведение</v>
          </cell>
          <cell r="CH3">
            <v>25</v>
          </cell>
          <cell r="CJ3" t="str">
            <v>ОСН</v>
          </cell>
          <cell r="CP3" t="str">
            <v>Ремонтный персонал</v>
          </cell>
          <cell r="CT3" t="str">
            <v>газ</v>
          </cell>
          <cell r="CV3" t="str">
            <v>Отсутствует</v>
          </cell>
          <cell r="CX3" t="str">
            <v>Доходы (корр на сумму страховых взносов)</v>
          </cell>
          <cell r="CY3">
            <v>6</v>
          </cell>
          <cell r="DG3" t="str">
            <v>Версия регулятора</v>
          </cell>
          <cell r="DI3">
            <v>3</v>
          </cell>
          <cell r="DK3" t="str">
            <v>сухой грунт в отвал, с креплением</v>
          </cell>
          <cell r="EG3" t="str">
            <v>относимая на техническую воду</v>
          </cell>
          <cell r="EI3" t="str">
            <v>обычный</v>
          </cell>
          <cell r="EK3" t="str">
            <v>площадь</v>
          </cell>
          <cell r="EQ3" t="str">
            <v>равенство</v>
          </cell>
          <cell r="FL3" t="str">
            <v>ремонт ВНС, КНС</v>
          </cell>
          <cell r="FN3">
            <v>1</v>
          </cell>
          <cell r="FP3">
            <v>2</v>
          </cell>
          <cell r="GF3" t="str">
            <v>1 | МКД и ЧД с ХВС и ГВС, с централизованным ВО</v>
          </cell>
        </row>
        <row r="4">
          <cell r="B4" t="str">
            <v>Астраханская область</v>
          </cell>
          <cell r="E4" t="str">
            <v>Версия организации</v>
          </cell>
          <cell r="I4">
            <v>2</v>
          </cell>
          <cell r="N4">
            <v>2023</v>
          </cell>
          <cell r="O4" t="str">
            <v>с учётом возмещения / компенсации / субсидирования организации</v>
          </cell>
          <cell r="AT4" t="str">
            <v>Коагулянт - оксихлорид алюминия</v>
          </cell>
          <cell r="BE4" t="str">
            <v>на озонирование воды</v>
          </cell>
          <cell r="BG4" t="str">
            <v>на обеззараживание сточных вод</v>
          </cell>
          <cell r="BI4" t="str">
            <v xml:space="preserve">железобетонная раструбная труба </v>
          </cell>
          <cell r="BL4" t="str">
            <v>Центральный</v>
          </cell>
          <cell r="BN4" t="str">
            <v>Печора</v>
          </cell>
          <cell r="BP4" t="str">
            <v>Общепроизводственные расходы</v>
          </cell>
          <cell r="BW4" t="str">
            <v>Земельные участки, предназначенные для размещения производственных и административных зданий, коммунального хозяйства, материально-технического снабжения, сбыта и заготовок</v>
          </cell>
          <cell r="BX4">
            <v>1.5</v>
          </cell>
          <cell r="BZ4" t="str">
            <v>Автобусы</v>
          </cell>
          <cell r="CB4" t="str">
            <v>Блок первичного озонирования</v>
          </cell>
          <cell r="CF4" t="str">
            <v>Оперативное управление</v>
          </cell>
          <cell r="CH4">
            <v>37</v>
          </cell>
          <cell r="CJ4" t="str">
            <v>ЕНВД</v>
          </cell>
          <cell r="CP4" t="str">
            <v>Административный персонал</v>
          </cell>
          <cell r="CT4" t="str">
            <v>дизельное топливо</v>
          </cell>
          <cell r="CX4" t="str">
            <v>Доходы минус расходы</v>
          </cell>
          <cell r="CY4">
            <v>15</v>
          </cell>
          <cell r="DI4">
            <v>4</v>
          </cell>
          <cell r="DK4" t="str">
            <v>мокрый грунт в отвал, без креплений</v>
          </cell>
          <cell r="EG4" t="str">
            <v>относимая на водоотведение</v>
          </cell>
          <cell r="FL4" t="str">
            <v>замена/ремонт насосов</v>
          </cell>
          <cell r="FN4">
            <v>2</v>
          </cell>
          <cell r="FP4">
            <v>3</v>
          </cell>
          <cell r="GF4" t="str">
            <v>1.1 | МКД и ЧД с ХВС и ГВС, с централизованным ВО, оборудованные раковинами, мойками кухонными, унитазами, ваннами 1650 - 1700 мм, душем</v>
          </cell>
        </row>
        <row r="5">
          <cell r="B5" t="str">
            <v>Белгородская область</v>
          </cell>
          <cell r="H5">
            <v>2019</v>
          </cell>
          <cell r="I5">
            <v>3</v>
          </cell>
          <cell r="N5">
            <v>2022</v>
          </cell>
          <cell r="O5" t="str">
            <v>льготный</v>
          </cell>
          <cell r="AT5" t="str">
            <v>Коагулянт - оксихлорид алюминия 10 %</v>
          </cell>
          <cell r="BE5" t="str">
            <v>на обеззараживание воды методом электролиза (подземные воды)</v>
          </cell>
          <cell r="BG5" t="str">
            <v>на центрифугирование осадка</v>
          </cell>
          <cell r="BI5" t="str">
            <v>керамическая труба</v>
          </cell>
          <cell r="BL5" t="str">
            <v>Волго-Вятский</v>
          </cell>
          <cell r="BN5" t="str">
            <v>Северная Двина</v>
          </cell>
          <cell r="BW5" t="str">
            <v>Эксплуатация объектов инженерной инфраструктуры жилищно-коммунального комплекса</v>
          </cell>
          <cell r="BX5">
            <v>0.01</v>
          </cell>
          <cell r="BZ5" t="str">
            <v>Автомобили грузовые</v>
          </cell>
          <cell r="CB5" t="str">
            <v>Водохранилище</v>
          </cell>
          <cell r="CF5" t="str">
            <v>Концессионное соглашение</v>
          </cell>
          <cell r="CH5">
            <v>61</v>
          </cell>
          <cell r="CJ5" t="str">
            <v>УСН (Д-Р)</v>
          </cell>
          <cell r="CP5" t="str">
            <v>Цеховый персонал</v>
          </cell>
          <cell r="CT5" t="str">
            <v>прочее</v>
          </cell>
          <cell r="DI5">
            <v>5</v>
          </cell>
          <cell r="DK5" t="str">
            <v>сухой грунт в отвал, без креплений</v>
          </cell>
          <cell r="EG5" t="str">
            <v>относимая на транспортировку воды</v>
          </cell>
          <cell r="FL5" t="str">
            <v>благоустройство после ремонта</v>
          </cell>
          <cell r="FN5">
            <v>3</v>
          </cell>
          <cell r="GF5" t="str">
            <v>1.2 | МКД и ЧД с ХВС и ГВС, с централизованным ВО, оборудованные раковинами, мойками кухонными, унитазами, ваннами 1500 - 1550 мм, душем</v>
          </cell>
        </row>
        <row r="6">
          <cell r="B6" t="str">
            <v>Брянская область</v>
          </cell>
          <cell r="E6" t="str">
            <v>ЛОЖЬ</v>
          </cell>
          <cell r="H6">
            <v>2020</v>
          </cell>
          <cell r="I6">
            <v>4</v>
          </cell>
          <cell r="N6">
            <v>2021</v>
          </cell>
          <cell r="O6" t="str">
            <v>с учётом регионального стандарта</v>
          </cell>
          <cell r="AT6" t="str">
            <v>Коагулянт - оксихлорид алюминия 18 %</v>
          </cell>
          <cell r="AU6" t="str">
            <v>годовой</v>
          </cell>
          <cell r="BE6" t="str">
            <v>на обеззараживание воды методом электролиза (поверхностные воды)</v>
          </cell>
          <cell r="BG6" t="str">
            <v>на вакуум-фильтрацию осадка</v>
          </cell>
          <cell r="BI6" t="str">
            <v>поливинилхлоридная раструбная труба</v>
          </cell>
          <cell r="BL6" t="str">
            <v>Центрально-Черноземный</v>
          </cell>
          <cell r="BN6" t="str">
            <v>Прочие реки и озера</v>
          </cell>
          <cell r="BW6" t="str">
            <v>Удаление сточных вод и обработка твердых отходов</v>
          </cell>
          <cell r="BX6">
            <v>0.01</v>
          </cell>
          <cell r="BZ6" t="str">
            <v>Другие самоходные транспортные средства, машины и механизмы на пневматическом и гусеничном ходу</v>
          </cell>
          <cell r="CB6" t="str">
            <v>Воздуховики</v>
          </cell>
          <cell r="CF6" t="str">
            <v>Доверительное управление имуществом</v>
          </cell>
          <cell r="CH6">
            <v>85</v>
          </cell>
          <cell r="CJ6" t="str">
            <v>УСН (Д)</v>
          </cell>
          <cell r="CP6" t="str">
            <v>Сбытовой персонал</v>
          </cell>
          <cell r="DK6" t="str">
            <v>мокрый грунт, с креплением котлованов</v>
          </cell>
          <cell r="EG6" t="str">
            <v>относимая на транспортировку сточных вод</v>
          </cell>
          <cell r="FL6" t="str">
            <v>промывка сетей</v>
          </cell>
          <cell r="GF6" t="str">
            <v>1.3 | МКД и ЧД с ХВС и ГВС, с централизованным ВО, оборудованные раковинами, мойками кухонными, унитазами, ваннами 1200 мм, душем</v>
          </cell>
        </row>
        <row r="7">
          <cell r="B7" t="str">
            <v>Владимирская область</v>
          </cell>
          <cell r="H7">
            <v>2021</v>
          </cell>
          <cell r="I7">
            <v>5</v>
          </cell>
          <cell r="O7" t="str">
            <v>с учётом степени благоустройства</v>
          </cell>
          <cell r="AT7" t="str">
            <v>Коагулянт - оксихлорид алюминия 30 %</v>
          </cell>
          <cell r="AU7" t="str">
            <v>полугодовой</v>
          </cell>
          <cell r="BE7" t="str">
            <v>другое</v>
          </cell>
          <cell r="BG7" t="str">
            <v>на термическую сушку осадка в сушилках со встречными струями</v>
          </cell>
          <cell r="BI7" t="str">
            <v>полиэтиленовая безнапорная труба</v>
          </cell>
          <cell r="BL7" t="str">
            <v>Поволжский</v>
          </cell>
          <cell r="BN7" t="str">
            <v>Западная Двина</v>
          </cell>
          <cell r="BW7" t="str">
            <v>Сбор, очистка и распределение воды, в том числе гидротехнических очистных сооружений и сооружений водопроводно-канализационного хозяйства</v>
          </cell>
          <cell r="BX7">
            <v>0</v>
          </cell>
          <cell r="BZ7" t="str">
            <v>Снегоходы, мотосани</v>
          </cell>
          <cell r="CB7" t="str">
            <v>Вторичные отстойники</v>
          </cell>
          <cell r="CF7" t="str">
            <v>Возмездное оказание услуг</v>
          </cell>
          <cell r="CH7">
            <v>121</v>
          </cell>
          <cell r="CJ7" t="str">
            <v>Физическое лицо</v>
          </cell>
          <cell r="CP7" t="str">
            <v>Вспомогательный персонал</v>
          </cell>
          <cell r="DK7" t="str">
            <v>сухой грунт, с креплением котлованов</v>
          </cell>
          <cell r="EG7" t="str">
            <v>относимая на подвоз воды</v>
          </cell>
          <cell r="FL7" t="str">
            <v>ремонт запорной арматуры</v>
          </cell>
          <cell r="GF7" t="str">
            <v>1.4 | МКД и ЧД с ХВС и ГВС, с централизованным ВО, оборудованные раковинами, мойками кухонными, унитазами, ваннами без душа</v>
          </cell>
        </row>
        <row r="8">
          <cell r="B8" t="str">
            <v>Волгоградская область</v>
          </cell>
          <cell r="H8">
            <v>2022</v>
          </cell>
          <cell r="I8">
            <v>6</v>
          </cell>
          <cell r="O8" t="str">
            <v>перекрёстное субсидирование</v>
          </cell>
          <cell r="AT8" t="str">
            <v>Коагулянт - полиоксихлорид алюминия</v>
          </cell>
          <cell r="AU8" t="str">
            <v>годовой (расширенное)</v>
          </cell>
          <cell r="BG8" t="str">
            <v>другое</v>
          </cell>
          <cell r="BI8" t="str">
            <v>полиэтиленовая труба</v>
          </cell>
          <cell r="BL8" t="str">
            <v>Северо-Кавказский</v>
          </cell>
          <cell r="BN8" t="str">
            <v>Днепр</v>
          </cell>
          <cell r="BW8" t="str">
            <v>Земельные участки, занятые водными объектами</v>
          </cell>
          <cell r="BX8">
            <v>0.01</v>
          </cell>
          <cell r="BZ8" t="str">
            <v>Катера, моторные лодки и другие водные транспортные средства</v>
          </cell>
          <cell r="CB8" t="str">
            <v>Генераторы озона</v>
          </cell>
          <cell r="CH8">
            <v>181</v>
          </cell>
          <cell r="CP8" t="str">
            <v/>
          </cell>
          <cell r="DK8" t="str">
            <v>мокрый грунт</v>
          </cell>
          <cell r="EG8" t="str">
            <v>относимая на подключение к ЦСВС</v>
          </cell>
          <cell r="FL8" t="str">
            <v>ремонт колодцев (ВК/КК);</v>
          </cell>
          <cell r="GF8" t="str">
            <v>1.5 | МКД и ЧД с ХВС и ГВС, с централизованным ВО, оборудованные раковинами, мойками кухонными, унитазами, душем</v>
          </cell>
        </row>
        <row r="9">
          <cell r="B9" t="str">
            <v>Вологодская область</v>
          </cell>
          <cell r="H9">
            <v>2023</v>
          </cell>
          <cell r="I9">
            <v>7</v>
          </cell>
          <cell r="AT9" t="str">
            <v>Коагулянт - полиоксихлорид алюминия 10 %</v>
          </cell>
          <cell r="BI9" t="str">
            <v>стальная труба</v>
          </cell>
          <cell r="BL9" t="str">
            <v>Уральский</v>
          </cell>
          <cell r="BN9" t="str">
            <v>Дон</v>
          </cell>
          <cell r="BW9" t="str">
            <v>Земельные участки, предназначенные для искусственно созданных внутренних водных путей, причалов, пристаней, водных путей и трубопроводов</v>
          </cell>
          <cell r="BX9">
            <v>1.5</v>
          </cell>
          <cell r="BZ9" t="str">
            <v>Яхты и другие парусно-моторные суда</v>
          </cell>
          <cell r="CB9" t="str">
            <v>Двухъярусные отстойники</v>
          </cell>
          <cell r="CH9">
            <v>241</v>
          </cell>
          <cell r="DK9" t="str">
            <v>сухой грунт</v>
          </cell>
          <cell r="EG9" t="str">
            <v>относимая на подключение к ЦСВО</v>
          </cell>
          <cell r="FL9" t="str">
            <v>прочее</v>
          </cell>
          <cell r="GF9" t="str">
            <v>1.6 | МКД и ЧД с ХВС и ГВС, с централизованным ВО, оборудованные раковинами, мойками кухонными, унитазами</v>
          </cell>
        </row>
        <row r="10">
          <cell r="B10" t="str">
            <v>Воронежская область</v>
          </cell>
          <cell r="H10">
            <v>2024</v>
          </cell>
          <cell r="I10">
            <v>8</v>
          </cell>
          <cell r="AT10" t="str">
            <v>Коагулянт - полиоксихлорид алюминия 18 %</v>
          </cell>
          <cell r="BI10" t="str">
            <v>чугунная труба</v>
          </cell>
          <cell r="BL10" t="str">
            <v>Западно-Сибирский</v>
          </cell>
          <cell r="BN10" t="str">
            <v>Запалная Двина</v>
          </cell>
          <cell r="BW10" t="str">
            <v>Магистральных трубопроводов, линий связи и линий электропередачи, а также взаимосвязанные вспомогательные работы</v>
          </cell>
          <cell r="BX10">
            <v>0.01</v>
          </cell>
          <cell r="BZ10" t="str">
            <v>Гидроциклы</v>
          </cell>
          <cell r="CB10" t="str">
            <v>Запорная арматура</v>
          </cell>
          <cell r="CH10">
            <v>301</v>
          </cell>
          <cell r="EG10" t="str">
            <v>относимая на производство тепловой энергии</v>
          </cell>
          <cell r="GF10" t="str">
            <v>2 | МКД и ЧД с ХВС, с централизованным ВО</v>
          </cell>
        </row>
        <row r="11">
          <cell r="B11" t="str">
            <v>г. Москва</v>
          </cell>
          <cell r="H11">
            <v>2025</v>
          </cell>
          <cell r="I11">
            <v>9</v>
          </cell>
          <cell r="AT11" t="str">
            <v>Коагулянт - полиоксихлорид алюминия 30 %</v>
          </cell>
          <cell r="BI11" t="str">
            <v>поливинилхлоридная раструбная труба</v>
          </cell>
          <cell r="BL11" t="str">
            <v>Восточно-Сибирский</v>
          </cell>
          <cell r="BN11" t="str">
            <v>Кубань</v>
          </cell>
          <cell r="BW11" t="str">
            <v>Земельные участки улиц, проспектов, площадей, шоссе, аллей, бульваров, застав, переулков, проездов, тупиков</v>
          </cell>
          <cell r="BX11">
            <v>0.01</v>
          </cell>
          <cell r="BZ11" t="str">
            <v>Несамоходные (буксирные) суда (с каждой регистровой тонны валовой вместимости)</v>
          </cell>
          <cell r="CB11" t="str">
            <v>Здания</v>
          </cell>
          <cell r="CH11">
            <v>361</v>
          </cell>
          <cell r="EG11" t="str">
            <v>относимая на прочие виды деятельности</v>
          </cell>
          <cell r="GF11" t="str">
            <v>2.1 | МКД и ЧД с ХВС, с централизованным ВО, оборудованные водонагревателями, раковинами, мойками кухонными, унитазами, ваннами 1650 - 1700 мм, душем</v>
          </cell>
        </row>
        <row r="12">
          <cell r="B12" t="str">
            <v>г.Санкт-Петербург</v>
          </cell>
          <cell r="I12">
            <v>10</v>
          </cell>
          <cell r="AT12" t="str">
            <v>Коагулянт - сульфат алюминия</v>
          </cell>
          <cell r="BI12" t="str">
            <v>полиэтиленовая безнапорная труба</v>
          </cell>
          <cell r="BL12" t="str">
            <v>Дальневосточный</v>
          </cell>
          <cell r="BN12" t="str">
            <v>Самур</v>
          </cell>
          <cell r="BW12" t="str">
            <v>Земельные участки, занятые водными объектами, изъятыми из оборота или ограниченными в обороте в соответствии с законодательством Российской Федерации</v>
          </cell>
          <cell r="BX12">
            <v>0.01</v>
          </cell>
          <cell r="BZ12" t="str">
            <v>Самолеты, вертолеты и иные воздушные суда, имеющие двигатели (с каждой лошадиной силы)</v>
          </cell>
          <cell r="CB12" t="str">
            <v>Иловые площадки</v>
          </cell>
          <cell r="GF12" t="str">
            <v>2.2 | МКД и ЧД с ХВС, с централизованным ВО, оборудованные водонагревателями, раковинами, мойками кухонными, унитазами, ваннами 1500 - 1550 мм, душем</v>
          </cell>
        </row>
        <row r="13">
          <cell r="B13" t="str">
            <v>г.Севастополь</v>
          </cell>
          <cell r="I13">
            <v>11</v>
          </cell>
          <cell r="AT13" t="str">
            <v>Коагулянт - прочие</v>
          </cell>
          <cell r="BI13" t="str">
            <v>полиэтиленовая труба</v>
          </cell>
          <cell r="BL13" t="str">
            <v>Калининградская область</v>
          </cell>
          <cell r="BN13" t="str">
            <v>Сулак</v>
          </cell>
          <cell r="BW13" t="str">
            <v>Земельные участки под полосами отвода водоемов, каналов и коллекторов, набережные</v>
          </cell>
          <cell r="BX13">
            <v>0.01</v>
          </cell>
          <cell r="BZ13" t="str">
            <v>Водные и воздушные транспортные средства, не имеющие двигателей (с единицы транспортного средства)</v>
          </cell>
          <cell r="CB13" t="str">
            <v>Каналы</v>
          </cell>
          <cell r="GF13" t="str">
            <v>2.3 | МКД и ЧД с ХВС, с централизованным ВО, оборудованные водонагревателями, раковинами, мойками кухонными, унитазами, ваннами 1200 мм, душем</v>
          </cell>
        </row>
        <row r="14">
          <cell r="B14" t="str">
            <v>Еврейская автономная область</v>
          </cell>
          <cell r="I14">
            <v>12</v>
          </cell>
          <cell r="M14" t="str">
            <v>Тариф на водоотведение</v>
          </cell>
          <cell r="AT14" t="str">
            <v>Флокулянт - Магнафлок</v>
          </cell>
          <cell r="AY14" t="str">
            <v>низковольтная КНС</v>
          </cell>
          <cell r="BI14" t="str">
            <v>стальная труба</v>
          </cell>
          <cell r="BN14" t="str">
            <v>Терек</v>
          </cell>
          <cell r="BZ14" t="str">
            <v>Самолеты, имеющие реактивные двигатели (с каждого килограмма силы тяги)</v>
          </cell>
          <cell r="CB14" t="str">
            <v>Контактные камеры</v>
          </cell>
          <cell r="GF14" t="str">
            <v>2.4 | МКД и ЧД с ХВС, с централизованным ВО, оборудованные водонагревателями или без них, оборудованные раковинами, мойками кухонными, унитазами, ваннами без душа</v>
          </cell>
        </row>
        <row r="15">
          <cell r="B15" t="str">
            <v>Забайкальский край</v>
          </cell>
          <cell r="M15" t="str">
            <v>Тариф на транспортировку сточных вод</v>
          </cell>
          <cell r="AT15" t="str">
            <v>Флокулянт - Праестол</v>
          </cell>
          <cell r="AY15" t="str">
            <v>высоковольтная КНС</v>
          </cell>
          <cell r="BI15" t="str">
            <v>чугунная труба</v>
          </cell>
          <cell r="BN15" t="str">
            <v>Обь</v>
          </cell>
          <cell r="BZ15" t="str">
            <v>Прочие (прицеп)</v>
          </cell>
          <cell r="CB15" t="str">
            <v>Метантенки</v>
          </cell>
          <cell r="GF15" t="str">
            <v>2.5 | МКД и ЧД с ХВС, с централизованным ВО, оборудованные водонагревателями, раковинами, мойками кухонными, унитазами, душем</v>
          </cell>
        </row>
        <row r="16">
          <cell r="B16" t="str">
            <v>Ивановская область</v>
          </cell>
          <cell r="AT16" t="str">
            <v>Флокулянт - Праестол 853 BC</v>
          </cell>
          <cell r="AY16" t="str">
            <v>очистная станция</v>
          </cell>
          <cell r="BN16" t="str">
            <v>Урал</v>
          </cell>
          <cell r="CB16" t="str">
            <v>Мешалки</v>
          </cell>
          <cell r="GF16" t="str">
            <v>2.6 | МКД и ЧД с ХВС, с централизованным ВО, оборудованные водонагревателями или без них, оборудованные раковинами, мойками кухонными, унитазами</v>
          </cell>
        </row>
        <row r="17">
          <cell r="B17" t="str">
            <v>Иркутская область</v>
          </cell>
          <cell r="AO17" t="str">
            <v>без дифференциации</v>
          </cell>
          <cell r="AR17" t="str">
            <v>хоз. Способ</v>
          </cell>
          <cell r="AT17" t="str">
            <v>Флокулянт - Праестол 650 BC</v>
          </cell>
          <cell r="AY17" t="str">
            <v>1 подъёма</v>
          </cell>
          <cell r="BN17" t="str">
            <v>Амур</v>
          </cell>
          <cell r="CB17" t="str">
            <v>Напорные башни</v>
          </cell>
          <cell r="GF17" t="str">
            <v>2.7 | МКД и ЧД с ХВС, с централизованным ВО, оборудованные водонагревателями или без них, оборудованные раковинами, мойками кухонными</v>
          </cell>
        </row>
        <row r="18">
          <cell r="B18" t="str">
            <v>Кабардино-Балкарская республика</v>
          </cell>
          <cell r="AO18" t="str">
            <v>разделение внутри одной сметы</v>
          </cell>
          <cell r="AR18" t="str">
            <v>подряд. Способ</v>
          </cell>
          <cell r="AT18" t="str">
            <v>Флокулянт - Праестол 2515 TR</v>
          </cell>
          <cell r="AY18" t="str">
            <v>2 подъёма</v>
          </cell>
          <cell r="BN18" t="str">
            <v>Енисей</v>
          </cell>
          <cell r="CB18" t="str">
            <v>Напорные трубопроводы</v>
          </cell>
          <cell r="GF18" t="str">
            <v>2.8 | МКД и ЧД с ХВС, с централизованным ВО, оборудованные водонагревателями или без них, оборудованные раковинами, унитазами</v>
          </cell>
        </row>
        <row r="19">
          <cell r="B19" t="str">
            <v>Калининградская область</v>
          </cell>
          <cell r="AO19" t="str">
            <v>с дифференциацией (несколько смет)</v>
          </cell>
          <cell r="AT19" t="str">
            <v>Флокулянт - Гринлайф К 47</v>
          </cell>
          <cell r="AY19" t="str">
            <v>3 подъёма</v>
          </cell>
          <cell r="BN19" t="str">
            <v>Лена</v>
          </cell>
          <cell r="CB19" t="str">
            <v>Насосные агрегаты</v>
          </cell>
          <cell r="GF19" t="str">
            <v>2.9 | МКД и ЧД с ХВС, с централизованным ВО, оборудованные водонагревателями или без них, оборудованные раковинами</v>
          </cell>
        </row>
        <row r="20">
          <cell r="B20" t="str">
            <v>Калужская область</v>
          </cell>
          <cell r="AT20" t="str">
            <v>Флокулянт - Гринлайф К 41</v>
          </cell>
          <cell r="AY20" t="str">
            <v>4 подъёма</v>
          </cell>
          <cell r="BN20" t="str">
            <v>Озеро Байкал и его бассейн</v>
          </cell>
          <cell r="CB20" t="str">
            <v>Осветлители</v>
          </cell>
          <cell r="GF20" t="str">
            <v>3 | МКД и ЧД с ХВС и ГВС (или без него), с местной канализацией (в том числе выгребные ямы)</v>
          </cell>
        </row>
        <row r="21">
          <cell r="B21" t="str">
            <v>Камчатский край</v>
          </cell>
          <cell r="AT21" t="str">
            <v>Флокулянт - Гринлайф А 10 ПВ</v>
          </cell>
          <cell r="AY21" t="str">
            <v>водозабор</v>
          </cell>
          <cell r="BN21" t="str">
            <v>Неман</v>
          </cell>
          <cell r="CB21" t="str">
            <v>Первичные отстойники</v>
          </cell>
          <cell r="GF21" t="str">
            <v>3.1 | МКД и ЧД с ХВС, с местной канализацией (в том числе выгребные ямы), оборудованные водонагревателями, раковинами, мойками кухонными, унитазами, ваннами 1650 - 1700 мм, душем</v>
          </cell>
        </row>
        <row r="22">
          <cell r="B22" t="str">
            <v>Карачаево-Черкесская республика</v>
          </cell>
          <cell r="AL22" t="str">
            <v>насосный агрегат</v>
          </cell>
          <cell r="AT22" t="str">
            <v>Флокулянт - прочие</v>
          </cell>
          <cell r="AY22" t="str">
            <v>артезианская скважина</v>
          </cell>
          <cell r="CB22" t="str">
            <v>Песколовки</v>
          </cell>
          <cell r="GF22" t="str">
            <v>3.2 | МКД и ЧД с ХВС и ГВС, с местной канализацией (в том числе выгребные ямы), оборудованные раковинами, мойками кухонными, унитазами, ваннами 1650 - 1700 мм, душем</v>
          </cell>
        </row>
        <row r="23">
          <cell r="B23" t="str">
            <v>Кемеровская область</v>
          </cell>
          <cell r="AL23" t="str">
            <v>оборудование для отопления</v>
          </cell>
          <cell r="AQ23" t="str">
            <v>операционные расходы</v>
          </cell>
          <cell r="AT23" t="str">
            <v>Реагент - агар питательный</v>
          </cell>
          <cell r="AY23" t="str">
            <v>подкачивающая станция</v>
          </cell>
          <cell r="CB23" t="str">
            <v>Плотина</v>
          </cell>
          <cell r="GF23" t="str">
            <v>3.3 | МКД и ЧД с ХВС, с местной канализацией (в том числе выгребные ямы), оборудованные водонагревателями, раковинами, мойками кухонными, унитазами, ваннами 1500 - 1550 мм, душем</v>
          </cell>
        </row>
        <row r="24">
          <cell r="B24" t="str">
            <v>Кировская область</v>
          </cell>
          <cell r="AL24" t="str">
            <v>прочее оборудование</v>
          </cell>
          <cell r="AQ24" t="str">
            <v>неподконтрольные расходы</v>
          </cell>
          <cell r="AT24" t="str">
            <v>Реагент - агар Эндо</v>
          </cell>
          <cell r="AY24" t="str">
            <v>очистная станция</v>
          </cell>
          <cell r="CB24" t="str">
            <v>Подогреватели</v>
          </cell>
          <cell r="GF24" t="str">
            <v>3.4 | МКД и ЧД с ХВС, с местной канализацией (в том числе выгребные ямы), оборудованные водонагревателями, раковинами, мойками кухонными, унитазами, ваннами 1200 мм, душем</v>
          </cell>
        </row>
        <row r="25">
          <cell r="B25" t="str">
            <v>Костромская область</v>
          </cell>
          <cell r="AL25" t="str">
            <v>силовой трансформатор</v>
          </cell>
          <cell r="AT25" t="str">
            <v>Реагент - алюминий окись</v>
          </cell>
          <cell r="CB25" t="str">
            <v>Преобразователи частоты</v>
          </cell>
          <cell r="GF25" t="str">
            <v>3.5 | МКД и ЧД с ХВС, с местной канализацией (в том числе выгребные ямы), оборудованные водонагревателями или без них, раковинами, мойками кухонными, унитазами, ваннами без душа</v>
          </cell>
        </row>
        <row r="26">
          <cell r="B26" t="str">
            <v>Краснодарский край</v>
          </cell>
          <cell r="AT26" t="str">
            <v>Реагент - алюминий сернокислый</v>
          </cell>
          <cell r="CB26" t="str">
            <v>Приборы учета</v>
          </cell>
          <cell r="GF26" t="str">
            <v>3.6 | МКД и ЧД с ХВС, с местной канализацией (в том числе выгребные ямы), оборудованные водонагревателями или без них, раковинами, унитазами, ваннами без душа</v>
          </cell>
        </row>
        <row r="27">
          <cell r="B27" t="str">
            <v>Красноярский край</v>
          </cell>
          <cell r="AL27" t="str">
            <v>одноставочный</v>
          </cell>
          <cell r="AQ27" t="str">
            <v>операционные расходы</v>
          </cell>
          <cell r="AT27" t="str">
            <v>Реагент - аммиак</v>
          </cell>
          <cell r="CB27" t="str">
            <v>Прочее</v>
          </cell>
          <cell r="GF27" t="str">
            <v>3.7 | МКД и ЧД с ХВС, с местной канализацией (в том числе выгребные ямы), оборудованные водонагревателями, раковинами, мойками кухонными, унитазами, душем</v>
          </cell>
        </row>
        <row r="28">
          <cell r="B28" t="str">
            <v>Курганская область</v>
          </cell>
          <cell r="AL28" t="str">
            <v>двухставочный</v>
          </cell>
          <cell r="AQ28" t="str">
            <v>неподконтрольные расходы</v>
          </cell>
          <cell r="AT28" t="str">
            <v>Реагент - аммиачная вода</v>
          </cell>
          <cell r="CB28" t="str">
            <v>Резервуары</v>
          </cell>
          <cell r="GF28" t="str">
            <v>3.8 | МКД и ЧД с ХВС, с местной канализацией (в том числе выгребные ямы), оборудованные водонагревателями или без них, оборудованные раковинами, мойками кухонными, унитазами</v>
          </cell>
        </row>
        <row r="29">
          <cell r="B29" t="str">
            <v>Курская область</v>
          </cell>
          <cell r="L29" t="str">
            <v>Oracle</v>
          </cell>
          <cell r="W29" t="str">
            <v>без разбивки по напряжению</v>
          </cell>
          <cell r="AQ29" t="str">
            <v>амортизация</v>
          </cell>
          <cell r="AT29" t="str">
            <v>Реагент - аммоний</v>
          </cell>
          <cell r="CB29" t="str">
            <v>Решетки</v>
          </cell>
          <cell r="GF29" t="str">
            <v>3.9 | МКД и ЧД с ХВС и ГВС, с местной канализацией (в том числе выгребные ямы), оборудованные раковинами, мойками кухонными, унитазами</v>
          </cell>
        </row>
        <row r="30">
          <cell r="B30" t="str">
            <v>Ленинградская область</v>
          </cell>
          <cell r="L30" t="str">
            <v>Postgre</v>
          </cell>
          <cell r="W30" t="str">
            <v>ВН</v>
          </cell>
          <cell r="AQ30" t="str">
            <v>электроэнергия</v>
          </cell>
          <cell r="AT30" t="str">
            <v>Реагент - аммоний хлористый</v>
          </cell>
          <cell r="CB30" t="str">
            <v>Транспорт</v>
          </cell>
          <cell r="GF30" t="str">
            <v>3.10 | МКД и ЧД с ХВС, с местной канализацией (в том числе выгребные ямы), оборудованные водонагревателями или без них, раковинами, мойками кухонными</v>
          </cell>
        </row>
        <row r="31">
          <cell r="B31" t="str">
            <v>Липецкая область</v>
          </cell>
          <cell r="L31" t="str">
            <v>нет</v>
          </cell>
          <cell r="W31" t="str">
            <v>СН1</v>
          </cell>
          <cell r="AT31" t="str">
            <v>Реагент - барий хлористый</v>
          </cell>
          <cell r="CB31" t="str">
            <v>Трансформаторы</v>
          </cell>
          <cell r="GF31" t="str">
            <v>3.11 | МКД и ЧД с ХВС и ГВС, с местной канализацией (в том числе выгребные ямы), оборудованные раковинами, мойками кухонными</v>
          </cell>
        </row>
        <row r="32">
          <cell r="B32" t="str">
            <v>Магаданская область</v>
          </cell>
          <cell r="W32" t="str">
            <v>СН2</v>
          </cell>
          <cell r="AT32" t="str">
            <v>Реагент - биоксимин</v>
          </cell>
          <cell r="CB32" t="str">
            <v>Трубопроводы</v>
          </cell>
          <cell r="GF32" t="str">
            <v>3.12 | МКД и ЧД с ХВС, с местной канализацией (в том числе выгребные ямы), оборудованные водонагревателями или без них, раковинами</v>
          </cell>
        </row>
        <row r="33">
          <cell r="B33" t="str">
            <v>Московская область</v>
          </cell>
          <cell r="W33" t="str">
            <v>НН</v>
          </cell>
          <cell r="AT33" t="str">
            <v>Реагент - бромфеноловый синий</v>
          </cell>
          <cell r="CB33" t="str">
            <v>Сетки</v>
          </cell>
          <cell r="GF33" t="str">
            <v>3.13 | МКД и ЧД с ХВС, с местной канализацией (в том числе выгребные ямы), оборудованные водонагревателями или без них, раковинами, унитазами</v>
          </cell>
        </row>
        <row r="34">
          <cell r="B34" t="str">
            <v>Мурманская область</v>
          </cell>
          <cell r="L34" t="str">
            <v>НТП</v>
          </cell>
          <cell r="AT34" t="str">
            <v>Реагент - водорода перекись</v>
          </cell>
          <cell r="CB34" t="str">
            <v>Системы вентиляции</v>
          </cell>
          <cell r="GF34" t="str">
            <v>3.14 | МКД и ЧД с ХВС, с местной канализацией (в том числе выгребные ямы), оборудованные водонагревателями, раковинами, мойками кухонными, душем</v>
          </cell>
        </row>
        <row r="35">
          <cell r="B35" t="str">
            <v>Ненецкий автономный округ</v>
          </cell>
          <cell r="L35" t="str">
            <v>Старая система</v>
          </cell>
          <cell r="AT35" t="str">
            <v>Реагент - гексан</v>
          </cell>
          <cell r="CB35" t="str">
            <v>Системы очистки воды</v>
          </cell>
          <cell r="GF35" t="str">
            <v>3.15 | МКД и ЧД с ХВС, с местной канализацией (в том числе выгребные ямы), оборудованные водонагревателями или без них, раковинами, мойками кухонными, ваннами без душа</v>
          </cell>
        </row>
        <row r="36">
          <cell r="B36" t="str">
            <v>Нижегородская область</v>
          </cell>
          <cell r="W36" t="str">
            <v>ГН</v>
          </cell>
          <cell r="AT36" t="str">
            <v>Реагент - гидроксиламин солянокислый</v>
          </cell>
          <cell r="CB36" t="str">
            <v>Склад аммачной воды</v>
          </cell>
          <cell r="GF36" t="str">
            <v>3.16 | МКД и ЧД с ХВС, с местной канализацией (в том числе выгребные ямы), оборудованные водонагревателями или без них, душем, мойками кухонными, унитазом</v>
          </cell>
        </row>
        <row r="37">
          <cell r="B37" t="str">
            <v>Новгородская область</v>
          </cell>
          <cell r="W37" t="str">
            <v>ВН</v>
          </cell>
          <cell r="AT37" t="str">
            <v>Реагент - гидрохлорид кальция</v>
          </cell>
          <cell r="CB37" t="str">
            <v>Склад гипохлорита натрия</v>
          </cell>
          <cell r="GF37" t="str">
            <v>4 | МКД (общежития) с ХВС и ГВС (или без него), с централизованным ВО</v>
          </cell>
        </row>
        <row r="38">
          <cell r="B38" t="str">
            <v>Новосибирская область</v>
          </cell>
          <cell r="W38" t="str">
            <v>СН1</v>
          </cell>
          <cell r="AT38" t="str">
            <v>Реагент - гипохлорит кальция</v>
          </cell>
          <cell r="CB38" t="str">
            <v>Смеситель</v>
          </cell>
          <cell r="GF38" t="str">
            <v>4.1 | МКД (общежития) с ХВС и ГВС, с централизованным ВО, оборудованные общими душевыми, раковинами, унитазами</v>
          </cell>
        </row>
        <row r="39">
          <cell r="B39" t="str">
            <v>Омская область</v>
          </cell>
          <cell r="W39" t="str">
            <v>СН2</v>
          </cell>
          <cell r="AT39" t="str">
            <v>Реагент - гипохлорит натрия</v>
          </cell>
          <cell r="CB39" t="str">
            <v>Ультрафиолетовые установки</v>
          </cell>
          <cell r="GF39" t="str">
            <v>4.2 | МКД (общежития) с ХВС, с централизованным ВО, оборудованные водонагревателями, общими душевыми, раковинами, унитазами</v>
          </cell>
        </row>
        <row r="40">
          <cell r="B40" t="str">
            <v>Оренбургская область</v>
          </cell>
          <cell r="W40" t="str">
            <v>НН</v>
          </cell>
          <cell r="AT40" t="str">
            <v>Реагент - глицерин</v>
          </cell>
          <cell r="CB40" t="str">
            <v>Фильтры</v>
          </cell>
          <cell r="GF40" t="str">
            <v>4.3 | МКД (общежития) с ХВС и ГВС, с местной канализацией (в том числе выгребные ямы), оборудованные раковинами, мойками кухонными, унитазами</v>
          </cell>
        </row>
        <row r="41">
          <cell r="B41" t="str">
            <v>Орловская область</v>
          </cell>
          <cell r="AT41" t="str">
            <v>Реагент - дифенилкарбазид</v>
          </cell>
          <cell r="CB41" t="str">
            <v>Центральный склад</v>
          </cell>
          <cell r="GF41" t="str">
            <v>4.4 | МКД (общежития) с ХВС и ГВС, с централизованным ВО, оборудованные раковинами, унитазами</v>
          </cell>
        </row>
        <row r="42">
          <cell r="B42" t="str">
            <v>Пензенская область</v>
          </cell>
          <cell r="AT42" t="str">
            <v>Реагент - дифенилкарбазон</v>
          </cell>
          <cell r="CB42" t="str">
            <v>Цеховый склад</v>
          </cell>
          <cell r="GF42" t="str">
            <v>4.5 | МКД (общежития) с ХВС, с централизованным ВО, оборудованные мойками кухонными, раковинами, унитазами</v>
          </cell>
        </row>
        <row r="43">
          <cell r="B43" t="str">
            <v>Пермский край</v>
          </cell>
          <cell r="AT43" t="str">
            <v>Реагент - железо сернокислое</v>
          </cell>
          <cell r="GF43" t="str">
            <v>5 | МКД и ЧД с ХВС, без ВО</v>
          </cell>
        </row>
        <row r="44">
          <cell r="B44" t="str">
            <v>Приморский край</v>
          </cell>
          <cell r="AT44" t="str">
            <v>Реагент - железо трёххлористое</v>
          </cell>
          <cell r="GF44" t="str">
            <v>5.1 | МКД и ЧД с ХВС, без ВО, оборудованные раковинами, мойками кухонными</v>
          </cell>
        </row>
        <row r="45">
          <cell r="B45" t="str">
            <v>Псковская область</v>
          </cell>
          <cell r="AT45" t="str">
            <v>Реагент - известь негашёная (порошок)</v>
          </cell>
          <cell r="GF45" t="str">
            <v>5.2 | МКД и ЧД с ХВС, без ВО, оборудованные раковинами</v>
          </cell>
        </row>
        <row r="46">
          <cell r="B46" t="str">
            <v>Республика Адыгея</v>
          </cell>
          <cell r="AT46" t="str">
            <v>Реагент - известь негашёная гидратная</v>
          </cell>
          <cell r="GF46" t="str">
            <v>6 | МКД и ЧД с водопользованием из водоразборных колонок</v>
          </cell>
        </row>
        <row r="47">
          <cell r="B47" t="str">
            <v>Республика Алтай</v>
          </cell>
          <cell r="AT47" t="str">
            <v>Реагент - известь хлорная</v>
          </cell>
          <cell r="GF47" t="str">
            <v>Система ГВС без полотенцесушителя</v>
          </cell>
        </row>
        <row r="48">
          <cell r="B48" t="str">
            <v>Республика Башкортостан</v>
          </cell>
          <cell r="AT48" t="str">
            <v>Реагент - калий азотнокислый</v>
          </cell>
          <cell r="GF48" t="str">
            <v>Система ГВС без полотенцесушителя, без дополнительного преобразования на тепловых пунктах</v>
          </cell>
        </row>
        <row r="49">
          <cell r="B49" t="str">
            <v>Республика Бурятия</v>
          </cell>
          <cell r="AT49" t="str">
            <v>Реагент - калий двухромовокислый</v>
          </cell>
          <cell r="GF49" t="str">
            <v>Система ГВС без полотенцесушителя, с дополнительным преобразованием на тепловых пунктах</v>
          </cell>
        </row>
        <row r="50">
          <cell r="B50" t="str">
            <v>Республика Дагестан</v>
          </cell>
          <cell r="AT50" t="str">
            <v>Реагент - калий йодистый</v>
          </cell>
          <cell r="GF50" t="str">
            <v>Система ГВС с полотенцесушителем</v>
          </cell>
        </row>
        <row r="51">
          <cell r="B51" t="str">
            <v>Республика Ингушетия</v>
          </cell>
          <cell r="AT51" t="str">
            <v>Реагент - калий марганцевокислый</v>
          </cell>
          <cell r="GF51" t="str">
            <v>Система ГВС с полотенцесушителем, без дополнительного преобразования на тепловых пунктах</v>
          </cell>
        </row>
        <row r="52">
          <cell r="B52" t="str">
            <v>Республика Калмыкия</v>
          </cell>
          <cell r="AT52" t="str">
            <v>Реагент - калий фосфорнокислый</v>
          </cell>
          <cell r="GF52" t="str">
            <v>Система ГВС с полотенцесушителем, с дополнительным преобразованием на тепловых пунктах</v>
          </cell>
        </row>
        <row r="53">
          <cell r="B53" t="str">
            <v>Республика Карелия</v>
          </cell>
          <cell r="AT53" t="str">
            <v>Реагент - калий хлористый</v>
          </cell>
          <cell r="GF53" t="str">
            <v>Система ГВС с изолированными стояками, без полотенцесушителей</v>
          </cell>
        </row>
        <row r="54">
          <cell r="B54" t="str">
            <v>Республика Коми</v>
          </cell>
          <cell r="AT54" t="str">
            <v>Реагент - калий-натрий виннокислый</v>
          </cell>
          <cell r="GF54" t="str">
            <v>Система ГВС с изолированными стояками, с полотенцесушителями</v>
          </cell>
        </row>
        <row r="55">
          <cell r="B55" t="str">
            <v>Республика Крым</v>
          </cell>
          <cell r="AT55" t="str">
            <v>Реагент - кальций углекислый</v>
          </cell>
          <cell r="GF55" t="str">
            <v>Система ГВС с неизолированными стояками, без полотенцесушителей</v>
          </cell>
        </row>
        <row r="56">
          <cell r="B56" t="str">
            <v>Республика Марий Эл</v>
          </cell>
          <cell r="AT56" t="str">
            <v>Реагент - кальций хлористый</v>
          </cell>
          <cell r="GF56" t="str">
            <v>Система ГВС с неизолированными стояками, с полотенцесушителями</v>
          </cell>
        </row>
        <row r="57">
          <cell r="B57" t="str">
            <v>Республика Мордовия</v>
          </cell>
          <cell r="AT57" t="str">
            <v>Реагент - кальция гипохлорит</v>
          </cell>
          <cell r="GF57" t="str">
            <v>Система ГВС с наружной сетью, с изолированными стояками, без полотенцесушителей</v>
          </cell>
        </row>
        <row r="58">
          <cell r="B58" t="str">
            <v>Республика Саха (Якутия)</v>
          </cell>
          <cell r="AT58" t="str">
            <v>Реагент - кварцевый песок</v>
          </cell>
          <cell r="GF58" t="str">
            <v>Система ГВС с наружной сетью, с изолированными стояками, с полотенцесушителями</v>
          </cell>
        </row>
        <row r="59">
          <cell r="B59" t="str">
            <v>Республика Северная Осетия-Алания</v>
          </cell>
          <cell r="AT59" t="str">
            <v>Реагент - кислота азотная</v>
          </cell>
          <cell r="GF59" t="str">
            <v>Система ГВС с наружной сетью, с неизолированными стояками, без полотенцесушителей</v>
          </cell>
        </row>
        <row r="60">
          <cell r="B60" t="str">
            <v>Республика Татарстан</v>
          </cell>
          <cell r="AT60" t="str">
            <v>Реагент - кислота аскорбиновая</v>
          </cell>
          <cell r="GF60" t="str">
            <v>Система ГВС с наружной сетью, с неизолированными стояками, с полотенцесушителями</v>
          </cell>
        </row>
        <row r="61">
          <cell r="B61" t="str">
            <v>Республика Тыва</v>
          </cell>
          <cell r="AT61" t="str">
            <v>Реагент - кислота лимонная</v>
          </cell>
          <cell r="GF61" t="str">
            <v>Система ГВС без наружной сети, с изолированными стояками, без полотенцесушителей</v>
          </cell>
        </row>
        <row r="62">
          <cell r="B62" t="str">
            <v>Республика Хакасия</v>
          </cell>
          <cell r="AT62" t="str">
            <v>Реагент - кислота розоловая (аурин)</v>
          </cell>
          <cell r="GF62" t="str">
            <v>Система ГВС без наружной сети, с изолированными стояками, с полотенцесушителями</v>
          </cell>
        </row>
        <row r="63">
          <cell r="B63" t="str">
            <v>Ростовская область</v>
          </cell>
          <cell r="AT63" t="str">
            <v>Реагент - кислота серная</v>
          </cell>
          <cell r="GF63" t="str">
            <v>Система ГВС без наружной сети, с неизолированными стояками, без полотенцесушителей</v>
          </cell>
        </row>
        <row r="64">
          <cell r="B64" t="str">
            <v>Рязанская область</v>
          </cell>
          <cell r="AT64" t="str">
            <v>Реагент - кислота соляная</v>
          </cell>
          <cell r="GF64" t="str">
            <v>Система ГВС без наружной сети, с неизолированными стояками, с полотенцесушителями</v>
          </cell>
        </row>
        <row r="65">
          <cell r="B65" t="str">
            <v>Самарская область</v>
          </cell>
          <cell r="AT65" t="str">
            <v>Реагент - кислота уксусная</v>
          </cell>
          <cell r="GF65" t="str">
            <v>МКД</v>
          </cell>
        </row>
        <row r="66">
          <cell r="B66" t="str">
            <v>Саратовская область</v>
          </cell>
          <cell r="AT66" t="str">
            <v>Реагент - кислота щавелевая</v>
          </cell>
          <cell r="GF66" t="str">
            <v>МКД (полная степень благоустройства)</v>
          </cell>
        </row>
        <row r="67">
          <cell r="B67" t="str">
            <v>Сахалинская область</v>
          </cell>
          <cell r="AT67" t="str">
            <v>Реагент - крахмал</v>
          </cell>
          <cell r="GF67" t="str">
            <v>МКД (частичная степень благоустройства)</v>
          </cell>
        </row>
        <row r="68">
          <cell r="B68" t="str">
            <v>Свердловская область</v>
          </cell>
          <cell r="AT68" t="str">
            <v>Реагент - лантан азотнокислый</v>
          </cell>
          <cell r="GF68" t="str">
            <v>ЧД</v>
          </cell>
        </row>
        <row r="69">
          <cell r="B69" t="str">
            <v>Смоленская область</v>
          </cell>
          <cell r="AT69" t="str">
            <v>Реагент - магний сернокислый</v>
          </cell>
          <cell r="GF69" t="str">
            <v>Для жилых помещений в МКД, в том числе общежитиях квартирного секционного, коридорного типа, жилых домов строительным объёмом от 10000 куб.м</v>
          </cell>
        </row>
        <row r="70">
          <cell r="B70" t="str">
            <v>Ставропольский край</v>
          </cell>
          <cell r="AT70" t="str">
            <v>Реагент - модифицированные аминофосфоновые кислоты и фосфонаты (FLOSPERSE)</v>
          </cell>
          <cell r="GF70" t="str">
            <v>Для жилых помещений в МКД, в том числе общежитиях квартирного секционного, коридорного типа, жилых домов строительным объёмом от 5000 до 10000 куб.м</v>
          </cell>
        </row>
        <row r="71">
          <cell r="B71" t="str">
            <v>Тамбовская область</v>
          </cell>
          <cell r="AT71" t="str">
            <v>Реагент - натр едкий</v>
          </cell>
          <cell r="GF71" t="str">
            <v>Для жилых помещений в МКД, в том числе общежитиях квартирного секционного, коридорного типа, жилых домов строительным объёмом менее 5000 куб.м</v>
          </cell>
        </row>
        <row r="72">
          <cell r="B72" t="str">
            <v>Тверская область</v>
          </cell>
          <cell r="AT72" t="str">
            <v>Реагент - натрий гидроокись</v>
          </cell>
          <cell r="GF72" t="str">
            <v>Система отопления без полотенцесушителя</v>
          </cell>
        </row>
        <row r="73">
          <cell r="B73" t="str">
            <v>Томская область</v>
          </cell>
          <cell r="AT73" t="str">
            <v>Реагент - натрий салициловокислый</v>
          </cell>
          <cell r="GF73" t="str">
            <v>Система отопления без полотенцесушителя, без дополнительного преобразования на тепловых пунктах</v>
          </cell>
        </row>
        <row r="74">
          <cell r="B74" t="str">
            <v>Тульская область</v>
          </cell>
          <cell r="AT74" t="str">
            <v>Реагент - натрий сернокислый</v>
          </cell>
          <cell r="GF74" t="str">
            <v>Система отопления без полотенцесушителя, с дополнительным преобразованием на тепловых пунктах</v>
          </cell>
        </row>
        <row r="75">
          <cell r="B75" t="str">
            <v>Тюменская область</v>
          </cell>
          <cell r="AT75" t="str">
            <v>Реагент - натрий углекислый</v>
          </cell>
          <cell r="GF75" t="str">
            <v>Система отопления с полотенцесушителем</v>
          </cell>
        </row>
        <row r="76">
          <cell r="B76" t="str">
            <v>Удмуртская республика</v>
          </cell>
          <cell r="AT76" t="str">
            <v>Реагент - натрий уксуснокислый</v>
          </cell>
          <cell r="GF76" t="str">
            <v>Система отопления с полотенцесушителем, без дополнительного преобразования на тепловых пунктах</v>
          </cell>
        </row>
        <row r="77">
          <cell r="B77" t="str">
            <v>Ульяновская область</v>
          </cell>
          <cell r="AT77" t="str">
            <v>Реагент - натрий хлористый</v>
          </cell>
          <cell r="GF77" t="str">
            <v>Система отопления с полотенцесушителем, с дополнительным преобразованием на тепловых пунктах</v>
          </cell>
        </row>
        <row r="78">
          <cell r="B78" t="str">
            <v>Хабаровский край</v>
          </cell>
          <cell r="AT78" t="str">
            <v>Реагент - пеногаситель (FLOFOAM)</v>
          </cell>
          <cell r="GF78" t="str">
            <v>Система отопления с изолированными стояками, без полотенцесушителей</v>
          </cell>
        </row>
        <row r="79">
          <cell r="B79" t="str">
            <v>Ханты-Мансийский автономный округ</v>
          </cell>
          <cell r="AT79" t="str">
            <v>Реагент - реактив Грисса</v>
          </cell>
          <cell r="GF79" t="str">
            <v>Система отопления с изолированными стояками, с полотенцесушителями</v>
          </cell>
        </row>
        <row r="80">
          <cell r="B80" t="str">
            <v>Челябинская область</v>
          </cell>
          <cell r="AT80" t="str">
            <v>Реагент - реактив Несслера</v>
          </cell>
          <cell r="GF80" t="str">
            <v>Система отопления с неизолированными стояками, без полотенцесушителей</v>
          </cell>
        </row>
        <row r="81">
          <cell r="B81" t="str">
            <v>Чеченская республика</v>
          </cell>
          <cell r="AT81" t="str">
            <v>Реагент - свинец уксуснокислый</v>
          </cell>
          <cell r="GF81" t="str">
            <v>Система отопления с неизолированными стояками, с полотенцесушителями</v>
          </cell>
        </row>
        <row r="82">
          <cell r="B82" t="str">
            <v>Чувашская республика</v>
          </cell>
          <cell r="AT82" t="str">
            <v>Реагент - серебро азотнокислое</v>
          </cell>
          <cell r="GF82" t="str">
            <v>Система отопления с наружной сетью, с изолированными стояками, без полотенцесушителей</v>
          </cell>
        </row>
        <row r="83">
          <cell r="B83" t="str">
            <v>Чукотский автономный округ</v>
          </cell>
          <cell r="AT83" t="str">
            <v>Реагент - серебро сернокислое</v>
          </cell>
          <cell r="GF83" t="str">
            <v>Система отопления с наружной сетью, с изолированными стояками, с полотенцесушителями</v>
          </cell>
        </row>
        <row r="84">
          <cell r="B84" t="str">
            <v>Ямало-Ненецкий автономный округ</v>
          </cell>
          <cell r="AT84" t="str">
            <v>Реагент - сода кальцинированная</v>
          </cell>
          <cell r="GF84" t="str">
            <v>Система отопления с наружной сетью, с неизолированными стояками, без полотенцесушителей</v>
          </cell>
        </row>
        <row r="85">
          <cell r="B85" t="str">
            <v>Ярославская область</v>
          </cell>
          <cell r="AT85" t="str">
            <v>Реагент - сода каустическая</v>
          </cell>
          <cell r="GF85" t="str">
            <v>Система отопления с наружной сетью, с неизолированными стояками, с полотенцесушителями</v>
          </cell>
        </row>
        <row r="86">
          <cell r="AT86" t="str">
            <v>Реагент - соль 1 сорт</v>
          </cell>
          <cell r="GF86" t="str">
            <v>Система отопления без наружной сети, с изолированными стояками, без полотенцесушителей</v>
          </cell>
        </row>
        <row r="87">
          <cell r="AT87" t="str">
            <v>Реагент - соль пищевая поваренная</v>
          </cell>
          <cell r="GF87" t="str">
            <v>Система отопления без наружной сети, с изолированными стояками, с полотенцесушителями</v>
          </cell>
        </row>
        <row r="88">
          <cell r="AT88" t="str">
            <v>Реагент - соль таблетированная</v>
          </cell>
          <cell r="GF88" t="str">
            <v>Система отопления без наружной сети, с неизолированными стояками, без полотенцесушителей</v>
          </cell>
        </row>
        <row r="89">
          <cell r="AT89" t="str">
            <v>Реагент - соль техническая</v>
          </cell>
          <cell r="GF89" t="str">
            <v>Система отопления без наружной сети, с неизолированными стояками, с полотенцесушителями</v>
          </cell>
        </row>
        <row r="90">
          <cell r="AT90" t="str">
            <v>Реагент - соль экстра</v>
          </cell>
        </row>
        <row r="91">
          <cell r="AT91" t="str">
            <v>Реагент - спирт</v>
          </cell>
        </row>
        <row r="92">
          <cell r="AT92" t="str">
            <v>Реагент - сульфат алюминия 1 сорт</v>
          </cell>
        </row>
        <row r="93">
          <cell r="AT93" t="str">
            <v>Реагент - сульфат алюминия жидкий</v>
          </cell>
        </row>
        <row r="94">
          <cell r="AT94" t="str">
            <v>Реагент - сульфат алюминия технический</v>
          </cell>
        </row>
        <row r="95">
          <cell r="AT95" t="str">
            <v>Реагент - сульфат аммония</v>
          </cell>
        </row>
        <row r="96">
          <cell r="AT96" t="str">
            <v>Реагент - тиомочевина</v>
          </cell>
        </row>
        <row r="97">
          <cell r="AT97" t="str">
            <v>Реагент - тиосульфат натрия</v>
          </cell>
        </row>
        <row r="98">
          <cell r="AT98" t="str">
            <v>Реагент - углерод порошкообразный</v>
          </cell>
        </row>
        <row r="99">
          <cell r="AT99" t="str">
            <v>Реагент - углерод четырёххлористый</v>
          </cell>
        </row>
        <row r="100">
          <cell r="AT100" t="str">
            <v>Реагент - фенолфталеин</v>
          </cell>
        </row>
        <row r="101">
          <cell r="AT101" t="str">
            <v>Реагент - хлор</v>
          </cell>
        </row>
        <row r="102">
          <cell r="AT102" t="str">
            <v>Реагент - хлор жидкий</v>
          </cell>
        </row>
        <row r="103">
          <cell r="AT103" t="str">
            <v>Реагент - хлорамин</v>
          </cell>
        </row>
        <row r="104">
          <cell r="AT104" t="str">
            <v>Реагент - хлороформ</v>
          </cell>
        </row>
        <row r="105">
          <cell r="AT105" t="str">
            <v>Реагент - этиленгликоль</v>
          </cell>
        </row>
        <row r="106">
          <cell r="AT106" t="str">
            <v>Реагент - прочие</v>
          </cell>
        </row>
        <row r="107">
          <cell r="AT107" t="str">
            <v>Прочие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4">
          <cell r="L4" t="str">
            <v>прямые расходы</v>
          </cell>
        </row>
        <row r="5">
          <cell r="L5" t="str">
            <v>выручка</v>
          </cell>
        </row>
        <row r="6">
          <cell r="L6" t="str">
            <v>оплата труда</v>
          </cell>
        </row>
        <row r="12">
          <cell r="C12" t="str">
            <v>Метод индексации</v>
          </cell>
        </row>
        <row r="13">
          <cell r="C13" t="str">
            <v>МЭОР</v>
          </cell>
        </row>
        <row r="14">
          <cell r="C14" t="str">
            <v>Метод сравнения аналогов</v>
          </cell>
        </row>
        <row r="15">
          <cell r="C15" t="str">
            <v>Не регулировалась</v>
          </cell>
        </row>
        <row r="32">
          <cell r="A32" t="str">
            <v>не привязан к объекту</v>
          </cell>
        </row>
        <row r="33">
          <cell r="A33" t="str">
            <v>АО "Западная энергетическая компания"::3906970638::390601001</v>
          </cell>
        </row>
        <row r="34">
          <cell r="A34" t="str">
            <v>АО "Янтарьэнергосбыт"::3908600865::390601001</v>
          </cell>
        </row>
        <row r="43">
          <cell r="A43" t="str">
            <v>Приём сточных вод</v>
          </cell>
        </row>
        <row r="44">
          <cell r="A44" t="str">
            <v>Очистка сточных вод</v>
          </cell>
        </row>
        <row r="45">
          <cell r="A45" t="str">
            <v>Транспортировка сточных вод</v>
          </cell>
        </row>
        <row r="51">
          <cell r="A51" t="str">
            <v>Городской округ город Калининград</v>
          </cell>
        </row>
        <row r="56">
          <cell r="A56" t="str">
            <v>не привязан к объекту</v>
          </cell>
        </row>
        <row r="57">
          <cell r="A57" t="str">
            <v>КНС-6</v>
          </cell>
        </row>
        <row r="58">
          <cell r="A58" t="str">
            <v>КНС</v>
          </cell>
        </row>
        <row r="59">
          <cell r="A59" t="str">
            <v>КНС</v>
          </cell>
        </row>
        <row r="60">
          <cell r="A60" t="str">
            <v>КНС</v>
          </cell>
        </row>
        <row r="61">
          <cell r="A61" t="str">
            <v>КНС-5</v>
          </cell>
        </row>
        <row r="62">
          <cell r="A62" t="str">
            <v>КНС</v>
          </cell>
        </row>
        <row r="63">
          <cell r="A63" t="str">
            <v>КНС</v>
          </cell>
        </row>
        <row r="64">
          <cell r="A64" t="str">
            <v>КНС-4 в</v>
          </cell>
        </row>
        <row r="65">
          <cell r="A65" t="str">
            <v>МКНС</v>
          </cell>
        </row>
        <row r="66">
          <cell r="A66" t="str">
            <v>КНС</v>
          </cell>
        </row>
        <row r="67">
          <cell r="A67" t="str">
            <v>КНС -2,3</v>
          </cell>
        </row>
        <row r="68">
          <cell r="A68" t="str">
            <v>КНС</v>
          </cell>
        </row>
        <row r="69">
          <cell r="A69" t="str">
            <v>ГНС ЦБК-1</v>
          </cell>
        </row>
        <row r="70">
          <cell r="A70" t="str">
            <v>КНС-2</v>
          </cell>
        </row>
        <row r="71">
          <cell r="A71" t="str">
            <v>КНС-1</v>
          </cell>
        </row>
        <row r="72">
          <cell r="A72" t="str">
            <v>МКНС</v>
          </cell>
        </row>
        <row r="73">
          <cell r="A73" t="str">
            <v>КНС-4 а</v>
          </cell>
        </row>
        <row r="74">
          <cell r="A74" t="str">
            <v>КНС-14</v>
          </cell>
        </row>
        <row r="75">
          <cell r="A75" t="str">
            <v>КНС-12</v>
          </cell>
        </row>
        <row r="76">
          <cell r="A76" t="str">
            <v>КНС-10</v>
          </cell>
        </row>
        <row r="77">
          <cell r="A77" t="str">
            <v>КНС-5</v>
          </cell>
        </row>
        <row r="78">
          <cell r="A78" t="str">
            <v>КНС</v>
          </cell>
        </row>
        <row r="79">
          <cell r="A79" t="str">
            <v>КНС S-3,0 м2,                      ул. А. Невского 255</v>
          </cell>
        </row>
        <row r="80">
          <cell r="A80" t="str">
            <v>КНС пр. Победы</v>
          </cell>
        </row>
        <row r="81">
          <cell r="A81" t="str">
            <v>КНС</v>
          </cell>
        </row>
        <row r="82">
          <cell r="A82" t="str">
            <v>КНС</v>
          </cell>
        </row>
        <row r="83">
          <cell r="A83" t="str">
            <v>КНС</v>
          </cell>
        </row>
        <row r="84">
          <cell r="A84" t="str">
            <v>КНС</v>
          </cell>
        </row>
        <row r="85">
          <cell r="A85" t="str">
            <v>КНС-8</v>
          </cell>
        </row>
        <row r="86">
          <cell r="A86" t="str">
            <v>КНС-4</v>
          </cell>
        </row>
        <row r="87">
          <cell r="A87" t="str">
            <v>КНС-11</v>
          </cell>
        </row>
        <row r="88">
          <cell r="A88" t="str">
            <v>КНС-1</v>
          </cell>
        </row>
        <row r="89">
          <cell r="A89" t="str">
            <v>КНС-9</v>
          </cell>
        </row>
        <row r="90">
          <cell r="A90" t="str">
            <v>КНС</v>
          </cell>
        </row>
        <row r="91">
          <cell r="A91" t="str">
            <v>КНС</v>
          </cell>
        </row>
        <row r="92">
          <cell r="A92" t="str">
            <v>КНС</v>
          </cell>
        </row>
        <row r="93">
          <cell r="A93" t="str">
            <v>КНС</v>
          </cell>
        </row>
        <row r="94">
          <cell r="A94" t="str">
            <v>КНС-7</v>
          </cell>
        </row>
        <row r="95">
          <cell r="A95" t="str">
            <v>Канализационные сети</v>
          </cell>
        </row>
        <row r="96">
          <cell r="A96" t="str">
            <v>Очистные сооружения г. Калининград</v>
          </cell>
        </row>
        <row r="97">
          <cell r="A97" t="str">
            <v>КОС</v>
          </cell>
        </row>
        <row r="98">
          <cell r="A98" t="str">
            <v>ОС п. Прибрежный</v>
          </cell>
        </row>
        <row r="99">
          <cell r="A99" t="str">
            <v>КНС</v>
          </cell>
        </row>
        <row r="100">
          <cell r="A100" t="str">
            <v>КНС</v>
          </cell>
        </row>
        <row r="101">
          <cell r="A101" t="str">
            <v>КНС-2</v>
          </cell>
        </row>
        <row r="102">
          <cell r="A102" t="str">
            <v>КНС</v>
          </cell>
        </row>
        <row r="103">
          <cell r="A103" t="str">
            <v>КНС 4г</v>
          </cell>
        </row>
        <row r="104">
          <cell r="A104" t="str">
            <v>КНС</v>
          </cell>
        </row>
        <row r="105">
          <cell r="A105" t="str">
            <v>КНС-13</v>
          </cell>
        </row>
        <row r="106">
          <cell r="A106" t="str">
            <v>КНС К1 №1</v>
          </cell>
        </row>
        <row r="107">
          <cell r="A107" t="str">
            <v>КНС-4 г</v>
          </cell>
        </row>
        <row r="108">
          <cell r="A108" t="str">
            <v>НСП</v>
          </cell>
        </row>
        <row r="109">
          <cell r="A109" t="str">
            <v>РНС</v>
          </cell>
        </row>
        <row r="110">
          <cell r="A110" t="str">
            <v>КНС-15</v>
          </cell>
        </row>
        <row r="111">
          <cell r="A111" t="str">
            <v>КНС</v>
          </cell>
        </row>
        <row r="112">
          <cell r="A112" t="str">
            <v>КНС-3</v>
          </cell>
        </row>
        <row r="113">
          <cell r="A113" t="str">
            <v>Канализационные сети</v>
          </cell>
        </row>
        <row r="114">
          <cell r="A114" t="str">
            <v>КНС</v>
          </cell>
        </row>
      </sheetData>
      <sheetData sheetId="102">
        <row r="3">
          <cell r="A3" t="str">
            <v>0 %</v>
          </cell>
          <cell r="B3" t="str">
            <v>федеральная</v>
          </cell>
          <cell r="C3" t="str">
            <v>постановление</v>
          </cell>
          <cell r="D3" t="str">
            <v>Общее руководство</v>
          </cell>
          <cell r="J3" t="str">
            <v>Разметка</v>
          </cell>
        </row>
        <row r="4">
          <cell r="A4" t="str">
            <v>менее 50 %</v>
          </cell>
          <cell r="B4" t="str">
            <v>субъект РФ</v>
          </cell>
          <cell r="C4" t="str">
            <v>распоряжение</v>
          </cell>
          <cell r="D4" t="str">
            <v>Бухгалтерский учет и финансовая деятельность</v>
          </cell>
          <cell r="J4" t="str">
            <v>Предзаполнение</v>
          </cell>
        </row>
        <row r="5">
          <cell r="A5" t="str">
            <v>50 % и более</v>
          </cell>
          <cell r="B5" t="str">
            <v>муниципальная</v>
          </cell>
          <cell r="C5" t="str">
            <v>решение</v>
          </cell>
          <cell r="D5" t="str">
            <v>Комплектование и учет кадров</v>
          </cell>
        </row>
        <row r="6">
          <cell r="A6" t="str">
            <v>100 %</v>
          </cell>
          <cell r="B6" t="str">
            <v>частная</v>
          </cell>
          <cell r="C6" t="str">
            <v>приказ</v>
          </cell>
          <cell r="D6" t="str">
            <v>Материально-техническое снабжение</v>
          </cell>
        </row>
        <row r="7">
          <cell r="C7" t="str">
            <v>закон</v>
          </cell>
          <cell r="D7" t="str">
            <v>Надзор и контроль за капитальным ремонтом</v>
          </cell>
        </row>
        <row r="8">
          <cell r="C8" t="str">
            <v>соглашение</v>
          </cell>
          <cell r="D8" t="str">
            <v>Общее делопроизводство и хозяйственное обслуживание</v>
          </cell>
        </row>
        <row r="9">
          <cell r="C9" t="str">
            <v>протокол</v>
          </cell>
          <cell r="D9" t="str">
            <v>Организация технической эксплуатации систем водоснабжения и канализации</v>
          </cell>
        </row>
        <row r="10">
          <cell r="C10" t="str">
            <v>предложить ещё варианты …</v>
          </cell>
          <cell r="D10" t="str">
            <v>Правовое обслуживание</v>
          </cell>
        </row>
        <row r="11">
          <cell r="D11" t="str">
            <v>Техническое обслуживание и внедрение средств автоматизации</v>
          </cell>
        </row>
        <row r="12">
          <cell r="D12" t="str">
            <v>Технико-экономическое планирование, организация труда и заработной платы</v>
          </cell>
        </row>
        <row r="13">
          <cell r="D13" t="str">
            <v>Организация труда и заработной платы</v>
          </cell>
        </row>
        <row r="14">
          <cell r="D14" t="str">
            <v>Обеспечение энергетическими ресурсами</v>
          </cell>
        </row>
        <row r="15">
          <cell r="D15" t="str">
            <v>Внешние и внутренние коммуникации</v>
          </cell>
        </row>
        <row r="16">
          <cell r="D16" t="str">
            <v>Безопасность</v>
          </cell>
        </row>
        <row r="17">
          <cell r="D17" t="str">
            <v>Программное обеспечение и системное администрирование вычислительной техники</v>
          </cell>
        </row>
        <row r="18">
          <cell r="D18" t="str">
            <v>Организация реализации и учета водопотребления и водоотведения по абонентам (юридические лица)</v>
          </cell>
        </row>
        <row r="19">
          <cell r="D19" t="str">
            <v>Организация реализации и учета водопотребления и водоотведения по абонентам (население)</v>
          </cell>
        </row>
        <row r="20">
          <cell r="D20" t="str">
            <v>Оперативное руководство эксплуатацией водопроводных сооружений по забору, подаче, хранению и перекачке воды</v>
          </cell>
        </row>
        <row r="21">
          <cell r="D21" t="str">
            <v>Оперативное руководство эксплуатацией станций водоподготовки</v>
          </cell>
        </row>
        <row r="22">
          <cell r="D22" t="str">
            <v>Оперативное руководство эксплуатацией водопроводных сетей</v>
          </cell>
        </row>
        <row r="23">
          <cell r="D23" t="str">
            <v>Оперативное руководство эксплуатацией канализационных насосных станций</v>
          </cell>
        </row>
        <row r="24">
          <cell r="D24" t="str">
            <v>Оперативное руководство эксплуатацией очистных сооружений канализации</v>
          </cell>
        </row>
        <row r="25">
          <cell r="D25" t="str">
            <v>Оперативное руководство эксплуатацией канализационных сетей</v>
          </cell>
        </row>
        <row r="26">
          <cell r="D26" t="str">
            <v>Организация ремонтно-эксплуатационного обслуживания оборудования, контрольно-измерительных приборов и средств автоматики</v>
          </cell>
        </row>
        <row r="27">
          <cell r="D27" t="str">
            <v>Организация ремонтно-технического обслуживания зданий и сооружений</v>
          </cell>
        </row>
        <row r="28">
          <cell r="D28" t="str">
            <v>Организация ремонта и технического обслуживания автомобильного транспорта, специальных дорожных и строительных машин и механизмов</v>
          </cell>
        </row>
        <row r="29">
          <cell r="D29" t="str">
            <v>Диспетчерское обслуживание</v>
          </cell>
        </row>
        <row r="30">
          <cell r="D30" t="str">
            <v>Ведение воинского учета</v>
          </cell>
        </row>
        <row r="31">
          <cell r="D31" t="str">
            <v>Ведение архива</v>
          </cell>
        </row>
        <row r="32">
          <cell r="D32" t="str">
            <v>Охрана труда</v>
          </cell>
        </row>
        <row r="33">
          <cell r="D33" t="str">
            <v>Гражданская оборона</v>
          </cell>
        </row>
        <row r="34">
          <cell r="D34" t="str">
            <v>Подключение новых абонентов</v>
          </cell>
        </row>
        <row r="35">
          <cell r="D35" t="str">
            <v>Оптимизация режимов сетей и сооружений</v>
          </cell>
        </row>
        <row r="36">
          <cell r="D36" t="str">
            <v>Контрактная служба закупок</v>
          </cell>
        </row>
        <row r="37">
          <cell r="D37" t="str">
            <v>Охрана окружающей среды</v>
          </cell>
        </row>
        <row r="38">
          <cell r="D38" t="str">
            <v>Взыскание дебиторской задолженности, исковая работа в отношении абонентов</v>
          </cell>
        </row>
        <row r="39">
          <cell r="D39" t="str">
            <v>Организация работ по подготовке и составлению сметной документации</v>
          </cell>
        </row>
        <row r="40">
          <cell r="D40" t="str">
            <v>Лабораторный контроль качества воды и сточных вод</v>
          </cell>
        </row>
        <row r="41">
          <cell r="D41" t="str">
            <v>Взаимодействие с абонентами по вопросам отбора и анализа проб сточных вод абонентов</v>
          </cell>
        </row>
        <row r="42">
          <cell r="D42" t="str">
            <v>Прочие руководители, специалисты и служащие</v>
          </cell>
        </row>
        <row r="43">
          <cell r="D43" t="str">
            <v>Насосные станции водопровода</v>
          </cell>
        </row>
        <row r="44">
          <cell r="D44" t="str">
            <v>Станции водоподготовки</v>
          </cell>
        </row>
        <row r="45">
          <cell r="D45" t="str">
            <v>Водопроводная сеть</v>
          </cell>
        </row>
        <row r="46">
          <cell r="D46" t="str">
            <v>Контроль и учет расхода воды</v>
          </cell>
        </row>
        <row r="47">
          <cell r="D47" t="str">
            <v>Сооружения для хранения и запаса воды</v>
          </cell>
        </row>
        <row r="48">
          <cell r="D48" t="str">
            <v>Насосные установки для подкачки воды</v>
          </cell>
        </row>
        <row r="49">
          <cell r="D49" t="str">
            <v>Водозаборы подземных вод</v>
          </cell>
        </row>
        <row r="50">
          <cell r="D50" t="str">
            <v>Водозаборные сооружения из поверхностных источников</v>
          </cell>
        </row>
        <row r="51">
          <cell r="D51" t="str">
            <v>Озонаторные станции</v>
          </cell>
        </row>
        <row r="52">
          <cell r="D52" t="str">
            <v>Ультрафиолетовые (бактерицидные) установки на системах водопровода</v>
          </cell>
        </row>
        <row r="53">
          <cell r="D53" t="str">
            <v>Насосные станции канализации</v>
          </cell>
        </row>
        <row r="54">
          <cell r="D54" t="str">
            <v>Канализационные сети</v>
          </cell>
        </row>
        <row r="55">
          <cell r="D55" t="str">
            <v>Решетки</v>
          </cell>
        </row>
        <row r="56">
          <cell r="D56" t="str">
            <v>Песколовки</v>
          </cell>
        </row>
        <row r="57">
          <cell r="D57" t="str">
            <v>Двухъярусные отстойники</v>
          </cell>
        </row>
        <row r="58">
          <cell r="D58" t="str">
            <v>Первичные отстойники</v>
          </cell>
        </row>
        <row r="59">
          <cell r="D59" t="str">
            <v>Биофильтры и аэрофильтры</v>
          </cell>
        </row>
        <row r="60">
          <cell r="D60" t="str">
            <v>Аэротенки</v>
          </cell>
        </row>
        <row r="61">
          <cell r="D61" t="str">
            <v>Вторичные отстойники</v>
          </cell>
        </row>
        <row r="62">
          <cell r="D62" t="str">
            <v>Насосные и воздуходувные станции</v>
          </cell>
        </row>
        <row r="63">
          <cell r="D63" t="str">
            <v>Поля фильтрации (поля подземной фильтрации)</v>
          </cell>
        </row>
        <row r="64">
          <cell r="D64" t="str">
            <v>Иловые площадки</v>
          </cell>
        </row>
        <row r="65">
          <cell r="D65" t="str">
            <v>Метантенки</v>
          </cell>
        </row>
        <row r="66">
          <cell r="D66" t="str">
            <v>Установка по механическому обезвоживанию осадка</v>
          </cell>
        </row>
        <row r="67">
          <cell r="D67" t="str">
            <v>Установка по термической сушке осадка</v>
          </cell>
        </row>
        <row r="68">
          <cell r="D68" t="str">
            <v>Сооружения глубокой очистки (фильтры, биореакторы, биосорберы и т.п.)</v>
          </cell>
        </row>
        <row r="69">
          <cell r="D69" t="str">
            <v>Хлораторные установки</v>
          </cell>
        </row>
        <row r="70">
          <cell r="D70" t="str">
            <v>Ультрафиолетовые (бактерицидные) установки на системах канализации</v>
          </cell>
        </row>
        <row r="71">
          <cell r="D71" t="str">
            <v>Контроль качества сточных вод</v>
          </cell>
        </row>
        <row r="72">
          <cell r="D72" t="str">
            <v>Пульт дистанционно-автоматического управления</v>
          </cell>
        </row>
        <row r="73">
          <cell r="D73" t="str">
            <v>Прочие рабочие (производственная часть)</v>
          </cell>
        </row>
        <row r="74">
          <cell r="D74" t="str">
            <v>Кладовщик</v>
          </cell>
        </row>
        <row r="75">
          <cell r="D75" t="str">
            <v>Уборка административных зданий и производственных помещений, уборка территории</v>
          </cell>
        </row>
        <row r="76">
          <cell r="D76" t="str">
            <v>Обслуживание котельной, тепло- и энергетического хозяйства</v>
          </cell>
        </row>
        <row r="77">
          <cell r="D77" t="str">
            <v>Внешнее благоустройство территорий, озеленение, уборка территорий по итогам проведения строительных и ремонтных работ бригадами</v>
          </cell>
        </row>
        <row r="78">
          <cell r="D78" t="str">
            <v>Ремонт и обслуживание автотранспортной и специальной техники</v>
          </cell>
        </row>
        <row r="79">
          <cell r="D79" t="str">
            <v>Вождение/управление автотранспортным средством, строительной и специальной техникой</v>
          </cell>
        </row>
        <row r="80">
          <cell r="D80" t="str">
            <v>Медицинский осмотр водителей транспортных средств</v>
          </cell>
        </row>
        <row r="81">
          <cell r="D81" t="str">
            <v>Медицинское обслуживание работников организации водопроводно-канализационного хозяйства</v>
          </cell>
        </row>
        <row r="82">
          <cell r="D82" t="str">
            <v>Прочие вспомогательные службы</v>
          </cell>
        </row>
      </sheetData>
      <sheetData sheetId="103"/>
      <sheetData sheetId="104">
        <row r="1">
          <cell r="A1" t="str">
            <v>Нет дополнительных признаков</v>
          </cell>
        </row>
        <row r="2">
          <cell r="A2" t="str">
            <v>Оказание услуг на территории: Багратионовский (ОКТМО: 27703000) - п Долгоруково</v>
          </cell>
        </row>
        <row r="3">
          <cell r="A3" t="str">
            <v>Оказание услуг на территории: Багратионовский (ОКТМО: 27703000) - п Невское</v>
          </cell>
        </row>
        <row r="4">
          <cell r="A4" t="str">
            <v>Оказание услуг на территории: Багратионовский (ОКТМО: 27703000) - п Нивенское</v>
          </cell>
        </row>
        <row r="5">
          <cell r="A5" t="str">
            <v>Оказание услуг на территории: Багратионовский (ОКТМО: 27703000) - посёлки: Гвардейское, Славяновка, Березовка, Надеждино, Знаменское, Дубки, Рябиновка, Орехово, Невское, Тамбовское, Марийское, Чехово, Тишино, Осокино</v>
          </cell>
        </row>
        <row r="6">
          <cell r="A6" t="str">
            <v>Оказание услуг на территории: Багратионовский (ОКТМО: 27703000) - посёлки: Долгоруково, Дубровка, Подгорное, Пограничное, Краснознаменское, Славское, Побережье</v>
          </cell>
        </row>
        <row r="7">
          <cell r="A7" t="str">
            <v>Оказание услуг на территории: Гвардейский (ОКТМО: 27706000) - г Гвардейск</v>
          </cell>
        </row>
        <row r="8">
          <cell r="A8" t="str">
            <v>Оказание услуг на территории: Городской округ Балтийский (ОКТМО: 27705000) - г Балтийск</v>
          </cell>
        </row>
        <row r="9">
          <cell r="A9" t="str">
            <v>Оказание услуг на территории: Городской округ Балтийский (ОКТМО: 27705000) - г Приморск</v>
          </cell>
        </row>
        <row r="10">
          <cell r="A10" t="str">
            <v>Оказание услуг на территории: Городской округ Нестеровский (ОКТМО: 27715000) - г Нестеров</v>
          </cell>
        </row>
        <row r="11">
          <cell r="A11" t="str">
            <v>Оказание услуг на территории: Городской округ Нестеровский (ОКТМО: 27715000) - п Пушкино</v>
          </cell>
        </row>
        <row r="12">
          <cell r="A12" t="str">
            <v>Оказание услуг на территории: Городской округ Полесский (ОКТМО: 27718000) - кроме г Полесск</v>
          </cell>
        </row>
        <row r="13">
          <cell r="A13" t="str">
            <v>Оказание услуг на территории: Зеленоградский (ОКТМО: 27710000) - Зеленоградский район</v>
          </cell>
        </row>
        <row r="14">
          <cell r="A14" t="str">
            <v>Оказание услуг на территории: Зеленоградский (ОКТМО: 27710000) - Куршская Коса</v>
          </cell>
        </row>
        <row r="15">
          <cell r="A15" t="str">
            <v>Оказание услуг на территории: Зеленоградский (ОКТМО: 27710000) - п Колосовка, п Кумачево, п Заостровье, п Дорожное, п Прохладное</v>
          </cell>
        </row>
        <row r="16">
          <cell r="A16" t="str">
            <v>Оказание услуг на территории: Зеленоградский (ОКТМО: 27710000) - п Морское, п Рыбачий, п Лесное</v>
          </cell>
        </row>
        <row r="17">
          <cell r="A17" t="str">
            <v>Оказание услуг на территории: Зеленоградский (ОКТМО: 27710000) - п Филино</v>
          </cell>
        </row>
        <row r="18">
          <cell r="A18" t="str">
            <v>Оказание услуг на территории: Краснознаменский (ОКТМО: 27713000) - г Краснознаменск</v>
          </cell>
        </row>
        <row r="19">
          <cell r="A19" t="str">
            <v>Оказание услуг на территории: Краснознаменский (ОКТМО: 27713000) - кроме г Краснознаменск</v>
          </cell>
        </row>
        <row r="20">
          <cell r="A20" t="str">
            <v>Оказание услуг на территории: Озерский (ОКТМО: 27716000) - г Озерск</v>
          </cell>
        </row>
        <row r="21">
          <cell r="A21" t="str">
            <v>Оказание услуг на территории: Озерский (ОКТМО: 27716000) - п Гаврилово</v>
          </cell>
        </row>
        <row r="22">
          <cell r="A22" t="str">
            <v>Оказание услуг на территории: Озерский (ОКТМО: 27716000) - п Красноярское</v>
          </cell>
        </row>
        <row r="23">
          <cell r="A23" t="str">
            <v>Оказание услуг на территории: Полесский (ОКТМО: 27718000) - г Полесск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Настройки для формул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СиМ (детально)"/>
      <sheetName val="Сырье и материалы"/>
      <sheetName val="Check"/>
      <sheetName val="Формулы"/>
      <sheetName val="ЭЭ"/>
      <sheetName val="tech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Капремонт"/>
      <sheetName val="Текремонт"/>
      <sheetName val="Столбцы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TECHSHEET"/>
      <sheetName val="ТМ1"/>
      <sheetName val="ТМ2"/>
      <sheetName val="ТН ФАС"/>
      <sheetName val="ATTACH_DOC"/>
      <sheetName val="Столбцы отображение"/>
      <sheetName val="TECH_VERTICAL"/>
      <sheetName val="REESTR_ORG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  <sheetName val="Черновик 1"/>
      <sheetName val="Черновик 2"/>
      <sheetName val="Черновик 3"/>
      <sheetName val="Черновик 4"/>
      <sheetName val="Черновик 5"/>
      <sheetName val="Черновик 6"/>
      <sheetName val="Черновик 7"/>
      <sheetName val="Черновик 8"/>
      <sheetName val="Черновик 9"/>
      <sheetName val="Черновик 10"/>
      <sheetName val="Черновик 11"/>
      <sheetName val="Черновик 12"/>
      <sheetName val="Черновик 13"/>
      <sheetName val="Черновик 14"/>
      <sheetName val="Черновик 15"/>
      <sheetName val="Черновик 16"/>
      <sheetName val="Черновик 17"/>
      <sheetName val="Черновик 18"/>
      <sheetName val="Черновик 19"/>
      <sheetName val="Черновик 20"/>
      <sheetName val="Черновик 21"/>
      <sheetName val="Черновик 22"/>
    </sheetNames>
    <sheetDataSet>
      <sheetData sheetId="0"/>
      <sheetData sheetId="1">
        <row r="7">
          <cell r="F7">
            <v>3</v>
          </cell>
        </row>
        <row r="8">
          <cell r="F8">
            <v>4</v>
          </cell>
        </row>
        <row r="9">
          <cell r="F9">
            <v>5</v>
          </cell>
        </row>
        <row r="10">
          <cell r="F10">
            <v>6</v>
          </cell>
        </row>
        <row r="21">
          <cell r="F21" t="str">
            <v>Метод индексации</v>
          </cell>
        </row>
        <row r="22">
          <cell r="F22" t="str">
            <v>МЭОР</v>
          </cell>
        </row>
        <row r="23">
          <cell r="F23" t="str">
            <v>Метод сравнения аналогов</v>
          </cell>
        </row>
        <row r="30">
          <cell r="F30" t="str">
            <v>Газ природный</v>
          </cell>
        </row>
        <row r="31">
          <cell r="F31" t="str">
            <v>Газ лимитный</v>
          </cell>
        </row>
        <row r="32">
          <cell r="F32" t="str">
            <v>Газ сверхлимитный</v>
          </cell>
        </row>
        <row r="33">
          <cell r="F33" t="str">
            <v>Газ коммерческий</v>
          </cell>
        </row>
        <row r="34">
          <cell r="F34" t="str">
            <v>Газ доменный</v>
          </cell>
        </row>
        <row r="35">
          <cell r="F35" t="str">
            <v>Газ коксовый</v>
          </cell>
        </row>
        <row r="36">
          <cell r="F36" t="str">
            <v>Газ нефтяной (попутный)</v>
          </cell>
        </row>
        <row r="37">
          <cell r="F37" t="str">
            <v>Газ сухой отбензиненный</v>
          </cell>
        </row>
        <row r="38">
          <cell r="F38" t="str">
            <v>Газовый конденсат</v>
          </cell>
        </row>
        <row r="39">
          <cell r="F39" t="str">
            <v>Газ сжиженный</v>
          </cell>
        </row>
        <row r="40">
          <cell r="F40" t="str">
            <v>Дизельное топливо</v>
          </cell>
        </row>
        <row r="41">
          <cell r="F41" t="str">
            <v>А (арктическое)</v>
          </cell>
        </row>
        <row r="42">
          <cell r="F42" t="str">
            <v>З (зимнее)</v>
          </cell>
        </row>
        <row r="43">
          <cell r="F43" t="str">
            <v>Л (летнее)</v>
          </cell>
        </row>
        <row r="44">
          <cell r="F44" t="str">
            <v>Е (межсезонное)</v>
          </cell>
        </row>
        <row r="45">
          <cell r="F45" t="str">
            <v>Мазут</v>
          </cell>
        </row>
        <row r="46">
          <cell r="F46" t="str">
            <v>М-40</v>
          </cell>
        </row>
        <row r="47">
          <cell r="F47" t="str">
            <v>М-100</v>
          </cell>
        </row>
        <row r="48">
          <cell r="F48" t="str">
            <v>М-200</v>
          </cell>
        </row>
        <row r="49">
          <cell r="F49" t="str">
            <v>мазут марки "Т"</v>
          </cell>
        </row>
        <row r="50">
          <cell r="F50" t="str">
            <v>Ф-5</v>
          </cell>
        </row>
        <row r="51">
          <cell r="F51" t="str">
            <v>Ф-12</v>
          </cell>
        </row>
        <row r="52">
          <cell r="F52" t="str">
            <v>Нефть</v>
          </cell>
        </row>
        <row r="53">
          <cell r="F53" t="str">
            <v>Уголь</v>
          </cell>
        </row>
        <row r="54">
          <cell r="F54" t="str">
            <v>Уголь антрацит</v>
          </cell>
        </row>
        <row r="55">
          <cell r="F55" t="str">
            <v>Уголь бурый</v>
          </cell>
        </row>
        <row r="56">
          <cell r="F56" t="str">
            <v>Уголь газовый</v>
          </cell>
        </row>
        <row r="57">
          <cell r="F57" t="str">
            <v>Уголь длиннопламенный</v>
          </cell>
        </row>
        <row r="58">
          <cell r="F58" t="str">
            <v>Уголь жирный</v>
          </cell>
        </row>
        <row r="59">
          <cell r="F59" t="str">
            <v>Уголь коксовый</v>
          </cell>
        </row>
        <row r="60">
          <cell r="F60" t="str">
            <v>Уголь отощённо-спекающийся</v>
          </cell>
        </row>
        <row r="61">
          <cell r="F61" t="str">
            <v>Уголь слабоспекающийся</v>
          </cell>
        </row>
        <row r="62">
          <cell r="F62" t="str">
            <v>Уголь тощий</v>
          </cell>
        </row>
        <row r="63">
          <cell r="F63" t="str">
            <v>Энергия</v>
          </cell>
        </row>
        <row r="64">
          <cell r="F64" t="str">
            <v>Заявленная мощность</v>
          </cell>
        </row>
        <row r="65">
          <cell r="F65" t="str">
            <v>Уголь древесный</v>
          </cell>
        </row>
        <row r="66">
          <cell r="F66" t="str">
            <v>Дрова</v>
          </cell>
        </row>
        <row r="67">
          <cell r="F67" t="str">
            <v>Пеллеты</v>
          </cell>
        </row>
        <row r="68">
          <cell r="F68" t="str">
            <v>Опилки</v>
          </cell>
        </row>
        <row r="69">
          <cell r="F69" t="str">
            <v>Торф</v>
          </cell>
        </row>
        <row r="70">
          <cell r="F70" t="str">
            <v>Сланцы</v>
          </cell>
        </row>
        <row r="71">
          <cell r="F71" t="str">
            <v>Печное бытовое топливо</v>
          </cell>
        </row>
        <row r="72">
          <cell r="F72" t="str">
            <v>Прочие виды топлива</v>
          </cell>
        </row>
      </sheetData>
      <sheetData sheetId="2">
        <row r="12">
          <cell r="G12">
            <v>2025</v>
          </cell>
        </row>
        <row r="13">
          <cell r="M13" t="str">
            <v>Postgre</v>
          </cell>
        </row>
        <row r="33">
          <cell r="G33" t="str">
            <v>да</v>
          </cell>
        </row>
        <row r="34">
          <cell r="G34" t="str">
            <v>да</v>
          </cell>
        </row>
        <row r="42">
          <cell r="G42" t="str">
            <v>нет</v>
          </cell>
        </row>
        <row r="43">
          <cell r="G43" t="str">
            <v>да</v>
          </cell>
        </row>
        <row r="54">
          <cell r="G54" t="str">
            <v>да</v>
          </cell>
        </row>
        <row r="60">
          <cell r="G60" t="str">
            <v>полугодовой</v>
          </cell>
        </row>
        <row r="61">
          <cell r="G61" t="str">
            <v>годовой (расширенное)</v>
          </cell>
        </row>
        <row r="64">
          <cell r="G64" t="str">
            <v>нет</v>
          </cell>
        </row>
        <row r="65">
          <cell r="G65" t="str">
            <v>нет</v>
          </cell>
        </row>
        <row r="66">
          <cell r="G66" t="str">
            <v>да</v>
          </cell>
        </row>
        <row r="68">
          <cell r="G68" t="str">
            <v>да</v>
          </cell>
        </row>
        <row r="69">
          <cell r="G69" t="str">
            <v>да</v>
          </cell>
        </row>
        <row r="70">
          <cell r="G70" t="str">
            <v>да</v>
          </cell>
        </row>
        <row r="71">
          <cell r="G71" t="str">
            <v>да</v>
          </cell>
        </row>
        <row r="73">
          <cell r="G73" t="str">
            <v>нет</v>
          </cell>
        </row>
        <row r="77">
          <cell r="G77" t="str">
            <v>да</v>
          </cell>
        </row>
        <row r="78">
          <cell r="G78" t="str">
            <v>да</v>
          </cell>
        </row>
        <row r="79">
          <cell r="G79" t="str">
            <v>да</v>
          </cell>
        </row>
        <row r="80">
          <cell r="G80" t="str">
            <v>нет</v>
          </cell>
        </row>
        <row r="85">
          <cell r="G85" t="str">
            <v>нет</v>
          </cell>
        </row>
        <row r="86">
          <cell r="G86" t="str">
            <v>да</v>
          </cell>
        </row>
        <row r="90">
          <cell r="G90" t="str">
            <v>да</v>
          </cell>
        </row>
        <row r="107">
          <cell r="G107" t="str">
            <v>один год</v>
          </cell>
        </row>
        <row r="123">
          <cell r="G123" t="str">
            <v>нет</v>
          </cell>
        </row>
        <row r="127">
          <cell r="G127" t="str">
            <v>да</v>
          </cell>
        </row>
        <row r="130">
          <cell r="G130" t="str">
            <v>нет</v>
          </cell>
        </row>
        <row r="134">
          <cell r="G134" t="str">
            <v>Подано воды в сеть</v>
          </cell>
        </row>
        <row r="135">
          <cell r="G135" t="str">
            <v>Подано воды в сеть</v>
          </cell>
        </row>
        <row r="136">
          <cell r="G136" t="str">
            <v>Подано воды в сеть</v>
          </cell>
        </row>
        <row r="138">
          <cell r="G138" t="str">
            <v>нет</v>
          </cell>
        </row>
        <row r="142">
          <cell r="G142" t="str">
            <v>нет</v>
          </cell>
        </row>
        <row r="144">
          <cell r="H144" t="str">
            <v>Счёт</v>
          </cell>
          <cell r="I144" t="str">
            <v>Налоги</v>
          </cell>
        </row>
        <row r="148">
          <cell r="G148" t="str">
            <v>нет</v>
          </cell>
        </row>
        <row r="149">
          <cell r="G149" t="str">
            <v>нет</v>
          </cell>
        </row>
        <row r="156">
          <cell r="G156" t="str">
            <v>нет</v>
          </cell>
        </row>
        <row r="157">
          <cell r="G157" t="str">
            <v>ФАС</v>
          </cell>
        </row>
        <row r="160">
          <cell r="G160" t="str">
            <v>нет</v>
          </cell>
        </row>
        <row r="162">
          <cell r="G162" t="str">
            <v>нет</v>
          </cell>
        </row>
        <row r="179">
          <cell r="G179" t="str">
            <v>товарные вода/стоки</v>
          </cell>
        </row>
        <row r="180">
          <cell r="G180" t="str">
            <v>отпущено воды абонентам/принято от абонентов</v>
          </cell>
        </row>
        <row r="185">
          <cell r="G185" t="str">
            <v>один год</v>
          </cell>
        </row>
        <row r="186">
          <cell r="G186" t="str">
            <v>последний год</v>
          </cell>
        </row>
        <row r="188">
          <cell r="G188" t="str">
            <v>Назначение</v>
          </cell>
        </row>
        <row r="189">
          <cell r="G189" t="str">
            <v>Срок действия договора</v>
          </cell>
        </row>
      </sheetData>
      <sheetData sheetId="3"/>
      <sheetData sheetId="4"/>
      <sheetData sheetId="5">
        <row r="26">
          <cell r="A26" t="b">
            <v>1</v>
          </cell>
        </row>
        <row r="31">
          <cell r="A31" t="b">
            <v>1</v>
          </cell>
        </row>
        <row r="41">
          <cell r="A41" t="e">
            <v>#REF!</v>
          </cell>
        </row>
        <row r="42">
          <cell r="A42" t="e">
            <v>#REF!</v>
          </cell>
        </row>
        <row r="43">
          <cell r="A43" t="e">
            <v>#REF!</v>
          </cell>
        </row>
        <row r="44">
          <cell r="A44" t="e">
            <v>#REF!</v>
          </cell>
        </row>
        <row r="45">
          <cell r="A45" t="b">
            <v>1</v>
          </cell>
        </row>
        <row r="46">
          <cell r="A46" t="b">
            <v>1</v>
          </cell>
        </row>
        <row r="47">
          <cell r="A47" t="b">
            <v>1</v>
          </cell>
        </row>
        <row r="48">
          <cell r="A48" t="e">
            <v>#REF!</v>
          </cell>
        </row>
        <row r="49">
          <cell r="A49" t="e">
            <v>#REF!</v>
          </cell>
        </row>
        <row r="51">
          <cell r="A51" t="b">
            <v>1</v>
          </cell>
        </row>
      </sheetData>
      <sheetData sheetId="6"/>
      <sheetData sheetId="7">
        <row r="11">
          <cell r="AD11" t="str">
            <v>Калининградская область</v>
          </cell>
        </row>
        <row r="12">
          <cell r="AD12" t="str">
            <v>План</v>
          </cell>
        </row>
        <row r="13">
          <cell r="AD13" t="str">
            <v>Версия организации</v>
          </cell>
        </row>
        <row r="14">
          <cell r="AD14">
            <v>2025</v>
          </cell>
        </row>
        <row r="15">
          <cell r="AD15" t="str">
            <v>Водоснабжение</v>
          </cell>
        </row>
        <row r="18">
          <cell r="AD18" t="str">
            <v>Государственное предприятие Калининградской области «Водоканал»</v>
          </cell>
        </row>
        <row r="19">
          <cell r="AD19" t="str">
            <v>ГП КО "Водоканал"</v>
          </cell>
        </row>
        <row r="22">
          <cell r="AD22" t="str">
            <v>1023900591626</v>
          </cell>
        </row>
        <row r="25">
          <cell r="AD25" t="str">
            <v>3903009923</v>
          </cell>
        </row>
        <row r="26">
          <cell r="AD26" t="str">
            <v>390401001</v>
          </cell>
        </row>
        <row r="27">
          <cell r="AD27" t="str">
            <v>03269197</v>
          </cell>
        </row>
        <row r="28">
          <cell r="AD28" t="str">
            <v>27401385000</v>
          </cell>
        </row>
        <row r="29">
          <cell r="AD29" t="str">
            <v>КАЛИНИНГРАД ВОДОСНАБЖЕНИЕ</v>
          </cell>
        </row>
        <row r="37">
          <cell r="AD37" t="str">
            <v>Мурадянц Армен Сергеевич</v>
          </cell>
        </row>
        <row r="38">
          <cell r="AD38" t="str">
            <v>директор</v>
          </cell>
        </row>
        <row r="40">
          <cell r="AD40" t="str">
            <v>нет</v>
          </cell>
        </row>
        <row r="44">
          <cell r="AD44" t="str">
            <v>да</v>
          </cell>
        </row>
        <row r="62">
          <cell r="AD62" t="str">
            <v>нет</v>
          </cell>
        </row>
        <row r="63">
          <cell r="AD63" t="str">
            <v>Метод индексации</v>
          </cell>
        </row>
        <row r="64">
          <cell r="AD64">
            <v>2024</v>
          </cell>
        </row>
        <row r="67">
          <cell r="AD67">
            <v>5</v>
          </cell>
        </row>
        <row r="72">
          <cell r="AD72" t="str">
            <v>Корректировка</v>
          </cell>
        </row>
        <row r="73">
          <cell r="AD73">
            <v>1</v>
          </cell>
        </row>
        <row r="74">
          <cell r="AD74" t="str">
            <v>Метод индексации</v>
          </cell>
        </row>
        <row r="75">
          <cell r="AD75">
            <v>5</v>
          </cell>
        </row>
        <row r="76">
          <cell r="AD76">
            <v>45292</v>
          </cell>
        </row>
        <row r="78">
          <cell r="AD78">
            <v>0</v>
          </cell>
        </row>
        <row r="79">
          <cell r="AD79">
            <v>0</v>
          </cell>
        </row>
        <row r="93">
          <cell r="AD93">
            <v>0</v>
          </cell>
        </row>
      </sheetData>
      <sheetData sheetId="8">
        <row r="86">
          <cell r="AB86">
            <v>0</v>
          </cell>
          <cell r="AC86">
            <v>0</v>
          </cell>
          <cell r="AD86">
            <v>0</v>
          </cell>
        </row>
        <row r="87">
          <cell r="O87" t="str">
            <v>воды</v>
          </cell>
          <cell r="P87" t="str">
            <v>COLDVSNA</v>
          </cell>
          <cell r="Q87" t="str">
            <v>водоснабжения</v>
          </cell>
          <cell r="U87" t="str">
            <v>1ХВС - Тариф на питьевую воду</v>
          </cell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  <cell r="AD87" t="str">
            <v>одноставочный</v>
          </cell>
          <cell r="AE87" t="str">
            <v>Производство (подъём / добыча) воды :: Очистка воды :: Транспортировка воды :: Сбыт (распределение) воды</v>
          </cell>
          <cell r="AK87" t="str">
            <v>без дифференциации</v>
          </cell>
          <cell r="AL87" t="str">
            <v>нет</v>
          </cell>
          <cell r="AM87" t="str">
            <v>да</v>
          </cell>
        </row>
        <row r="88">
          <cell r="Y88" t="str">
            <v>1ХВС</v>
          </cell>
          <cell r="AB88">
            <v>0</v>
          </cell>
          <cell r="AC88">
            <v>0</v>
          </cell>
          <cell r="AD88">
            <v>0</v>
          </cell>
          <cell r="AK88">
            <v>0</v>
          </cell>
          <cell r="AM88">
            <v>0</v>
          </cell>
        </row>
        <row r="89">
          <cell r="Y89" t="str">
            <v>1ХВС</v>
          </cell>
          <cell r="AB89">
            <v>0</v>
          </cell>
          <cell r="AC89">
            <v>0</v>
          </cell>
          <cell r="AD89">
            <v>0</v>
          </cell>
          <cell r="AK89">
            <v>0</v>
          </cell>
          <cell r="AM89">
            <v>0</v>
          </cell>
        </row>
        <row r="90">
          <cell r="AB90" t="str">
            <v/>
          </cell>
          <cell r="AC90">
            <v>0</v>
          </cell>
          <cell r="AD90">
            <v>0</v>
          </cell>
          <cell r="AK90">
            <v>0</v>
          </cell>
          <cell r="AM90">
            <v>0</v>
          </cell>
        </row>
        <row r="91">
          <cell r="AB91">
            <v>0</v>
          </cell>
          <cell r="AC91">
            <v>0</v>
          </cell>
          <cell r="AD91">
            <v>0</v>
          </cell>
          <cell r="AK91">
            <v>0</v>
          </cell>
          <cell r="AM91">
            <v>0</v>
          </cell>
        </row>
        <row r="93">
          <cell r="X93" t="str">
            <v>Обратить внимание, что при удалении блока может быть ССЫЛКА</v>
          </cell>
          <cell r="Y93" t="str">
            <v>Обратить внимание, что при удалении блока может быть ССЫЛКА</v>
          </cell>
        </row>
        <row r="95">
          <cell r="AK95" t="str">
            <v>Если все без диференциации скрыть BR-CB</v>
          </cell>
        </row>
        <row r="98">
          <cell r="AK98" t="str">
            <v>При выборе "без дифференциации", то нельзя добавить субтариф, все ячейки по субтарифу становятся белыми</v>
          </cell>
        </row>
        <row r="99">
          <cell r="AK99" t="str">
            <v>При выборе "с дифференциацией (одна смета)"  столбцы BU-CB становятся недоступными (белыми), но должна сохраниться возможность добавть субтариф</v>
          </cell>
        </row>
      </sheetData>
      <sheetData sheetId="9"/>
      <sheetData sheetId="10"/>
      <sheetData sheetId="11"/>
      <sheetData sheetId="12"/>
      <sheetData sheetId="13">
        <row r="18">
          <cell r="GM18">
            <v>2017</v>
          </cell>
          <cell r="GN18">
            <v>2018</v>
          </cell>
          <cell r="GO18">
            <v>2019</v>
          </cell>
          <cell r="GP18">
            <v>2020</v>
          </cell>
          <cell r="GQ18">
            <v>2021</v>
          </cell>
          <cell r="GR18">
            <v>2022</v>
          </cell>
          <cell r="GS18">
            <v>2023</v>
          </cell>
          <cell r="GT18">
            <v>2024</v>
          </cell>
          <cell r="GU18">
            <v>2025</v>
          </cell>
          <cell r="GV18">
            <v>2026</v>
          </cell>
          <cell r="GW18">
            <v>2027</v>
          </cell>
          <cell r="GX18">
            <v>2028</v>
          </cell>
          <cell r="GY18">
            <v>2029</v>
          </cell>
          <cell r="GZ18">
            <v>2030</v>
          </cell>
        </row>
        <row r="19"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</row>
        <row r="20"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</row>
        <row r="26">
          <cell r="GM26">
            <v>18</v>
          </cell>
          <cell r="GN26">
            <v>18</v>
          </cell>
          <cell r="GO26">
            <v>20</v>
          </cell>
          <cell r="GP26">
            <v>20</v>
          </cell>
          <cell r="GQ26">
            <v>20</v>
          </cell>
          <cell r="GR26">
            <v>20</v>
          </cell>
          <cell r="GS26">
            <v>20</v>
          </cell>
          <cell r="GT26">
            <v>20</v>
          </cell>
          <cell r="GU26">
            <v>20</v>
          </cell>
          <cell r="GV26">
            <v>20</v>
          </cell>
          <cell r="GW26">
            <v>20</v>
          </cell>
          <cell r="GX26">
            <v>20</v>
          </cell>
          <cell r="GY26">
            <v>20</v>
          </cell>
          <cell r="GZ26">
            <v>20</v>
          </cell>
        </row>
      </sheetData>
      <sheetData sheetId="14">
        <row r="92">
          <cell r="AD92">
            <v>12</v>
          </cell>
          <cell r="AE92">
            <v>12</v>
          </cell>
          <cell r="AG92">
            <v>12</v>
          </cell>
          <cell r="AI92">
            <v>12</v>
          </cell>
          <cell r="AT92">
            <v>12</v>
          </cell>
          <cell r="AU92">
            <v>12</v>
          </cell>
          <cell r="AV92">
            <v>12</v>
          </cell>
          <cell r="AW92">
            <v>12</v>
          </cell>
        </row>
        <row r="93">
          <cell r="AE93">
            <v>1.0429999999999999</v>
          </cell>
          <cell r="AG93">
            <v>1.06</v>
          </cell>
          <cell r="AH93">
            <v>1.0580000000000001</v>
          </cell>
          <cell r="AI93">
            <v>1.0720000000000001</v>
          </cell>
          <cell r="AJ93">
            <v>1.0720000000000001</v>
          </cell>
          <cell r="AT93">
            <v>1.06</v>
          </cell>
          <cell r="AU93">
            <v>1.0580000000000001</v>
          </cell>
          <cell r="AV93">
            <v>1.0720000000000001</v>
          </cell>
          <cell r="AW93">
            <v>1.0720000000000001</v>
          </cell>
          <cell r="AX93">
            <v>1.042</v>
          </cell>
          <cell r="AY93">
            <v>1.04</v>
          </cell>
          <cell r="AZ93">
            <v>1.04</v>
          </cell>
          <cell r="BA93">
            <v>1.04</v>
          </cell>
          <cell r="BB93">
            <v>1.04</v>
          </cell>
        </row>
        <row r="95">
          <cell r="AE95">
            <v>1.038</v>
          </cell>
          <cell r="AG95">
            <v>1.0900000000000001</v>
          </cell>
          <cell r="AI95">
            <v>1.091</v>
          </cell>
          <cell r="AJ95">
            <v>1.091</v>
          </cell>
          <cell r="AK95">
            <v>1.06</v>
          </cell>
          <cell r="AT95">
            <v>1.0900000000000001</v>
          </cell>
          <cell r="AU95">
            <v>1.0900000000000001</v>
          </cell>
          <cell r="AV95">
            <v>1.091</v>
          </cell>
          <cell r="AW95">
            <v>1.091</v>
          </cell>
          <cell r="AX95">
            <v>1.06</v>
          </cell>
          <cell r="AY95">
            <v>1.05</v>
          </cell>
          <cell r="AZ95">
            <v>1.05</v>
          </cell>
          <cell r="BA95">
            <v>1.05</v>
          </cell>
          <cell r="BB95">
            <v>1.05</v>
          </cell>
        </row>
      </sheetData>
      <sheetData sheetId="15"/>
      <sheetData sheetId="16"/>
      <sheetData sheetId="17">
        <row r="1">
          <cell r="AF1" t="b">
            <v>0</v>
          </cell>
        </row>
        <row r="92">
          <cell r="AB92" t="str">
            <v>Объемы реализации всего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I92">
            <v>0</v>
          </cell>
        </row>
        <row r="93">
          <cell r="AB93" t="str">
            <v>по приборам учета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I93" t="str">
            <v>да</v>
          </cell>
        </row>
        <row r="94">
          <cell r="AB94" t="str">
            <v>по нормативу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 t="str">
            <v>нет</v>
          </cell>
        </row>
        <row r="95">
          <cell r="AB95" t="str">
            <v>Бюджетные потребители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I95">
            <v>0</v>
          </cell>
        </row>
        <row r="96">
          <cell r="AB96" t="str">
            <v>бюджетные потребители - по приборам учета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I96" t="str">
            <v>да</v>
          </cell>
        </row>
        <row r="97">
          <cell r="AB97" t="str">
            <v>бюджетные потребители - по нормативам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I97" t="str">
            <v>нет</v>
          </cell>
        </row>
        <row r="98"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I98">
            <v>0</v>
          </cell>
        </row>
        <row r="99">
          <cell r="AB99" t="str">
            <v>Бюджетные потребители #2</v>
          </cell>
          <cell r="AC99">
            <v>0</v>
          </cell>
          <cell r="AD99">
            <v>0</v>
          </cell>
          <cell r="AE99" t="str">
            <v>Городской округ город Калининград</v>
          </cell>
          <cell r="AF99">
            <v>0</v>
          </cell>
          <cell r="AG99">
            <v>0</v>
          </cell>
          <cell r="AI99" t="str">
            <v>да</v>
          </cell>
        </row>
        <row r="100"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 t="str">
            <v>нет</v>
          </cell>
        </row>
        <row r="101">
          <cell r="AB101" t="str">
            <v>Добавить|REESTR_CONSUMER_ADD_RANGE_CONSUMER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I101">
            <v>0</v>
          </cell>
        </row>
        <row r="102">
          <cell r="AB102" t="str">
            <v>Население и приравненные к ним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I102">
            <v>0</v>
          </cell>
        </row>
        <row r="103">
          <cell r="AB103" t="str">
            <v>население, исполнители коммунальных услуг - по приборам учета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I103" t="str">
            <v>да</v>
          </cell>
        </row>
        <row r="104">
          <cell r="AB104" t="str">
            <v>население, исполнители коммунальных услуг - по нормативам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I104" t="str">
            <v>нет</v>
          </cell>
        </row>
        <row r="105">
          <cell r="AB105" t="str">
            <v>Управляющие компании, ТСЖ и др. (по населению)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I105">
            <v>0</v>
          </cell>
        </row>
        <row r="106"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I106">
            <v>0</v>
          </cell>
        </row>
        <row r="107">
          <cell r="AB107" t="str">
            <v>Добавить|REESTR_CONSUMER_ADD_RANGE_COMP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I107">
            <v>0</v>
          </cell>
        </row>
        <row r="108">
          <cell r="AB108" t="str">
            <v>Население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I108">
            <v>0</v>
          </cell>
        </row>
        <row r="109">
          <cell r="AB109" t="str">
            <v>население (по приборам учета)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I109" t="str">
            <v>да</v>
          </cell>
        </row>
        <row r="110">
          <cell r="AB110" t="str">
            <v>население (по нормативу)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 t="str">
            <v>нет</v>
          </cell>
        </row>
        <row r="111">
          <cell r="AB111" t="str">
            <v>Прочие потребители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I111">
            <v>0</v>
          </cell>
        </row>
        <row r="112">
          <cell r="AB112" t="str">
            <v>прочие потребители - по приборам учета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I112" t="str">
            <v>да</v>
          </cell>
        </row>
        <row r="113">
          <cell r="AB113" t="str">
            <v>прочие потребители - по нормативам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I113" t="str">
            <v>нет</v>
          </cell>
        </row>
        <row r="114"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</row>
        <row r="115">
          <cell r="AB115" t="str">
            <v>Юридические лица и физ.лица, собственники нежилых помещений</v>
          </cell>
          <cell r="AC115">
            <v>0</v>
          </cell>
          <cell r="AD115">
            <v>0</v>
          </cell>
          <cell r="AE115" t="str">
            <v>Городской округ город Калининград</v>
          </cell>
          <cell r="AF115">
            <v>0</v>
          </cell>
          <cell r="AG115">
            <v>0</v>
          </cell>
          <cell r="AI115" t="str">
            <v>да</v>
          </cell>
        </row>
        <row r="116"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I116" t="str">
            <v>нет</v>
          </cell>
        </row>
        <row r="117">
          <cell r="AB117" t="str">
            <v>Добавить|REESTR_CONSUMER_ADD_RANGE_OTHER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I117">
            <v>0</v>
          </cell>
        </row>
        <row r="118">
          <cell r="AB118" t="str">
            <v>Организации водоснабжения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</row>
        <row r="119">
          <cell r="AB119" t="str">
            <v>Организации водоснабжения - по приборам учета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I119" t="str">
            <v>да</v>
          </cell>
        </row>
        <row r="120">
          <cell r="AB120" t="str">
            <v>Организации водоснабжения - по нормативам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I120" t="str">
            <v>нет</v>
          </cell>
        </row>
        <row r="121"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I121">
            <v>0</v>
          </cell>
        </row>
        <row r="122">
          <cell r="AB122" t="str">
            <v>МУП ЖКХ "Гурьевский водоканал"::3917501998::391701001</v>
          </cell>
          <cell r="AC122" t="str">
            <v>бн</v>
          </cell>
          <cell r="AD122">
            <v>36526</v>
          </cell>
          <cell r="AE122" t="str">
            <v>Городской округ город Калининград</v>
          </cell>
          <cell r="AF122">
            <v>0</v>
          </cell>
          <cell r="AG122">
            <v>0</v>
          </cell>
          <cell r="AI122" t="str">
            <v>да</v>
          </cell>
        </row>
        <row r="123">
          <cell r="AB123">
            <v>0</v>
          </cell>
          <cell r="AC123">
            <v>0</v>
          </cell>
          <cell r="AD123">
            <v>0</v>
          </cell>
          <cell r="AE123" t="str">
            <v>Городской округ город Калининград</v>
          </cell>
          <cell r="AF123">
            <v>0</v>
          </cell>
          <cell r="AG123">
            <v>0</v>
          </cell>
          <cell r="AI123" t="str">
            <v>нет</v>
          </cell>
        </row>
        <row r="124">
          <cell r="AB124" t="str">
            <v>МУП МО "Гвардейский городской округ" "Комсервис"::3916016614::391601001</v>
          </cell>
          <cell r="AC124" t="str">
            <v>бн</v>
          </cell>
          <cell r="AD124">
            <v>36526</v>
          </cell>
          <cell r="AE124" t="str">
            <v>Городской округ город Калининград</v>
          </cell>
          <cell r="AF124">
            <v>0</v>
          </cell>
          <cell r="AG124">
            <v>0</v>
          </cell>
          <cell r="AI124" t="str">
            <v>да</v>
          </cell>
        </row>
        <row r="125">
          <cell r="AB125">
            <v>0</v>
          </cell>
          <cell r="AC125">
            <v>0</v>
          </cell>
          <cell r="AD125">
            <v>0</v>
          </cell>
          <cell r="AE125" t="str">
            <v>Городской округ город Калининград</v>
          </cell>
          <cell r="AF125">
            <v>0</v>
          </cell>
          <cell r="AG125">
            <v>0</v>
          </cell>
          <cell r="AI125" t="str">
            <v>нет</v>
          </cell>
        </row>
        <row r="126">
          <cell r="AB126" t="str">
            <v>ФГБУ «ЦЖКУ» МО РФ::7729314745::784343001</v>
          </cell>
          <cell r="AC126" t="str">
            <v>бн</v>
          </cell>
          <cell r="AD126">
            <v>36526</v>
          </cell>
          <cell r="AE126" t="str">
            <v>Городской округ город Калининград</v>
          </cell>
          <cell r="AF126">
            <v>0</v>
          </cell>
          <cell r="AG126">
            <v>0</v>
          </cell>
          <cell r="AI126" t="str">
            <v>да</v>
          </cell>
        </row>
        <row r="127">
          <cell r="AB127">
            <v>0</v>
          </cell>
          <cell r="AC127">
            <v>0</v>
          </cell>
          <cell r="AD127">
            <v>0</v>
          </cell>
          <cell r="AE127" t="str">
            <v>Городской округ город Калининград</v>
          </cell>
          <cell r="AF127">
            <v>0</v>
          </cell>
          <cell r="AG127">
            <v>0</v>
          </cell>
          <cell r="AI127" t="str">
            <v>нет</v>
          </cell>
        </row>
        <row r="128">
          <cell r="AB128" t="str">
            <v>Добавить|REESTR_CONSUMER_ADD_RANGE_VO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</row>
      </sheetData>
      <sheetData sheetId="18"/>
      <sheetData sheetId="19">
        <row r="102">
          <cell r="BO102">
            <v>2947.36</v>
          </cell>
          <cell r="BW102">
            <v>2910.855</v>
          </cell>
          <cell r="CC102">
            <v>2943.7669999999998</v>
          </cell>
          <cell r="CJ102">
            <v>3058.86</v>
          </cell>
          <cell r="CP102">
            <v>2943.7669999999998</v>
          </cell>
        </row>
        <row r="103">
          <cell r="BO103">
            <v>2895.7730000000001</v>
          </cell>
          <cell r="BW103">
            <v>2910.855</v>
          </cell>
          <cell r="CC103">
            <v>2943.7669999999998</v>
          </cell>
          <cell r="CJ103">
            <v>3058.86</v>
          </cell>
          <cell r="CP103">
            <v>2943.7669999999998</v>
          </cell>
        </row>
        <row r="106">
          <cell r="BO106">
            <v>1951.44</v>
          </cell>
          <cell r="BW106">
            <v>1029.566</v>
          </cell>
          <cell r="CC106">
            <v>1280.47</v>
          </cell>
          <cell r="CJ106">
            <v>0</v>
          </cell>
          <cell r="CP106">
            <v>1280.47</v>
          </cell>
        </row>
        <row r="120">
          <cell r="BO120">
            <v>13502.480153668301</v>
          </cell>
          <cell r="BW120">
            <v>11734.086233000011</v>
          </cell>
          <cell r="CC120">
            <v>11550.335827000001</v>
          </cell>
          <cell r="CJ120">
            <v>11892.593999999999</v>
          </cell>
          <cell r="CP120">
            <v>11770.555999999988</v>
          </cell>
        </row>
        <row r="125">
          <cell r="BP125">
            <v>19135.208218000003</v>
          </cell>
          <cell r="BQ125">
            <v>18844.520217999998</v>
          </cell>
          <cell r="BX125">
            <v>18922.665883500002</v>
          </cell>
          <cell r="BY125">
            <v>18922.665883500002</v>
          </cell>
          <cell r="CD125">
            <v>19610.185000000001</v>
          </cell>
          <cell r="CE125">
            <v>19610.185999999998</v>
          </cell>
          <cell r="CK125">
            <v>14499.115000000002</v>
          </cell>
          <cell r="CL125">
            <v>14499.115000000002</v>
          </cell>
          <cell r="CQ125">
            <v>19984.077000000001</v>
          </cell>
          <cell r="CR125">
            <v>19984.076000000001</v>
          </cell>
        </row>
        <row r="126">
          <cell r="BO126">
            <v>0</v>
          </cell>
          <cell r="BW126">
            <v>32.343879999999999</v>
          </cell>
          <cell r="CC126">
            <v>0</v>
          </cell>
          <cell r="CJ126">
            <v>32.344000000000001</v>
          </cell>
          <cell r="CP126">
            <v>0</v>
          </cell>
        </row>
        <row r="132">
          <cell r="BO132">
            <v>1440.0119418593999</v>
          </cell>
          <cell r="BW132">
            <v>1460.205995</v>
          </cell>
          <cell r="CC132">
            <v>1352.1869999999999</v>
          </cell>
          <cell r="CJ132">
            <v>0</v>
          </cell>
          <cell r="CP132">
            <v>1378.732</v>
          </cell>
        </row>
        <row r="135">
          <cell r="BO135">
            <v>28911.0988043363</v>
          </cell>
          <cell r="BW135">
            <v>28472.929716999999</v>
          </cell>
          <cell r="CC135">
            <v>28803.263999999999</v>
          </cell>
          <cell r="CJ135">
            <v>28557.165000000001</v>
          </cell>
          <cell r="CP135">
            <v>29071.255000000001</v>
          </cell>
        </row>
        <row r="140">
          <cell r="BO140">
            <v>7628.6176898043004</v>
          </cell>
          <cell r="BW140">
            <v>7026.8501749999996</v>
          </cell>
          <cell r="CC140">
            <v>8616.232</v>
          </cell>
          <cell r="CJ140">
            <v>0</v>
          </cell>
          <cell r="CP140">
            <v>9069.4779999999992</v>
          </cell>
        </row>
        <row r="143">
          <cell r="BO143">
            <v>0</v>
          </cell>
          <cell r="BW143">
            <v>853.00199999999995</v>
          </cell>
          <cell r="CC143">
            <v>448.68799999999999</v>
          </cell>
          <cell r="CJ143">
            <v>408.721</v>
          </cell>
          <cell r="CP143">
            <v>448.68799999999999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92">
          <cell r="AW92">
            <v>6.3021027179772258E-3</v>
          </cell>
          <cell r="BC92">
            <v>2.2838930608693763E-3</v>
          </cell>
        </row>
        <row r="93">
          <cell r="BB93">
            <v>1117.9009999999998</v>
          </cell>
          <cell r="BC93">
            <v>659.24228599999992</v>
          </cell>
          <cell r="BF93">
            <v>1117.9009999999998</v>
          </cell>
          <cell r="BG93">
            <v>659.24228599999992</v>
          </cell>
          <cell r="BJ93">
            <v>1117.9009999999998</v>
          </cell>
          <cell r="BK93">
            <v>659.24228599999992</v>
          </cell>
          <cell r="BN93">
            <v>1117.9009999999998</v>
          </cell>
          <cell r="BO93">
            <v>659.24228599999992</v>
          </cell>
          <cell r="BR93">
            <v>1117.9009999999998</v>
          </cell>
          <cell r="BS93">
            <v>659.24228599999992</v>
          </cell>
          <cell r="BV93">
            <v>1117.9009999999998</v>
          </cell>
          <cell r="BW93">
            <v>659.24228599999992</v>
          </cell>
        </row>
        <row r="94">
          <cell r="BB94">
            <v>0</v>
          </cell>
          <cell r="BC94">
            <v>0</v>
          </cell>
          <cell r="BF94">
            <v>0</v>
          </cell>
          <cell r="BG94">
            <v>0</v>
          </cell>
          <cell r="BJ94">
            <v>0</v>
          </cell>
          <cell r="BK94">
            <v>0</v>
          </cell>
          <cell r="BN94">
            <v>0</v>
          </cell>
          <cell r="BO94">
            <v>0</v>
          </cell>
          <cell r="BR94">
            <v>0</v>
          </cell>
          <cell r="BS94">
            <v>0</v>
          </cell>
          <cell r="BV94">
            <v>0</v>
          </cell>
          <cell r="BW94">
            <v>0</v>
          </cell>
        </row>
        <row r="95">
          <cell r="BB95">
            <v>1.7410000000000001</v>
          </cell>
          <cell r="BC95">
            <v>0</v>
          </cell>
          <cell r="BF95">
            <v>1.7410000000000001</v>
          </cell>
          <cell r="BG95">
            <v>0</v>
          </cell>
          <cell r="BJ95">
            <v>1.7410000000000001</v>
          </cell>
          <cell r="BK95">
            <v>0</v>
          </cell>
          <cell r="BN95">
            <v>1.7410000000000001</v>
          </cell>
          <cell r="BO95">
            <v>0</v>
          </cell>
          <cell r="BR95">
            <v>1.7410000000000001</v>
          </cell>
          <cell r="BS95">
            <v>0</v>
          </cell>
          <cell r="BV95">
            <v>1.7410000000000001</v>
          </cell>
          <cell r="BW95">
            <v>0</v>
          </cell>
        </row>
        <row r="96">
          <cell r="BB96">
            <v>1.86</v>
          </cell>
          <cell r="BC96">
            <v>0.5766</v>
          </cell>
          <cell r="BF96">
            <v>1.86</v>
          </cell>
          <cell r="BG96">
            <v>0.5766</v>
          </cell>
          <cell r="BJ96">
            <v>1.86</v>
          </cell>
          <cell r="BK96">
            <v>0.5766</v>
          </cell>
          <cell r="BN96">
            <v>1.86</v>
          </cell>
          <cell r="BO96">
            <v>0.5766</v>
          </cell>
          <cell r="BR96">
            <v>1.86</v>
          </cell>
          <cell r="BS96">
            <v>0.5766</v>
          </cell>
          <cell r="BV96">
            <v>1.86</v>
          </cell>
          <cell r="BW96">
            <v>0.5766</v>
          </cell>
        </row>
        <row r="97">
          <cell r="BB97">
            <v>0.05</v>
          </cell>
          <cell r="BC97">
            <v>1.8600000000000002E-2</v>
          </cell>
          <cell r="BF97">
            <v>0.05</v>
          </cell>
          <cell r="BG97">
            <v>1.8600000000000002E-2</v>
          </cell>
          <cell r="BJ97">
            <v>0.05</v>
          </cell>
          <cell r="BK97">
            <v>1.8600000000000002E-2</v>
          </cell>
          <cell r="BN97">
            <v>0.05</v>
          </cell>
          <cell r="BO97">
            <v>1.8600000000000002E-2</v>
          </cell>
          <cell r="BR97">
            <v>0.05</v>
          </cell>
          <cell r="BS97">
            <v>1.8600000000000002E-2</v>
          </cell>
          <cell r="BV97">
            <v>0.05</v>
          </cell>
          <cell r="BW97">
            <v>1.8600000000000002E-2</v>
          </cell>
        </row>
        <row r="98">
          <cell r="BB98">
            <v>2.306</v>
          </cell>
          <cell r="BC98">
            <v>0</v>
          </cell>
          <cell r="BF98">
            <v>2.306</v>
          </cell>
          <cell r="BG98">
            <v>0</v>
          </cell>
          <cell r="BJ98">
            <v>2.306</v>
          </cell>
          <cell r="BK98">
            <v>0</v>
          </cell>
          <cell r="BN98">
            <v>2.306</v>
          </cell>
          <cell r="BO98">
            <v>0</v>
          </cell>
          <cell r="BR98">
            <v>2.306</v>
          </cell>
          <cell r="BS98">
            <v>0</v>
          </cell>
          <cell r="BV98">
            <v>2.306</v>
          </cell>
          <cell r="BW98">
            <v>0</v>
          </cell>
        </row>
        <row r="99">
          <cell r="BB99">
            <v>5.6390000000000002</v>
          </cell>
          <cell r="BC99">
            <v>1.7480900000000001</v>
          </cell>
          <cell r="BF99">
            <v>5.6390000000000002</v>
          </cell>
          <cell r="BG99">
            <v>1.7480900000000001</v>
          </cell>
          <cell r="BJ99">
            <v>5.6390000000000002</v>
          </cell>
          <cell r="BK99">
            <v>1.7480900000000001</v>
          </cell>
          <cell r="BN99">
            <v>5.6390000000000002</v>
          </cell>
          <cell r="BO99">
            <v>1.7480900000000001</v>
          </cell>
          <cell r="BR99">
            <v>5.6390000000000002</v>
          </cell>
          <cell r="BS99">
            <v>1.7480900000000001</v>
          </cell>
          <cell r="BV99">
            <v>5.6390000000000002</v>
          </cell>
          <cell r="BW99">
            <v>1.7480900000000001</v>
          </cell>
        </row>
        <row r="100">
          <cell r="BB100">
            <v>1.6020000000000001</v>
          </cell>
          <cell r="BC100">
            <v>0.59594400000000003</v>
          </cell>
          <cell r="BF100">
            <v>1.6020000000000001</v>
          </cell>
          <cell r="BG100">
            <v>0.59594400000000003</v>
          </cell>
          <cell r="BJ100">
            <v>1.6020000000000001</v>
          </cell>
          <cell r="BK100">
            <v>0.59594400000000003</v>
          </cell>
          <cell r="BN100">
            <v>1.6020000000000001</v>
          </cell>
          <cell r="BO100">
            <v>0.59594400000000003</v>
          </cell>
          <cell r="BR100">
            <v>1.6020000000000001</v>
          </cell>
          <cell r="BS100">
            <v>0.59594400000000003</v>
          </cell>
          <cell r="BV100">
            <v>1.6020000000000001</v>
          </cell>
          <cell r="BW100">
            <v>0.59594400000000003</v>
          </cell>
        </row>
        <row r="101">
          <cell r="BB101">
            <v>1.3740000000000001</v>
          </cell>
          <cell r="BC101">
            <v>0</v>
          </cell>
          <cell r="BF101">
            <v>1.3740000000000001</v>
          </cell>
          <cell r="BG101">
            <v>0</v>
          </cell>
          <cell r="BJ101">
            <v>1.3740000000000001</v>
          </cell>
          <cell r="BK101">
            <v>0</v>
          </cell>
          <cell r="BN101">
            <v>1.3740000000000001</v>
          </cell>
          <cell r="BO101">
            <v>0</v>
          </cell>
          <cell r="BR101">
            <v>1.3740000000000001</v>
          </cell>
          <cell r="BS101">
            <v>0</v>
          </cell>
          <cell r="BV101">
            <v>1.3740000000000001</v>
          </cell>
          <cell r="BW101">
            <v>0</v>
          </cell>
        </row>
        <row r="102">
          <cell r="BB102">
            <v>2.8580000000000001</v>
          </cell>
          <cell r="BC102">
            <v>0.88597999999999999</v>
          </cell>
          <cell r="BF102">
            <v>2.8580000000000001</v>
          </cell>
          <cell r="BG102">
            <v>0.88597999999999999</v>
          </cell>
          <cell r="BJ102">
            <v>2.8580000000000001</v>
          </cell>
          <cell r="BK102">
            <v>0.88597999999999999</v>
          </cell>
          <cell r="BN102">
            <v>2.8580000000000001</v>
          </cell>
          <cell r="BO102">
            <v>0.88597999999999999</v>
          </cell>
          <cell r="BR102">
            <v>2.8580000000000001</v>
          </cell>
          <cell r="BS102">
            <v>0.88597999999999999</v>
          </cell>
          <cell r="BV102">
            <v>2.8580000000000001</v>
          </cell>
          <cell r="BW102">
            <v>0.88597999999999999</v>
          </cell>
        </row>
        <row r="103">
          <cell r="BB103">
            <v>6.6660000000000004</v>
          </cell>
          <cell r="BC103">
            <v>2.479752</v>
          </cell>
          <cell r="BF103">
            <v>6.6660000000000004</v>
          </cell>
          <cell r="BG103">
            <v>2.479752</v>
          </cell>
          <cell r="BJ103">
            <v>6.6660000000000004</v>
          </cell>
          <cell r="BK103">
            <v>2.479752</v>
          </cell>
          <cell r="BN103">
            <v>6.6660000000000004</v>
          </cell>
          <cell r="BO103">
            <v>2.479752</v>
          </cell>
          <cell r="BR103">
            <v>6.6660000000000004</v>
          </cell>
          <cell r="BS103">
            <v>2.479752</v>
          </cell>
          <cell r="BV103">
            <v>6.6660000000000004</v>
          </cell>
          <cell r="BW103">
            <v>2.479752</v>
          </cell>
        </row>
        <row r="104">
          <cell r="BB104">
            <v>0.89400000000000002</v>
          </cell>
          <cell r="BC104">
            <v>0</v>
          </cell>
          <cell r="BF104">
            <v>0.89400000000000002</v>
          </cell>
          <cell r="BG104">
            <v>0</v>
          </cell>
          <cell r="BJ104">
            <v>0.89400000000000002</v>
          </cell>
          <cell r="BK104">
            <v>0</v>
          </cell>
          <cell r="BN104">
            <v>0.89400000000000002</v>
          </cell>
          <cell r="BO104">
            <v>0</v>
          </cell>
          <cell r="BR104">
            <v>0.89400000000000002</v>
          </cell>
          <cell r="BS104">
            <v>0</v>
          </cell>
          <cell r="BV104">
            <v>0.89400000000000002</v>
          </cell>
          <cell r="BW104">
            <v>0</v>
          </cell>
        </row>
        <row r="105">
          <cell r="BB105">
            <v>2.1629999999999998</v>
          </cell>
          <cell r="BC105">
            <v>0.67052999999999996</v>
          </cell>
          <cell r="BF105">
            <v>2.1629999999999998</v>
          </cell>
          <cell r="BG105">
            <v>0.67052999999999996</v>
          </cell>
          <cell r="BJ105">
            <v>2.1629999999999998</v>
          </cell>
          <cell r="BK105">
            <v>0.67052999999999996</v>
          </cell>
          <cell r="BN105">
            <v>2.1629999999999998</v>
          </cell>
          <cell r="BO105">
            <v>0.67052999999999996</v>
          </cell>
          <cell r="BR105">
            <v>2.1629999999999998</v>
          </cell>
          <cell r="BS105">
            <v>0.67052999999999996</v>
          </cell>
          <cell r="BV105">
            <v>2.1629999999999998</v>
          </cell>
          <cell r="BW105">
            <v>0.67052999999999996</v>
          </cell>
        </row>
        <row r="106">
          <cell r="BB106">
            <v>11.355</v>
          </cell>
          <cell r="BC106">
            <v>4.2240599999999997</v>
          </cell>
          <cell r="BF106">
            <v>11.355</v>
          </cell>
          <cell r="BG106">
            <v>4.2240599999999997</v>
          </cell>
          <cell r="BJ106">
            <v>11.355</v>
          </cell>
          <cell r="BK106">
            <v>4.2240599999999997</v>
          </cell>
          <cell r="BN106">
            <v>11.355</v>
          </cell>
          <cell r="BO106">
            <v>4.2240599999999997</v>
          </cell>
          <cell r="BR106">
            <v>11.355</v>
          </cell>
          <cell r="BS106">
            <v>4.2240599999999997</v>
          </cell>
          <cell r="BV106">
            <v>11.355</v>
          </cell>
          <cell r="BW106">
            <v>4.2240599999999997</v>
          </cell>
        </row>
        <row r="107">
          <cell r="BB107">
            <v>0.28499999999999998</v>
          </cell>
          <cell r="BC107">
            <v>0</v>
          </cell>
          <cell r="BF107">
            <v>0.28499999999999998</v>
          </cell>
          <cell r="BG107">
            <v>0</v>
          </cell>
          <cell r="BJ107">
            <v>0.28499999999999998</v>
          </cell>
          <cell r="BK107">
            <v>0</v>
          </cell>
          <cell r="BN107">
            <v>0.28499999999999998</v>
          </cell>
          <cell r="BO107">
            <v>0</v>
          </cell>
          <cell r="BR107">
            <v>0.28499999999999998</v>
          </cell>
          <cell r="BS107">
            <v>0</v>
          </cell>
          <cell r="BV107">
            <v>0.28499999999999998</v>
          </cell>
          <cell r="BW107">
            <v>0</v>
          </cell>
        </row>
        <row r="108">
          <cell r="BB108">
            <v>9.7449999999999992</v>
          </cell>
          <cell r="BC108">
            <v>3.0209499999999996</v>
          </cell>
          <cell r="BF108">
            <v>9.7449999999999992</v>
          </cell>
          <cell r="BG108">
            <v>3.0209499999999996</v>
          </cell>
          <cell r="BJ108">
            <v>9.7449999999999992</v>
          </cell>
          <cell r="BK108">
            <v>3.0209499999999996</v>
          </cell>
          <cell r="BN108">
            <v>9.7449999999999992</v>
          </cell>
          <cell r="BO108">
            <v>3.0209499999999996</v>
          </cell>
          <cell r="BR108">
            <v>9.7449999999999992</v>
          </cell>
          <cell r="BS108">
            <v>3.0209499999999996</v>
          </cell>
          <cell r="BV108">
            <v>9.7449999999999992</v>
          </cell>
          <cell r="BW108">
            <v>3.0209499999999996</v>
          </cell>
        </row>
        <row r="109">
          <cell r="BB109">
            <v>14.457000000000001</v>
          </cell>
          <cell r="BC109">
            <v>5.3780040000000007</v>
          </cell>
          <cell r="BF109">
            <v>14.457000000000001</v>
          </cell>
          <cell r="BG109">
            <v>5.3780040000000007</v>
          </cell>
          <cell r="BJ109">
            <v>14.457000000000001</v>
          </cell>
          <cell r="BK109">
            <v>5.3780040000000007</v>
          </cell>
          <cell r="BN109">
            <v>14.457000000000001</v>
          </cell>
          <cell r="BO109">
            <v>5.3780040000000007</v>
          </cell>
          <cell r="BR109">
            <v>14.457000000000001</v>
          </cell>
          <cell r="BS109">
            <v>5.3780040000000007</v>
          </cell>
          <cell r="BV109">
            <v>14.457000000000001</v>
          </cell>
          <cell r="BW109">
            <v>5.3780040000000007</v>
          </cell>
        </row>
        <row r="110">
          <cell r="BB110">
            <v>1.7689999999999999</v>
          </cell>
          <cell r="BC110">
            <v>0.52008599999999994</v>
          </cell>
          <cell r="BF110">
            <v>1.7689999999999999</v>
          </cell>
          <cell r="BG110">
            <v>0.52008599999999994</v>
          </cell>
          <cell r="BJ110">
            <v>1.7689999999999999</v>
          </cell>
          <cell r="BK110">
            <v>0.52008599999999994</v>
          </cell>
          <cell r="BN110">
            <v>1.7689999999999999</v>
          </cell>
          <cell r="BO110">
            <v>0.52008599999999994</v>
          </cell>
          <cell r="BR110">
            <v>1.7689999999999999</v>
          </cell>
          <cell r="BS110">
            <v>0.52008599999999994</v>
          </cell>
          <cell r="BV110">
            <v>1.7689999999999999</v>
          </cell>
          <cell r="BW110">
            <v>0.52008599999999994</v>
          </cell>
        </row>
        <row r="111">
          <cell r="BB111">
            <v>0.33400000000000002</v>
          </cell>
          <cell r="BC111">
            <v>0.10354000000000001</v>
          </cell>
          <cell r="BF111">
            <v>0.33400000000000002</v>
          </cell>
          <cell r="BG111">
            <v>0.10354000000000001</v>
          </cell>
          <cell r="BJ111">
            <v>0.33400000000000002</v>
          </cell>
          <cell r="BK111">
            <v>0.10354000000000001</v>
          </cell>
          <cell r="BN111">
            <v>0.33400000000000002</v>
          </cell>
          <cell r="BO111">
            <v>0.10354000000000001</v>
          </cell>
          <cell r="BR111">
            <v>0.33400000000000002</v>
          </cell>
          <cell r="BS111">
            <v>0.10354000000000001</v>
          </cell>
          <cell r="BV111">
            <v>0.33400000000000002</v>
          </cell>
          <cell r="BW111">
            <v>0.10354000000000001</v>
          </cell>
        </row>
        <row r="112">
          <cell r="BB112">
            <v>12.318</v>
          </cell>
          <cell r="BC112">
            <v>4.5822959999999995</v>
          </cell>
          <cell r="BF112">
            <v>12.318</v>
          </cell>
          <cell r="BG112">
            <v>4.5822959999999995</v>
          </cell>
          <cell r="BJ112">
            <v>12.318</v>
          </cell>
          <cell r="BK112">
            <v>4.5822959999999995</v>
          </cell>
          <cell r="BN112">
            <v>12.318</v>
          </cell>
          <cell r="BO112">
            <v>4.5822959999999995</v>
          </cell>
          <cell r="BR112">
            <v>12.318</v>
          </cell>
          <cell r="BS112">
            <v>4.5822959999999995</v>
          </cell>
          <cell r="BV112">
            <v>12.318</v>
          </cell>
          <cell r="BW112">
            <v>4.5822959999999995</v>
          </cell>
        </row>
        <row r="113">
          <cell r="BB113">
            <v>4.2720000000000002</v>
          </cell>
          <cell r="BC113">
            <v>1.255968</v>
          </cell>
          <cell r="BF113">
            <v>4.2720000000000002</v>
          </cell>
          <cell r="BG113">
            <v>1.255968</v>
          </cell>
          <cell r="BJ113">
            <v>4.2720000000000002</v>
          </cell>
          <cell r="BK113">
            <v>1.255968</v>
          </cell>
          <cell r="BN113">
            <v>4.2720000000000002</v>
          </cell>
          <cell r="BO113">
            <v>1.255968</v>
          </cell>
          <cell r="BR113">
            <v>4.2720000000000002</v>
          </cell>
          <cell r="BS113">
            <v>1.255968</v>
          </cell>
          <cell r="BV113">
            <v>4.2720000000000002</v>
          </cell>
          <cell r="BW113">
            <v>1.255968</v>
          </cell>
        </row>
        <row r="114">
          <cell r="BB114">
            <v>0.79100000000000004</v>
          </cell>
          <cell r="BC114">
            <v>0.24521000000000001</v>
          </cell>
          <cell r="BF114">
            <v>0.79100000000000004</v>
          </cell>
          <cell r="BG114">
            <v>0.24521000000000001</v>
          </cell>
          <cell r="BJ114">
            <v>0.79100000000000004</v>
          </cell>
          <cell r="BK114">
            <v>0.24521000000000001</v>
          </cell>
          <cell r="BN114">
            <v>0.79100000000000004</v>
          </cell>
          <cell r="BO114">
            <v>0.24521000000000001</v>
          </cell>
          <cell r="BR114">
            <v>0.79100000000000004</v>
          </cell>
          <cell r="BS114">
            <v>0.24521000000000001</v>
          </cell>
          <cell r="BV114">
            <v>0.79100000000000004</v>
          </cell>
          <cell r="BW114">
            <v>0.24521000000000001</v>
          </cell>
        </row>
        <row r="115">
          <cell r="BB115">
            <v>8.6020000000000003</v>
          </cell>
          <cell r="BC115">
            <v>3.1999439999999999</v>
          </cell>
          <cell r="BF115">
            <v>8.6020000000000003</v>
          </cell>
          <cell r="BG115">
            <v>3.1999439999999999</v>
          </cell>
          <cell r="BJ115">
            <v>8.6020000000000003</v>
          </cell>
          <cell r="BK115">
            <v>3.1999439999999999</v>
          </cell>
          <cell r="BN115">
            <v>8.6020000000000003</v>
          </cell>
          <cell r="BO115">
            <v>3.1999439999999999</v>
          </cell>
          <cell r="BR115">
            <v>8.6020000000000003</v>
          </cell>
          <cell r="BS115">
            <v>3.1999439999999999</v>
          </cell>
          <cell r="BV115">
            <v>8.6020000000000003</v>
          </cell>
          <cell r="BW115">
            <v>3.1999439999999999</v>
          </cell>
        </row>
        <row r="116">
          <cell r="BB116">
            <v>0.372</v>
          </cell>
          <cell r="BC116">
            <v>0.10936799999999999</v>
          </cell>
          <cell r="BF116">
            <v>0.372</v>
          </cell>
          <cell r="BG116">
            <v>0.10936799999999999</v>
          </cell>
          <cell r="BJ116">
            <v>0.372</v>
          </cell>
          <cell r="BK116">
            <v>0.10936799999999999</v>
          </cell>
          <cell r="BN116">
            <v>0.372</v>
          </cell>
          <cell r="BO116">
            <v>0.10936799999999999</v>
          </cell>
          <cell r="BR116">
            <v>0.372</v>
          </cell>
          <cell r="BS116">
            <v>0.10936799999999999</v>
          </cell>
          <cell r="BV116">
            <v>0.372</v>
          </cell>
          <cell r="BW116">
            <v>0.10936799999999999</v>
          </cell>
        </row>
        <row r="117">
          <cell r="BB117">
            <v>4.2949999999999999</v>
          </cell>
          <cell r="BC117">
            <v>1.33145</v>
          </cell>
          <cell r="BF117">
            <v>4.2949999999999999</v>
          </cell>
          <cell r="BG117">
            <v>1.33145</v>
          </cell>
          <cell r="BJ117">
            <v>4.2949999999999999</v>
          </cell>
          <cell r="BK117">
            <v>1.33145</v>
          </cell>
          <cell r="BN117">
            <v>4.2949999999999999</v>
          </cell>
          <cell r="BO117">
            <v>1.33145</v>
          </cell>
          <cell r="BR117">
            <v>4.2949999999999999</v>
          </cell>
          <cell r="BS117">
            <v>1.33145</v>
          </cell>
          <cell r="BV117">
            <v>4.2949999999999999</v>
          </cell>
          <cell r="BW117">
            <v>1.33145</v>
          </cell>
        </row>
        <row r="118">
          <cell r="BB118">
            <v>4.3979999999999997</v>
          </cell>
          <cell r="BC118">
            <v>1.636056</v>
          </cell>
          <cell r="BF118">
            <v>4.3979999999999997</v>
          </cell>
          <cell r="BG118">
            <v>1.636056</v>
          </cell>
          <cell r="BJ118">
            <v>4.3979999999999997</v>
          </cell>
          <cell r="BK118">
            <v>1.636056</v>
          </cell>
          <cell r="BN118">
            <v>4.3979999999999997</v>
          </cell>
          <cell r="BO118">
            <v>1.636056</v>
          </cell>
          <cell r="BR118">
            <v>4.3979999999999997</v>
          </cell>
          <cell r="BS118">
            <v>1.636056</v>
          </cell>
          <cell r="BV118">
            <v>4.3979999999999997</v>
          </cell>
          <cell r="BW118">
            <v>1.636056</v>
          </cell>
        </row>
        <row r="119">
          <cell r="BB119">
            <v>32.881</v>
          </cell>
          <cell r="BC119">
            <v>9.667014</v>
          </cell>
          <cell r="BF119">
            <v>32.881</v>
          </cell>
          <cell r="BG119">
            <v>9.667014</v>
          </cell>
          <cell r="BJ119">
            <v>32.881</v>
          </cell>
          <cell r="BK119">
            <v>9.667014</v>
          </cell>
          <cell r="BN119">
            <v>32.881</v>
          </cell>
          <cell r="BO119">
            <v>9.667014</v>
          </cell>
          <cell r="BR119">
            <v>32.881</v>
          </cell>
          <cell r="BS119">
            <v>9.667014</v>
          </cell>
          <cell r="BV119">
            <v>32.881</v>
          </cell>
          <cell r="BW119">
            <v>9.667014</v>
          </cell>
        </row>
        <row r="120">
          <cell r="BB120">
            <v>2.7E-2</v>
          </cell>
          <cell r="BC120">
            <v>8.3700000000000007E-3</v>
          </cell>
          <cell r="BF120">
            <v>2.7E-2</v>
          </cell>
          <cell r="BG120">
            <v>8.3700000000000007E-3</v>
          </cell>
          <cell r="BJ120">
            <v>2.7E-2</v>
          </cell>
          <cell r="BK120">
            <v>8.3700000000000007E-3</v>
          </cell>
          <cell r="BN120">
            <v>2.7E-2</v>
          </cell>
          <cell r="BO120">
            <v>8.3700000000000007E-3</v>
          </cell>
          <cell r="BR120">
            <v>2.7E-2</v>
          </cell>
          <cell r="BS120">
            <v>8.3700000000000007E-3</v>
          </cell>
          <cell r="BV120">
            <v>2.7E-2</v>
          </cell>
          <cell r="BW120">
            <v>8.3700000000000007E-3</v>
          </cell>
        </row>
        <row r="121">
          <cell r="BB121">
            <v>8.3079999999999998</v>
          </cell>
          <cell r="BC121">
            <v>3.090576</v>
          </cell>
          <cell r="BF121">
            <v>8.3079999999999998</v>
          </cell>
          <cell r="BG121">
            <v>3.090576</v>
          </cell>
          <cell r="BJ121">
            <v>8.3079999999999998</v>
          </cell>
          <cell r="BK121">
            <v>3.090576</v>
          </cell>
          <cell r="BN121">
            <v>8.3079999999999998</v>
          </cell>
          <cell r="BO121">
            <v>3.090576</v>
          </cell>
          <cell r="BR121">
            <v>8.3079999999999998</v>
          </cell>
          <cell r="BS121">
            <v>3.090576</v>
          </cell>
          <cell r="BV121">
            <v>8.3079999999999998</v>
          </cell>
          <cell r="BW121">
            <v>3.090576</v>
          </cell>
        </row>
        <row r="122">
          <cell r="BB122">
            <v>22.847999999999999</v>
          </cell>
          <cell r="BC122">
            <v>7.0828799999999994</v>
          </cell>
          <cell r="BF122">
            <v>22.847999999999999</v>
          </cell>
          <cell r="BG122">
            <v>7.0828799999999994</v>
          </cell>
          <cell r="BJ122">
            <v>22.847999999999999</v>
          </cell>
          <cell r="BK122">
            <v>7.0828799999999994</v>
          </cell>
          <cell r="BN122">
            <v>22.847999999999999</v>
          </cell>
          <cell r="BO122">
            <v>7.0828799999999994</v>
          </cell>
          <cell r="BR122">
            <v>22.847999999999999</v>
          </cell>
          <cell r="BS122">
            <v>7.0828799999999994</v>
          </cell>
          <cell r="BV122">
            <v>22.847999999999999</v>
          </cell>
          <cell r="BW122">
            <v>7.0828799999999994</v>
          </cell>
        </row>
        <row r="123">
          <cell r="BB123">
            <v>94.977000000000004</v>
          </cell>
          <cell r="BC123">
            <v>35.331444000000005</v>
          </cell>
          <cell r="BF123">
            <v>94.977000000000004</v>
          </cell>
          <cell r="BG123">
            <v>35.331444000000005</v>
          </cell>
          <cell r="BJ123">
            <v>94.977000000000004</v>
          </cell>
          <cell r="BK123">
            <v>35.331444000000005</v>
          </cell>
          <cell r="BN123">
            <v>94.977000000000004</v>
          </cell>
          <cell r="BO123">
            <v>35.331444000000005</v>
          </cell>
          <cell r="BR123">
            <v>94.977000000000004</v>
          </cell>
          <cell r="BS123">
            <v>35.331444000000005</v>
          </cell>
          <cell r="BV123">
            <v>94.977000000000004</v>
          </cell>
          <cell r="BW123">
            <v>35.331444000000005</v>
          </cell>
        </row>
        <row r="124">
          <cell r="BB124">
            <v>162.91499999999999</v>
          </cell>
          <cell r="BC124">
            <v>47.897009999999995</v>
          </cell>
          <cell r="BF124">
            <v>162.91499999999999</v>
          </cell>
          <cell r="BG124">
            <v>47.897009999999995</v>
          </cell>
          <cell r="BJ124">
            <v>162.91499999999999</v>
          </cell>
          <cell r="BK124">
            <v>47.897009999999995</v>
          </cell>
          <cell r="BN124">
            <v>162.91499999999999</v>
          </cell>
          <cell r="BO124">
            <v>47.897009999999995</v>
          </cell>
          <cell r="BR124">
            <v>162.91499999999999</v>
          </cell>
          <cell r="BS124">
            <v>47.897009999999995</v>
          </cell>
          <cell r="BV124">
            <v>162.91499999999999</v>
          </cell>
          <cell r="BW124">
            <v>47.897009999999995</v>
          </cell>
        </row>
        <row r="125">
          <cell r="BB125">
            <v>0.14599999999999999</v>
          </cell>
          <cell r="BC125">
            <v>0</v>
          </cell>
          <cell r="BF125">
            <v>0.14599999999999999</v>
          </cell>
          <cell r="BG125">
            <v>0</v>
          </cell>
          <cell r="BJ125">
            <v>0.14599999999999999</v>
          </cell>
          <cell r="BK125">
            <v>0</v>
          </cell>
          <cell r="BN125">
            <v>0.14599999999999999</v>
          </cell>
          <cell r="BO125">
            <v>0</v>
          </cell>
          <cell r="BR125">
            <v>0.14599999999999999</v>
          </cell>
          <cell r="BS125">
            <v>0</v>
          </cell>
          <cell r="BV125">
            <v>0.14599999999999999</v>
          </cell>
          <cell r="BW125">
            <v>0</v>
          </cell>
        </row>
        <row r="126">
          <cell r="BB126">
            <v>4.8250000000000002</v>
          </cell>
          <cell r="BC126">
            <v>1.8721000000000001</v>
          </cell>
          <cell r="BF126">
            <v>4.8250000000000002</v>
          </cell>
          <cell r="BG126">
            <v>1.8721000000000001</v>
          </cell>
          <cell r="BJ126">
            <v>4.8250000000000002</v>
          </cell>
          <cell r="BK126">
            <v>1.8721000000000001</v>
          </cell>
          <cell r="BN126">
            <v>4.8250000000000002</v>
          </cell>
          <cell r="BO126">
            <v>1.8721000000000001</v>
          </cell>
          <cell r="BR126">
            <v>4.8250000000000002</v>
          </cell>
          <cell r="BS126">
            <v>1.8721000000000001</v>
          </cell>
          <cell r="BV126">
            <v>4.8250000000000002</v>
          </cell>
          <cell r="BW126">
            <v>1.8721000000000001</v>
          </cell>
        </row>
        <row r="127">
          <cell r="BB127">
            <v>0.41899999999999998</v>
          </cell>
          <cell r="BC127">
            <v>0.16257199999999999</v>
          </cell>
          <cell r="BF127">
            <v>0.41899999999999998</v>
          </cell>
          <cell r="BG127">
            <v>0.16257199999999999</v>
          </cell>
          <cell r="BJ127">
            <v>0.41899999999999998</v>
          </cell>
          <cell r="BK127">
            <v>0.16257199999999999</v>
          </cell>
          <cell r="BN127">
            <v>0.41899999999999998</v>
          </cell>
          <cell r="BO127">
            <v>0.16257199999999999</v>
          </cell>
          <cell r="BR127">
            <v>0.41899999999999998</v>
          </cell>
          <cell r="BS127">
            <v>0.16257199999999999</v>
          </cell>
          <cell r="BV127">
            <v>0.41899999999999998</v>
          </cell>
          <cell r="BW127">
            <v>0.16257199999999999</v>
          </cell>
        </row>
        <row r="128">
          <cell r="BB128">
            <v>53.372</v>
          </cell>
          <cell r="BC128">
            <v>16.812180000000001</v>
          </cell>
          <cell r="BF128">
            <v>53.372</v>
          </cell>
          <cell r="BG128">
            <v>16.812180000000001</v>
          </cell>
          <cell r="BJ128">
            <v>53.372</v>
          </cell>
          <cell r="BK128">
            <v>16.812180000000001</v>
          </cell>
          <cell r="BN128">
            <v>53.372</v>
          </cell>
          <cell r="BO128">
            <v>16.812180000000001</v>
          </cell>
          <cell r="BR128">
            <v>53.372</v>
          </cell>
          <cell r="BS128">
            <v>16.812180000000001</v>
          </cell>
          <cell r="BV128">
            <v>53.372</v>
          </cell>
          <cell r="BW128">
            <v>16.812180000000001</v>
          </cell>
        </row>
        <row r="129">
          <cell r="BB129">
            <v>0.51</v>
          </cell>
          <cell r="BC129">
            <v>0.17340000000000003</v>
          </cell>
          <cell r="BF129">
            <v>0.51</v>
          </cell>
          <cell r="BG129">
            <v>0.17340000000000003</v>
          </cell>
          <cell r="BJ129">
            <v>0.51</v>
          </cell>
          <cell r="BK129">
            <v>0.17340000000000003</v>
          </cell>
          <cell r="BN129">
            <v>0.51</v>
          </cell>
          <cell r="BO129">
            <v>0.17340000000000003</v>
          </cell>
          <cell r="BR129">
            <v>0.51</v>
          </cell>
          <cell r="BS129">
            <v>0.17340000000000003</v>
          </cell>
          <cell r="BV129">
            <v>0.51</v>
          </cell>
          <cell r="BW129">
            <v>0.17340000000000003</v>
          </cell>
        </row>
        <row r="130">
          <cell r="BB130">
            <v>41.473999999999997</v>
          </cell>
          <cell r="BC130">
            <v>17.419079999999997</v>
          </cell>
          <cell r="BF130">
            <v>41.473999999999997</v>
          </cell>
          <cell r="BG130">
            <v>17.419079999999997</v>
          </cell>
          <cell r="BJ130">
            <v>41.473999999999997</v>
          </cell>
          <cell r="BK130">
            <v>17.419079999999997</v>
          </cell>
          <cell r="BN130">
            <v>41.473999999999997</v>
          </cell>
          <cell r="BO130">
            <v>17.419079999999997</v>
          </cell>
          <cell r="BR130">
            <v>41.473999999999997</v>
          </cell>
          <cell r="BS130">
            <v>17.419079999999997</v>
          </cell>
          <cell r="BV130">
            <v>41.473999999999997</v>
          </cell>
          <cell r="BW130">
            <v>17.419079999999997</v>
          </cell>
        </row>
        <row r="131">
          <cell r="BB131">
            <v>89.671000000000006</v>
          </cell>
          <cell r="BC131">
            <v>32.012546999999998</v>
          </cell>
          <cell r="BF131">
            <v>89.671000000000006</v>
          </cell>
          <cell r="BG131">
            <v>32.012546999999998</v>
          </cell>
          <cell r="BJ131">
            <v>89.671000000000006</v>
          </cell>
          <cell r="BK131">
            <v>32.012546999999998</v>
          </cell>
          <cell r="BN131">
            <v>89.671000000000006</v>
          </cell>
          <cell r="BO131">
            <v>32.012546999999998</v>
          </cell>
          <cell r="BR131">
            <v>89.671000000000006</v>
          </cell>
          <cell r="BS131">
            <v>32.012546999999998</v>
          </cell>
          <cell r="BV131">
            <v>89.671000000000006</v>
          </cell>
          <cell r="BW131">
            <v>32.012546999999998</v>
          </cell>
        </row>
        <row r="132">
          <cell r="BB132">
            <v>2.964</v>
          </cell>
          <cell r="BC132">
            <v>0.99294000000000004</v>
          </cell>
          <cell r="BF132">
            <v>2.964</v>
          </cell>
          <cell r="BG132">
            <v>0.99294000000000004</v>
          </cell>
          <cell r="BJ132">
            <v>2.964</v>
          </cell>
          <cell r="BK132">
            <v>0.99294000000000004</v>
          </cell>
          <cell r="BN132">
            <v>2.964</v>
          </cell>
          <cell r="BO132">
            <v>0.99294000000000004</v>
          </cell>
          <cell r="BR132">
            <v>2.964</v>
          </cell>
          <cell r="BS132">
            <v>0.99294000000000004</v>
          </cell>
          <cell r="BV132">
            <v>2.964</v>
          </cell>
          <cell r="BW132">
            <v>0.99294000000000004</v>
          </cell>
        </row>
        <row r="133">
          <cell r="BB133">
            <v>6.7069999999999999</v>
          </cell>
          <cell r="BC133">
            <v>3.1455829999999998</v>
          </cell>
          <cell r="BF133">
            <v>6.7069999999999999</v>
          </cell>
          <cell r="BG133">
            <v>3.1455829999999998</v>
          </cell>
          <cell r="BJ133">
            <v>6.7069999999999999</v>
          </cell>
          <cell r="BK133">
            <v>3.1455829999999998</v>
          </cell>
          <cell r="BN133">
            <v>6.7069999999999999</v>
          </cell>
          <cell r="BO133">
            <v>3.1455829999999998</v>
          </cell>
          <cell r="BR133">
            <v>6.7069999999999999</v>
          </cell>
          <cell r="BS133">
            <v>3.1455829999999998</v>
          </cell>
          <cell r="BV133">
            <v>6.7069999999999999</v>
          </cell>
          <cell r="BW133">
            <v>3.1455829999999998</v>
          </cell>
        </row>
        <row r="134">
          <cell r="BB134">
            <v>45.841999999999999</v>
          </cell>
          <cell r="BC134">
            <v>21.499897999999998</v>
          </cell>
          <cell r="BF134">
            <v>45.841999999999999</v>
          </cell>
          <cell r="BG134">
            <v>21.499897999999998</v>
          </cell>
          <cell r="BJ134">
            <v>45.841999999999999</v>
          </cell>
          <cell r="BK134">
            <v>21.499897999999998</v>
          </cell>
          <cell r="BN134">
            <v>45.841999999999999</v>
          </cell>
          <cell r="BO134">
            <v>21.499897999999998</v>
          </cell>
          <cell r="BR134">
            <v>45.841999999999999</v>
          </cell>
          <cell r="BS134">
            <v>21.499897999999998</v>
          </cell>
          <cell r="BV134">
            <v>45.841999999999999</v>
          </cell>
          <cell r="BW134">
            <v>21.499897999999998</v>
          </cell>
        </row>
        <row r="135">
          <cell r="BB135">
            <v>95.120999999999995</v>
          </cell>
          <cell r="BC135">
            <v>40.236182999999997</v>
          </cell>
          <cell r="BF135">
            <v>95.120999999999995</v>
          </cell>
          <cell r="BG135">
            <v>40.236182999999997</v>
          </cell>
          <cell r="BJ135">
            <v>95.120999999999995</v>
          </cell>
          <cell r="BK135">
            <v>40.236182999999997</v>
          </cell>
          <cell r="BN135">
            <v>95.120999999999995</v>
          </cell>
          <cell r="BO135">
            <v>40.236182999999997</v>
          </cell>
          <cell r="BR135">
            <v>95.120999999999995</v>
          </cell>
          <cell r="BS135">
            <v>40.236182999999997</v>
          </cell>
          <cell r="BV135">
            <v>95.120999999999995</v>
          </cell>
          <cell r="BW135">
            <v>40.236182999999997</v>
          </cell>
        </row>
        <row r="136">
          <cell r="BB136">
            <v>2.625</v>
          </cell>
          <cell r="BC136">
            <v>1.0395000000000001</v>
          </cell>
          <cell r="BF136">
            <v>2.625</v>
          </cell>
          <cell r="BG136">
            <v>1.0395000000000001</v>
          </cell>
          <cell r="BJ136">
            <v>2.625</v>
          </cell>
          <cell r="BK136">
            <v>1.0395000000000001</v>
          </cell>
          <cell r="BN136">
            <v>2.625</v>
          </cell>
          <cell r="BO136">
            <v>1.0395000000000001</v>
          </cell>
          <cell r="BR136">
            <v>2.625</v>
          </cell>
          <cell r="BS136">
            <v>1.0395000000000001</v>
          </cell>
          <cell r="BV136">
            <v>2.625</v>
          </cell>
          <cell r="BW136">
            <v>1.0395000000000001</v>
          </cell>
        </row>
        <row r="137">
          <cell r="BB137">
            <v>4.8170000000000002</v>
          </cell>
          <cell r="BC137">
            <v>2.5578270000000001</v>
          </cell>
          <cell r="BF137">
            <v>4.8170000000000002</v>
          </cell>
          <cell r="BG137">
            <v>2.5578270000000001</v>
          </cell>
          <cell r="BJ137">
            <v>4.8170000000000002</v>
          </cell>
          <cell r="BK137">
            <v>2.5578270000000001</v>
          </cell>
          <cell r="BN137">
            <v>4.8170000000000002</v>
          </cell>
          <cell r="BO137">
            <v>2.5578270000000001</v>
          </cell>
          <cell r="BR137">
            <v>4.8170000000000002</v>
          </cell>
          <cell r="BS137">
            <v>2.5578270000000001</v>
          </cell>
          <cell r="BV137">
            <v>4.8170000000000002</v>
          </cell>
          <cell r="BW137">
            <v>2.5578270000000001</v>
          </cell>
        </row>
        <row r="138">
          <cell r="BB138">
            <v>17.559000000000001</v>
          </cell>
          <cell r="BC138">
            <v>8.7795000000000005</v>
          </cell>
          <cell r="BF138">
            <v>17.559000000000001</v>
          </cell>
          <cell r="BG138">
            <v>8.7795000000000005</v>
          </cell>
          <cell r="BJ138">
            <v>17.559000000000001</v>
          </cell>
          <cell r="BK138">
            <v>8.7795000000000005</v>
          </cell>
          <cell r="BN138">
            <v>17.559000000000001</v>
          </cell>
          <cell r="BO138">
            <v>8.7795000000000005</v>
          </cell>
          <cell r="BR138">
            <v>17.559000000000001</v>
          </cell>
          <cell r="BS138">
            <v>8.7795000000000005</v>
          </cell>
          <cell r="BV138">
            <v>17.559000000000001</v>
          </cell>
          <cell r="BW138">
            <v>8.7795000000000005</v>
          </cell>
        </row>
        <row r="139">
          <cell r="BB139">
            <v>3.9E-2</v>
          </cell>
          <cell r="BC139">
            <v>1.9695000000000001E-2</v>
          </cell>
          <cell r="BF139">
            <v>3.9E-2</v>
          </cell>
          <cell r="BG139">
            <v>1.9695000000000001E-2</v>
          </cell>
          <cell r="BJ139">
            <v>3.9E-2</v>
          </cell>
          <cell r="BK139">
            <v>1.9695000000000001E-2</v>
          </cell>
          <cell r="BN139">
            <v>3.9E-2</v>
          </cell>
          <cell r="BO139">
            <v>1.9695000000000001E-2</v>
          </cell>
          <cell r="BR139">
            <v>3.9E-2</v>
          </cell>
          <cell r="BS139">
            <v>1.9695000000000001E-2</v>
          </cell>
          <cell r="BV139">
            <v>3.9E-2</v>
          </cell>
          <cell r="BW139">
            <v>1.9695000000000001E-2</v>
          </cell>
        </row>
        <row r="140">
          <cell r="BB140">
            <v>23.26</v>
          </cell>
          <cell r="BC140">
            <v>13.862960000000001</v>
          </cell>
          <cell r="BF140">
            <v>23.26</v>
          </cell>
          <cell r="BG140">
            <v>13.862960000000001</v>
          </cell>
          <cell r="BJ140">
            <v>23.26</v>
          </cell>
          <cell r="BK140">
            <v>13.862960000000001</v>
          </cell>
          <cell r="BN140">
            <v>23.26</v>
          </cell>
          <cell r="BO140">
            <v>13.862960000000001</v>
          </cell>
          <cell r="BR140">
            <v>23.26</v>
          </cell>
          <cell r="BS140">
            <v>13.862960000000001</v>
          </cell>
          <cell r="BV140">
            <v>23.26</v>
          </cell>
          <cell r="BW140">
            <v>13.862960000000001</v>
          </cell>
        </row>
        <row r="141">
          <cell r="BB141">
            <v>70.061000000000007</v>
          </cell>
          <cell r="BC141">
            <v>40.495258</v>
          </cell>
          <cell r="BF141">
            <v>70.061000000000007</v>
          </cell>
          <cell r="BG141">
            <v>40.495258</v>
          </cell>
          <cell r="BJ141">
            <v>70.061000000000007</v>
          </cell>
          <cell r="BK141">
            <v>40.495258</v>
          </cell>
          <cell r="BN141">
            <v>70.061000000000007</v>
          </cell>
          <cell r="BO141">
            <v>40.495258</v>
          </cell>
          <cell r="BR141">
            <v>70.061000000000007</v>
          </cell>
          <cell r="BS141">
            <v>40.495258</v>
          </cell>
          <cell r="BV141">
            <v>70.061000000000007</v>
          </cell>
          <cell r="BW141">
            <v>40.495258</v>
          </cell>
        </row>
        <row r="142">
          <cell r="BB142">
            <v>1.246</v>
          </cell>
          <cell r="BC142">
            <v>0.67907000000000006</v>
          </cell>
          <cell r="BF142">
            <v>1.246</v>
          </cell>
          <cell r="BG142">
            <v>0.67907000000000006</v>
          </cell>
          <cell r="BJ142">
            <v>1.246</v>
          </cell>
          <cell r="BK142">
            <v>0.67907000000000006</v>
          </cell>
          <cell r="BN142">
            <v>1.246</v>
          </cell>
          <cell r="BO142">
            <v>0.67907000000000006</v>
          </cell>
          <cell r="BR142">
            <v>1.246</v>
          </cell>
          <cell r="BS142">
            <v>0.67907000000000006</v>
          </cell>
          <cell r="BV142">
            <v>1.246</v>
          </cell>
          <cell r="BW142">
            <v>0.67907000000000006</v>
          </cell>
        </row>
        <row r="143">
          <cell r="BB143">
            <v>0.83799999999999997</v>
          </cell>
          <cell r="BC143">
            <v>0.52793999999999996</v>
          </cell>
          <cell r="BF143">
            <v>0.83799999999999997</v>
          </cell>
          <cell r="BG143">
            <v>0.52793999999999996</v>
          </cell>
          <cell r="BJ143">
            <v>0.83799999999999997</v>
          </cell>
          <cell r="BK143">
            <v>0.52793999999999996</v>
          </cell>
          <cell r="BN143">
            <v>0.83799999999999997</v>
          </cell>
          <cell r="BO143">
            <v>0.52793999999999996</v>
          </cell>
          <cell r="BR143">
            <v>0.83799999999999997</v>
          </cell>
          <cell r="BS143">
            <v>0.52793999999999996</v>
          </cell>
          <cell r="BV143">
            <v>0.83799999999999997</v>
          </cell>
          <cell r="BW143">
            <v>0.52793999999999996</v>
          </cell>
        </row>
        <row r="144">
          <cell r="BB144">
            <v>0.497</v>
          </cell>
          <cell r="BC144">
            <v>0.33299000000000001</v>
          </cell>
          <cell r="BF144">
            <v>0.497</v>
          </cell>
          <cell r="BG144">
            <v>0.33299000000000001</v>
          </cell>
          <cell r="BJ144">
            <v>0.497</v>
          </cell>
          <cell r="BK144">
            <v>0.33299000000000001</v>
          </cell>
          <cell r="BN144">
            <v>0.497</v>
          </cell>
          <cell r="BO144">
            <v>0.33299000000000001</v>
          </cell>
          <cell r="BR144">
            <v>0.497</v>
          </cell>
          <cell r="BS144">
            <v>0.33299000000000001</v>
          </cell>
          <cell r="BV144">
            <v>0.497</v>
          </cell>
          <cell r="BW144">
            <v>0.33299000000000001</v>
          </cell>
        </row>
        <row r="145">
          <cell r="BB145">
            <v>7.1150000000000002</v>
          </cell>
          <cell r="BC145">
            <v>5.6208500000000008</v>
          </cell>
          <cell r="BF145">
            <v>7.1150000000000002</v>
          </cell>
          <cell r="BG145">
            <v>5.6208500000000008</v>
          </cell>
          <cell r="BJ145">
            <v>7.1150000000000002</v>
          </cell>
          <cell r="BK145">
            <v>5.6208500000000008</v>
          </cell>
          <cell r="BN145">
            <v>7.1150000000000002</v>
          </cell>
          <cell r="BO145">
            <v>5.6208500000000008</v>
          </cell>
          <cell r="BR145">
            <v>7.1150000000000002</v>
          </cell>
          <cell r="BS145">
            <v>5.6208500000000008</v>
          </cell>
          <cell r="BV145">
            <v>7.1150000000000002</v>
          </cell>
          <cell r="BW145">
            <v>5.6208500000000008</v>
          </cell>
        </row>
        <row r="146">
          <cell r="BB146">
            <v>41.945</v>
          </cell>
          <cell r="BC146">
            <v>33.472110000000001</v>
          </cell>
          <cell r="BF146">
            <v>41.945</v>
          </cell>
          <cell r="BG146">
            <v>33.472110000000001</v>
          </cell>
          <cell r="BJ146">
            <v>41.945</v>
          </cell>
          <cell r="BK146">
            <v>33.472110000000001</v>
          </cell>
          <cell r="BN146">
            <v>41.945</v>
          </cell>
          <cell r="BO146">
            <v>33.472110000000001</v>
          </cell>
          <cell r="BR146">
            <v>41.945</v>
          </cell>
          <cell r="BS146">
            <v>33.472110000000001</v>
          </cell>
          <cell r="BV146">
            <v>41.945</v>
          </cell>
          <cell r="BW146">
            <v>33.472110000000001</v>
          </cell>
        </row>
        <row r="147">
          <cell r="BB147">
            <v>3.2389999999999999</v>
          </cell>
          <cell r="BC147">
            <v>2.231671</v>
          </cell>
          <cell r="BF147">
            <v>3.2389999999999999</v>
          </cell>
          <cell r="BG147">
            <v>2.231671</v>
          </cell>
          <cell r="BJ147">
            <v>3.2389999999999999</v>
          </cell>
          <cell r="BK147">
            <v>2.231671</v>
          </cell>
          <cell r="BN147">
            <v>3.2389999999999999</v>
          </cell>
          <cell r="BO147">
            <v>2.231671</v>
          </cell>
          <cell r="BR147">
            <v>3.2389999999999999</v>
          </cell>
          <cell r="BS147">
            <v>2.231671</v>
          </cell>
          <cell r="BV147">
            <v>3.2389999999999999</v>
          </cell>
          <cell r="BW147">
            <v>2.231671</v>
          </cell>
        </row>
        <row r="148">
          <cell r="BB148">
            <v>1.179</v>
          </cell>
          <cell r="BC148">
            <v>1.179</v>
          </cell>
          <cell r="BF148">
            <v>1.179</v>
          </cell>
          <cell r="BG148">
            <v>1.179</v>
          </cell>
          <cell r="BJ148">
            <v>1.179</v>
          </cell>
          <cell r="BK148">
            <v>1.179</v>
          </cell>
          <cell r="BN148">
            <v>1.179</v>
          </cell>
          <cell r="BO148">
            <v>1.179</v>
          </cell>
          <cell r="BR148">
            <v>1.179</v>
          </cell>
          <cell r="BS148">
            <v>1.179</v>
          </cell>
          <cell r="BV148">
            <v>1.179</v>
          </cell>
          <cell r="BW148">
            <v>1.179</v>
          </cell>
        </row>
        <row r="149">
          <cell r="BB149">
            <v>2.323</v>
          </cell>
          <cell r="BC149">
            <v>2.323</v>
          </cell>
          <cell r="BF149">
            <v>2.323</v>
          </cell>
          <cell r="BG149">
            <v>2.323</v>
          </cell>
          <cell r="BJ149">
            <v>2.323</v>
          </cell>
          <cell r="BK149">
            <v>2.323</v>
          </cell>
          <cell r="BN149">
            <v>2.323</v>
          </cell>
          <cell r="BO149">
            <v>2.323</v>
          </cell>
          <cell r="BR149">
            <v>2.323</v>
          </cell>
          <cell r="BS149">
            <v>2.323</v>
          </cell>
          <cell r="BV149">
            <v>2.323</v>
          </cell>
          <cell r="BW149">
            <v>2.323</v>
          </cell>
        </row>
        <row r="150">
          <cell r="BB150">
            <v>1.0680000000000001</v>
          </cell>
          <cell r="BC150">
            <v>1.0680000000000001</v>
          </cell>
          <cell r="BF150">
            <v>1.0680000000000001</v>
          </cell>
          <cell r="BG150">
            <v>1.0680000000000001</v>
          </cell>
          <cell r="BJ150">
            <v>1.0680000000000001</v>
          </cell>
          <cell r="BK150">
            <v>1.0680000000000001</v>
          </cell>
          <cell r="BN150">
            <v>1.0680000000000001</v>
          </cell>
          <cell r="BO150">
            <v>1.0680000000000001</v>
          </cell>
          <cell r="BR150">
            <v>1.0680000000000001</v>
          </cell>
          <cell r="BS150">
            <v>1.0680000000000001</v>
          </cell>
          <cell r="BV150">
            <v>1.0680000000000001</v>
          </cell>
          <cell r="BW150">
            <v>1.0680000000000001</v>
          </cell>
        </row>
        <row r="151">
          <cell r="BB151">
            <v>4.1340000000000003</v>
          </cell>
          <cell r="BC151">
            <v>4.1340000000000003</v>
          </cell>
          <cell r="BF151">
            <v>4.1340000000000003</v>
          </cell>
          <cell r="BG151">
            <v>4.1340000000000003</v>
          </cell>
          <cell r="BJ151">
            <v>4.1340000000000003</v>
          </cell>
          <cell r="BK151">
            <v>4.1340000000000003</v>
          </cell>
          <cell r="BN151">
            <v>4.1340000000000003</v>
          </cell>
          <cell r="BO151">
            <v>4.1340000000000003</v>
          </cell>
          <cell r="BR151">
            <v>4.1340000000000003</v>
          </cell>
          <cell r="BS151">
            <v>4.1340000000000003</v>
          </cell>
          <cell r="BV151">
            <v>4.1340000000000003</v>
          </cell>
          <cell r="BW151">
            <v>4.1340000000000003</v>
          </cell>
        </row>
        <row r="152">
          <cell r="BB152">
            <v>24.395</v>
          </cell>
          <cell r="BC152">
            <v>24.395</v>
          </cell>
          <cell r="BF152">
            <v>24.395</v>
          </cell>
          <cell r="BG152">
            <v>24.395</v>
          </cell>
          <cell r="BJ152">
            <v>24.395</v>
          </cell>
          <cell r="BK152">
            <v>24.395</v>
          </cell>
          <cell r="BN152">
            <v>24.395</v>
          </cell>
          <cell r="BO152">
            <v>24.395</v>
          </cell>
          <cell r="BR152">
            <v>24.395</v>
          </cell>
          <cell r="BS152">
            <v>24.395</v>
          </cell>
          <cell r="BV152">
            <v>24.395</v>
          </cell>
          <cell r="BW152">
            <v>24.395</v>
          </cell>
        </row>
        <row r="153">
          <cell r="BB153">
            <v>3.6960000000000002</v>
          </cell>
          <cell r="BC153">
            <v>3.6960000000000002</v>
          </cell>
          <cell r="BF153">
            <v>3.6960000000000002</v>
          </cell>
          <cell r="BG153">
            <v>3.6960000000000002</v>
          </cell>
          <cell r="BJ153">
            <v>3.6960000000000002</v>
          </cell>
          <cell r="BK153">
            <v>3.6960000000000002</v>
          </cell>
          <cell r="BN153">
            <v>3.6960000000000002</v>
          </cell>
          <cell r="BO153">
            <v>3.6960000000000002</v>
          </cell>
          <cell r="BR153">
            <v>3.6960000000000002</v>
          </cell>
          <cell r="BS153">
            <v>3.6960000000000002</v>
          </cell>
          <cell r="BV153">
            <v>3.6960000000000002</v>
          </cell>
          <cell r="BW153">
            <v>3.6960000000000002</v>
          </cell>
        </row>
        <row r="154">
          <cell r="BB154">
            <v>4.2240000000000002</v>
          </cell>
          <cell r="BC154">
            <v>5.3856000000000002</v>
          </cell>
          <cell r="BF154">
            <v>4.2240000000000002</v>
          </cell>
          <cell r="BG154">
            <v>5.3856000000000002</v>
          </cell>
          <cell r="BJ154">
            <v>4.2240000000000002</v>
          </cell>
          <cell r="BK154">
            <v>5.3856000000000002</v>
          </cell>
          <cell r="BN154">
            <v>4.2240000000000002</v>
          </cell>
          <cell r="BO154">
            <v>5.3856000000000002</v>
          </cell>
          <cell r="BR154">
            <v>4.2240000000000002</v>
          </cell>
          <cell r="BS154">
            <v>5.3856000000000002</v>
          </cell>
          <cell r="BV154">
            <v>4.2240000000000002</v>
          </cell>
          <cell r="BW154">
            <v>5.3856000000000002</v>
          </cell>
        </row>
        <row r="155">
          <cell r="BB155">
            <v>0.27200000000000002</v>
          </cell>
          <cell r="BC155">
            <v>0.39630400000000005</v>
          </cell>
          <cell r="BF155">
            <v>0.27200000000000002</v>
          </cell>
          <cell r="BG155">
            <v>0.39630400000000005</v>
          </cell>
          <cell r="BJ155">
            <v>0.27200000000000002</v>
          </cell>
          <cell r="BK155">
            <v>0.39630400000000005</v>
          </cell>
          <cell r="BN155">
            <v>0.27200000000000002</v>
          </cell>
          <cell r="BO155">
            <v>0.39630400000000005</v>
          </cell>
          <cell r="BR155">
            <v>0.27200000000000002</v>
          </cell>
          <cell r="BS155">
            <v>0.39630400000000005</v>
          </cell>
          <cell r="BV155">
            <v>0.27200000000000002</v>
          </cell>
          <cell r="BW155">
            <v>0.39630400000000005</v>
          </cell>
        </row>
        <row r="156">
          <cell r="BB156">
            <v>43.335999999999999</v>
          </cell>
          <cell r="BC156">
            <v>55.253399999999992</v>
          </cell>
          <cell r="BF156">
            <v>43.335999999999999</v>
          </cell>
          <cell r="BG156">
            <v>55.253399999999992</v>
          </cell>
          <cell r="BJ156">
            <v>43.335999999999999</v>
          </cell>
          <cell r="BK156">
            <v>55.253399999999992</v>
          </cell>
          <cell r="BN156">
            <v>43.335999999999999</v>
          </cell>
          <cell r="BO156">
            <v>55.253399999999992</v>
          </cell>
          <cell r="BR156">
            <v>43.335999999999999</v>
          </cell>
          <cell r="BS156">
            <v>55.253399999999992</v>
          </cell>
          <cell r="BV156">
            <v>43.335999999999999</v>
          </cell>
          <cell r="BW156">
            <v>55.253399999999992</v>
          </cell>
        </row>
        <row r="157">
          <cell r="BB157">
            <v>5.1029999999999998</v>
          </cell>
          <cell r="BC157">
            <v>5.5877849999999993</v>
          </cell>
          <cell r="BF157">
            <v>5.1029999999999998</v>
          </cell>
          <cell r="BG157">
            <v>5.5877849999999993</v>
          </cell>
          <cell r="BJ157">
            <v>5.1029999999999998</v>
          </cell>
          <cell r="BK157">
            <v>5.5877849999999993</v>
          </cell>
          <cell r="BN157">
            <v>5.1029999999999998</v>
          </cell>
          <cell r="BO157">
            <v>5.5877849999999993</v>
          </cell>
          <cell r="BR157">
            <v>5.1029999999999998</v>
          </cell>
          <cell r="BS157">
            <v>5.5877849999999993</v>
          </cell>
          <cell r="BV157">
            <v>5.1029999999999998</v>
          </cell>
          <cell r="BW157">
            <v>5.5877849999999993</v>
          </cell>
        </row>
        <row r="158">
          <cell r="BB158">
            <v>0.11899999999999999</v>
          </cell>
          <cell r="BC158">
            <v>0.24502100000000002</v>
          </cell>
          <cell r="BF158">
            <v>0.11899999999999999</v>
          </cell>
          <cell r="BG158">
            <v>0.24502100000000002</v>
          </cell>
          <cell r="BJ158">
            <v>0.11899999999999999</v>
          </cell>
          <cell r="BK158">
            <v>0.24502100000000002</v>
          </cell>
          <cell r="BN158">
            <v>0.11899999999999999</v>
          </cell>
          <cell r="BO158">
            <v>0.24502100000000002</v>
          </cell>
          <cell r="BR158">
            <v>0.11899999999999999</v>
          </cell>
          <cell r="BS158">
            <v>0.24502100000000002</v>
          </cell>
          <cell r="BV158">
            <v>0.11899999999999999</v>
          </cell>
          <cell r="BW158">
            <v>0.24502100000000002</v>
          </cell>
        </row>
        <row r="159">
          <cell r="BB159">
            <v>22.042000000000002</v>
          </cell>
          <cell r="BC159">
            <v>36.457467999999999</v>
          </cell>
          <cell r="BF159">
            <v>22.042000000000002</v>
          </cell>
          <cell r="BG159">
            <v>36.457467999999999</v>
          </cell>
          <cell r="BJ159">
            <v>22.042000000000002</v>
          </cell>
          <cell r="BK159">
            <v>36.457467999999999</v>
          </cell>
          <cell r="BN159">
            <v>22.042000000000002</v>
          </cell>
          <cell r="BO159">
            <v>36.457467999999999</v>
          </cell>
          <cell r="BR159">
            <v>22.042000000000002</v>
          </cell>
          <cell r="BS159">
            <v>36.457467999999999</v>
          </cell>
          <cell r="BV159">
            <v>22.042000000000002</v>
          </cell>
          <cell r="BW159">
            <v>36.457467999999999</v>
          </cell>
        </row>
        <row r="160">
          <cell r="BB160">
            <v>4.9139999999999997</v>
          </cell>
          <cell r="BC160">
            <v>6.4225979999999989</v>
          </cell>
          <cell r="BF160">
            <v>4.9139999999999997</v>
          </cell>
          <cell r="BG160">
            <v>6.4225979999999989</v>
          </cell>
          <cell r="BJ160">
            <v>4.9139999999999997</v>
          </cell>
          <cell r="BK160">
            <v>6.4225979999999989</v>
          </cell>
          <cell r="BN160">
            <v>4.9139999999999997</v>
          </cell>
          <cell r="BO160">
            <v>6.4225979999999989</v>
          </cell>
          <cell r="BR160">
            <v>4.9139999999999997</v>
          </cell>
          <cell r="BS160">
            <v>6.4225979999999989</v>
          </cell>
          <cell r="BV160">
            <v>4.9139999999999997</v>
          </cell>
          <cell r="BW160">
            <v>6.4225979999999989</v>
          </cell>
        </row>
        <row r="161">
          <cell r="BB161">
            <v>12.02</v>
          </cell>
          <cell r="BC161">
            <v>19.881079999999997</v>
          </cell>
          <cell r="BF161">
            <v>12.02</v>
          </cell>
          <cell r="BG161">
            <v>19.881079999999997</v>
          </cell>
          <cell r="BJ161">
            <v>12.02</v>
          </cell>
          <cell r="BK161">
            <v>19.881079999999997</v>
          </cell>
          <cell r="BN161">
            <v>12.02</v>
          </cell>
          <cell r="BO161">
            <v>19.881079999999997</v>
          </cell>
          <cell r="BR161">
            <v>12.02</v>
          </cell>
          <cell r="BS161">
            <v>19.881079999999997</v>
          </cell>
          <cell r="BV161">
            <v>12.02</v>
          </cell>
          <cell r="BW161">
            <v>19.881079999999997</v>
          </cell>
        </row>
        <row r="162">
          <cell r="BB162">
            <v>9.7000000000000003E-2</v>
          </cell>
          <cell r="BC162">
            <v>0.24269399999999999</v>
          </cell>
          <cell r="BF162">
            <v>9.7000000000000003E-2</v>
          </cell>
          <cell r="BG162">
            <v>0.24269399999999999</v>
          </cell>
          <cell r="BJ162">
            <v>9.7000000000000003E-2</v>
          </cell>
          <cell r="BK162">
            <v>0.24269399999999999</v>
          </cell>
          <cell r="BN162">
            <v>9.7000000000000003E-2</v>
          </cell>
          <cell r="BO162">
            <v>0.24269399999999999</v>
          </cell>
          <cell r="BR162">
            <v>9.7000000000000003E-2</v>
          </cell>
          <cell r="BS162">
            <v>0.24269399999999999</v>
          </cell>
          <cell r="BV162">
            <v>9.7000000000000003E-2</v>
          </cell>
          <cell r="BW162">
            <v>0.24269399999999999</v>
          </cell>
        </row>
        <row r="163">
          <cell r="BB163">
            <v>2.5510000000000002</v>
          </cell>
          <cell r="BC163">
            <v>5.0764900000000006</v>
          </cell>
          <cell r="BF163">
            <v>2.5510000000000002</v>
          </cell>
          <cell r="BG163">
            <v>5.0764900000000006</v>
          </cell>
          <cell r="BJ163">
            <v>2.5510000000000002</v>
          </cell>
          <cell r="BK163">
            <v>5.0764900000000006</v>
          </cell>
          <cell r="BN163">
            <v>2.5510000000000002</v>
          </cell>
          <cell r="BO163">
            <v>5.0764900000000006</v>
          </cell>
          <cell r="BR163">
            <v>2.5510000000000002</v>
          </cell>
          <cell r="BS163">
            <v>5.0764900000000006</v>
          </cell>
          <cell r="BV163">
            <v>2.5510000000000002</v>
          </cell>
          <cell r="BW163">
            <v>5.0764900000000006</v>
          </cell>
        </row>
        <row r="164">
          <cell r="BB164">
            <v>13.38</v>
          </cell>
          <cell r="BC164">
            <v>21.01998</v>
          </cell>
          <cell r="BF164">
            <v>13.38</v>
          </cell>
          <cell r="BG164">
            <v>21.01998</v>
          </cell>
          <cell r="BJ164">
            <v>13.38</v>
          </cell>
          <cell r="BK164">
            <v>21.01998</v>
          </cell>
          <cell r="BN164">
            <v>13.38</v>
          </cell>
          <cell r="BO164">
            <v>21.01998</v>
          </cell>
          <cell r="BR164">
            <v>13.38</v>
          </cell>
          <cell r="BS164">
            <v>21.01998</v>
          </cell>
          <cell r="BV164">
            <v>13.38</v>
          </cell>
          <cell r="BW164">
            <v>21.01998</v>
          </cell>
        </row>
        <row r="165">
          <cell r="BB165">
            <v>34.078000000000003</v>
          </cell>
          <cell r="BC165">
            <v>80.185534000000018</v>
          </cell>
          <cell r="BF165">
            <v>34.078000000000003</v>
          </cell>
          <cell r="BG165">
            <v>80.185534000000018</v>
          </cell>
          <cell r="BJ165">
            <v>34.078000000000003</v>
          </cell>
          <cell r="BK165">
            <v>80.185534000000018</v>
          </cell>
          <cell r="BN165">
            <v>34.078000000000003</v>
          </cell>
          <cell r="BO165">
            <v>80.185534000000018</v>
          </cell>
          <cell r="BR165">
            <v>34.078000000000003</v>
          </cell>
          <cell r="BS165">
            <v>80.185534000000018</v>
          </cell>
          <cell r="BV165">
            <v>34.078000000000003</v>
          </cell>
          <cell r="BW165">
            <v>80.185534000000018</v>
          </cell>
        </row>
        <row r="166">
          <cell r="BB166">
            <v>0.375</v>
          </cell>
          <cell r="BC166">
            <v>0.72824999999999995</v>
          </cell>
          <cell r="BF166">
            <v>0.375</v>
          </cell>
          <cell r="BG166">
            <v>0.72824999999999995</v>
          </cell>
          <cell r="BJ166">
            <v>0.375</v>
          </cell>
          <cell r="BK166">
            <v>0.72824999999999995</v>
          </cell>
          <cell r="BN166">
            <v>0.375</v>
          </cell>
          <cell r="BO166">
            <v>0.72824999999999995</v>
          </cell>
          <cell r="BR166">
            <v>0.375</v>
          </cell>
          <cell r="BS166">
            <v>0.72824999999999995</v>
          </cell>
          <cell r="BV166">
            <v>0.375</v>
          </cell>
          <cell r="BW166">
            <v>0.72824999999999995</v>
          </cell>
        </row>
        <row r="167">
          <cell r="BB167">
            <v>1.8280000000000001</v>
          </cell>
          <cell r="BC167">
            <v>5.0635599999999998</v>
          </cell>
          <cell r="BF167">
            <v>1.8280000000000001</v>
          </cell>
          <cell r="BG167">
            <v>5.0635599999999998</v>
          </cell>
          <cell r="BJ167">
            <v>1.8280000000000001</v>
          </cell>
          <cell r="BK167">
            <v>5.0635599999999998</v>
          </cell>
          <cell r="BN167">
            <v>1.8280000000000001</v>
          </cell>
          <cell r="BO167">
            <v>5.0635599999999998</v>
          </cell>
          <cell r="BR167">
            <v>1.8280000000000001</v>
          </cell>
          <cell r="BS167">
            <v>5.0635599999999998</v>
          </cell>
          <cell r="BV167">
            <v>1.8280000000000001</v>
          </cell>
          <cell r="BW167">
            <v>5.0635599999999998</v>
          </cell>
        </row>
        <row r="168">
          <cell r="BB168">
            <v>0.373</v>
          </cell>
          <cell r="BC168">
            <v>0.89594600000000002</v>
          </cell>
          <cell r="BF168">
            <v>0.373</v>
          </cell>
          <cell r="BG168">
            <v>0.89594600000000002</v>
          </cell>
          <cell r="BJ168">
            <v>0.373</v>
          </cell>
          <cell r="BK168">
            <v>0.89594600000000002</v>
          </cell>
          <cell r="BN168">
            <v>0.373</v>
          </cell>
          <cell r="BO168">
            <v>0.89594600000000002</v>
          </cell>
          <cell r="BR168">
            <v>0.373</v>
          </cell>
          <cell r="BS168">
            <v>0.89594600000000002</v>
          </cell>
          <cell r="BV168">
            <v>0.373</v>
          </cell>
          <cell r="BW168">
            <v>0.89594600000000002</v>
          </cell>
        </row>
        <row r="169">
          <cell r="BB169">
            <v>0</v>
          </cell>
          <cell r="BC169">
            <v>0</v>
          </cell>
          <cell r="BF169">
            <v>0</v>
          </cell>
          <cell r="BG169">
            <v>0</v>
          </cell>
          <cell r="BJ169">
            <v>0</v>
          </cell>
          <cell r="BK169">
            <v>0</v>
          </cell>
          <cell r="BN169">
            <v>0</v>
          </cell>
          <cell r="BO169">
            <v>0</v>
          </cell>
          <cell r="BR169">
            <v>0</v>
          </cell>
          <cell r="BS169">
            <v>0</v>
          </cell>
          <cell r="BV169">
            <v>0</v>
          </cell>
          <cell r="BW169">
            <v>0</v>
          </cell>
        </row>
        <row r="170">
          <cell r="BB170">
            <v>0</v>
          </cell>
          <cell r="BC170">
            <v>0</v>
          </cell>
          <cell r="BF170">
            <v>0</v>
          </cell>
          <cell r="BG170">
            <v>0</v>
          </cell>
          <cell r="BJ170">
            <v>0</v>
          </cell>
          <cell r="BK170">
            <v>0</v>
          </cell>
          <cell r="BN170">
            <v>0</v>
          </cell>
          <cell r="BO170">
            <v>0</v>
          </cell>
          <cell r="BR170">
            <v>0</v>
          </cell>
          <cell r="BS170">
            <v>0</v>
          </cell>
          <cell r="BV170">
            <v>0</v>
          </cell>
          <cell r="BW170">
            <v>0</v>
          </cell>
        </row>
        <row r="171">
          <cell r="BB171">
            <v>0</v>
          </cell>
          <cell r="BC171">
            <v>0</v>
          </cell>
          <cell r="BF171">
            <v>0</v>
          </cell>
          <cell r="BG171">
            <v>0</v>
          </cell>
          <cell r="BJ171">
            <v>0</v>
          </cell>
          <cell r="BK171">
            <v>0</v>
          </cell>
          <cell r="BN171">
            <v>0</v>
          </cell>
          <cell r="BO171">
            <v>0</v>
          </cell>
          <cell r="BR171">
            <v>0</v>
          </cell>
          <cell r="BS171">
            <v>0</v>
          </cell>
          <cell r="BV171">
            <v>0</v>
          </cell>
          <cell r="BW171">
            <v>0</v>
          </cell>
        </row>
      </sheetData>
      <sheetData sheetId="27">
        <row r="117">
          <cell r="AL117">
            <v>0.22800000000000001</v>
          </cell>
          <cell r="AO117">
            <v>0.23475459702452028</v>
          </cell>
          <cell r="AR117">
            <v>0.22700000000000001</v>
          </cell>
          <cell r="AV117">
            <v>0.30821548694981682</v>
          </cell>
          <cell r="AY117">
            <v>0.22700000000000001</v>
          </cell>
        </row>
        <row r="118">
          <cell r="AL118">
            <v>11804.220422444399</v>
          </cell>
          <cell r="AO118">
            <v>12076.954</v>
          </cell>
          <cell r="AR118">
            <v>11524.950449729</v>
          </cell>
          <cell r="AV118">
            <v>16021.441999999999</v>
          </cell>
          <cell r="AY118">
            <v>11744.6870304207</v>
          </cell>
        </row>
        <row r="119">
          <cell r="AL119">
            <v>51772.8965896683</v>
          </cell>
          <cell r="AO119">
            <v>51445.016000000003</v>
          </cell>
          <cell r="AR119">
            <v>50770.706827000002</v>
          </cell>
          <cell r="AV119">
            <v>51981.300999999999</v>
          </cell>
          <cell r="AY119">
            <v>51738.709385113303</v>
          </cell>
        </row>
        <row r="120">
          <cell r="AL120">
            <v>0.34</v>
          </cell>
          <cell r="AO120">
            <v>0.31169437251831655</v>
          </cell>
          <cell r="AR120">
            <v>0.33100000000000002</v>
          </cell>
          <cell r="AV120">
            <v>0.38138612711741882</v>
          </cell>
          <cell r="AY120">
            <v>0.33100000000000002</v>
          </cell>
        </row>
        <row r="121">
          <cell r="AL121">
            <v>17602.784840487198</v>
          </cell>
          <cell r="AO121">
            <v>15453.625583333333</v>
          </cell>
          <cell r="AR121">
            <v>16805.103959737</v>
          </cell>
          <cell r="AV121">
            <v>15595.192999999999</v>
          </cell>
          <cell r="AY121">
            <v>17125.5128064725</v>
          </cell>
        </row>
        <row r="122">
          <cell r="AL122">
            <v>51772.8965896683</v>
          </cell>
          <cell r="AO122">
            <v>49579.418000000012</v>
          </cell>
          <cell r="AR122">
            <v>50770.706827000002</v>
          </cell>
          <cell r="AV122">
            <v>40890.824000000001</v>
          </cell>
          <cell r="AY122">
            <v>51738.709385113303</v>
          </cell>
        </row>
      </sheetData>
      <sheetData sheetId="28"/>
      <sheetData sheetId="29"/>
      <sheetData sheetId="30">
        <row r="94">
          <cell r="AG94" t="str">
            <v>тыс.руб.</v>
          </cell>
          <cell r="AK94">
            <v>125124.46515755507</v>
          </cell>
          <cell r="AP94">
            <v>0</v>
          </cell>
        </row>
        <row r="95">
          <cell r="AG95">
            <v>0</v>
          </cell>
          <cell r="AR95">
            <v>0</v>
          </cell>
        </row>
        <row r="96">
          <cell r="AG96">
            <v>0</v>
          </cell>
          <cell r="AR96">
            <v>0</v>
          </cell>
        </row>
        <row r="97">
          <cell r="AG97" t="str">
            <v>тн</v>
          </cell>
          <cell r="AR97">
            <v>2223.7725736989</v>
          </cell>
        </row>
        <row r="98">
          <cell r="AG98" t="str">
            <v>тн/тыс.м3</v>
          </cell>
          <cell r="AR98">
            <v>4.29808281E-2</v>
          </cell>
        </row>
        <row r="99">
          <cell r="AG99" t="str">
            <v>тыс.м3</v>
          </cell>
          <cell r="AR99">
            <v>51738.709385113303</v>
          </cell>
        </row>
        <row r="100">
          <cell r="AG100" t="str">
            <v>руб./тн</v>
          </cell>
          <cell r="AR100">
            <v>36858.841872594603</v>
          </cell>
        </row>
        <row r="101">
          <cell r="AG101" t="str">
            <v>тыс.руб.</v>
          </cell>
          <cell r="AR101">
            <v>81965.68165458049</v>
          </cell>
        </row>
        <row r="102">
          <cell r="AG102">
            <v>0</v>
          </cell>
          <cell r="AR102">
            <v>0</v>
          </cell>
        </row>
        <row r="103">
          <cell r="AG103" t="str">
            <v>тн</v>
          </cell>
          <cell r="AR103">
            <v>0</v>
          </cell>
        </row>
        <row r="104">
          <cell r="AG104" t="str">
            <v>тн/тыс.м3</v>
          </cell>
          <cell r="AR104">
            <v>0</v>
          </cell>
        </row>
        <row r="105">
          <cell r="AG105" t="str">
            <v>тыс.м3</v>
          </cell>
          <cell r="AR105">
            <v>0</v>
          </cell>
        </row>
        <row r="106">
          <cell r="AG106" t="str">
            <v>руб./тн</v>
          </cell>
          <cell r="AR106">
            <v>0</v>
          </cell>
        </row>
        <row r="107">
          <cell r="AG107" t="str">
            <v>тыс.руб.</v>
          </cell>
          <cell r="AR107">
            <v>0</v>
          </cell>
        </row>
        <row r="108">
          <cell r="AG108">
            <v>0</v>
          </cell>
          <cell r="AR108">
            <v>0</v>
          </cell>
        </row>
        <row r="109">
          <cell r="AG109" t="str">
            <v>тн</v>
          </cell>
          <cell r="AR109">
            <v>0</v>
          </cell>
        </row>
        <row r="110">
          <cell r="AG110" t="str">
            <v>тн/тыс.м3</v>
          </cell>
          <cell r="AR110">
            <v>0</v>
          </cell>
        </row>
        <row r="111">
          <cell r="AG111" t="str">
            <v>тыс.м3</v>
          </cell>
          <cell r="AR111">
            <v>0</v>
          </cell>
        </row>
        <row r="112">
          <cell r="AG112" t="str">
            <v>руб./тн</v>
          </cell>
          <cell r="AR112">
            <v>0</v>
          </cell>
        </row>
        <row r="113">
          <cell r="AG113" t="str">
            <v>тыс.руб.</v>
          </cell>
          <cell r="AR113">
            <v>0</v>
          </cell>
        </row>
        <row r="114">
          <cell r="AG114">
            <v>0</v>
          </cell>
          <cell r="AR114">
            <v>0</v>
          </cell>
        </row>
        <row r="115">
          <cell r="AG115" t="str">
            <v>тн</v>
          </cell>
          <cell r="AR115">
            <v>0</v>
          </cell>
        </row>
        <row r="116">
          <cell r="AG116" t="str">
            <v>тн/тыс.м3</v>
          </cell>
          <cell r="AR116">
            <v>0</v>
          </cell>
        </row>
        <row r="117">
          <cell r="AG117" t="str">
            <v>тыс.м3</v>
          </cell>
          <cell r="AR117">
            <v>0</v>
          </cell>
        </row>
        <row r="118">
          <cell r="AG118" t="str">
            <v>руб./тн</v>
          </cell>
          <cell r="AR118">
            <v>0</v>
          </cell>
        </row>
        <row r="119">
          <cell r="AG119" t="str">
            <v>тыс.руб.</v>
          </cell>
          <cell r="AR119">
            <v>0</v>
          </cell>
        </row>
        <row r="120">
          <cell r="AG120">
            <v>0</v>
          </cell>
          <cell r="AR120">
            <v>0</v>
          </cell>
        </row>
        <row r="121">
          <cell r="AG121" t="str">
            <v>тн</v>
          </cell>
          <cell r="AR121">
            <v>0</v>
          </cell>
        </row>
        <row r="122">
          <cell r="AG122" t="str">
            <v>тн/тыс.м3</v>
          </cell>
          <cell r="AR122">
            <v>0</v>
          </cell>
        </row>
        <row r="123">
          <cell r="AG123" t="str">
            <v>тыс.м3</v>
          </cell>
          <cell r="AR123">
            <v>0</v>
          </cell>
        </row>
        <row r="124">
          <cell r="AG124" t="str">
            <v>руб./тн</v>
          </cell>
          <cell r="AR124">
            <v>0</v>
          </cell>
        </row>
        <row r="125">
          <cell r="AG125" t="str">
            <v>тыс.руб.</v>
          </cell>
          <cell r="AR125">
            <v>0</v>
          </cell>
        </row>
        <row r="126">
          <cell r="AG126">
            <v>0</v>
          </cell>
          <cell r="AR126">
            <v>0</v>
          </cell>
        </row>
        <row r="127">
          <cell r="AG127" t="str">
            <v>тн</v>
          </cell>
          <cell r="AR127">
            <v>1336.8065763423999</v>
          </cell>
        </row>
        <row r="128">
          <cell r="AG128" t="str">
            <v>тн/тыс.м3</v>
          </cell>
          <cell r="AR128">
            <v>2.5837648299999998E-2</v>
          </cell>
        </row>
        <row r="129">
          <cell r="AG129" t="str">
            <v>тыс.м3</v>
          </cell>
          <cell r="AR129">
            <v>51738.709385113303</v>
          </cell>
        </row>
        <row r="130">
          <cell r="AG130" t="str">
            <v>руб./тн</v>
          </cell>
          <cell r="AR130">
            <v>1810.7123242528</v>
          </cell>
        </row>
        <row r="131">
          <cell r="AG131" t="str">
            <v>тыс.руб.</v>
          </cell>
          <cell r="AR131">
            <v>2420.5721429253749</v>
          </cell>
        </row>
        <row r="132">
          <cell r="AG132">
            <v>0</v>
          </cell>
          <cell r="AR132">
            <v>0</v>
          </cell>
        </row>
        <row r="133">
          <cell r="AG133" t="str">
            <v>тн</v>
          </cell>
          <cell r="AR133">
            <v>0</v>
          </cell>
        </row>
        <row r="134">
          <cell r="AG134" t="str">
            <v>тн/тыс.м3</v>
          </cell>
          <cell r="AR134">
            <v>0</v>
          </cell>
        </row>
        <row r="135">
          <cell r="AG135" t="str">
            <v>тыс.м3</v>
          </cell>
          <cell r="AR135">
            <v>0</v>
          </cell>
        </row>
        <row r="136">
          <cell r="AG136" t="str">
            <v>руб./тн</v>
          </cell>
          <cell r="AR136">
            <v>0</v>
          </cell>
        </row>
        <row r="137">
          <cell r="AG137" t="str">
            <v>тыс.руб.</v>
          </cell>
          <cell r="AR137">
            <v>0</v>
          </cell>
        </row>
        <row r="138">
          <cell r="AG138">
            <v>0</v>
          </cell>
          <cell r="AR138">
            <v>0</v>
          </cell>
        </row>
        <row r="139">
          <cell r="AG139" t="str">
            <v>тн</v>
          </cell>
          <cell r="AR139">
            <v>0</v>
          </cell>
        </row>
        <row r="140">
          <cell r="AG140" t="str">
            <v>тн/тыс.м3</v>
          </cell>
          <cell r="AR140">
            <v>0</v>
          </cell>
        </row>
        <row r="141">
          <cell r="AG141" t="str">
            <v>тыс.м3</v>
          </cell>
          <cell r="AR141">
            <v>0</v>
          </cell>
        </row>
        <row r="142">
          <cell r="AG142" t="str">
            <v>руб./тн</v>
          </cell>
          <cell r="AR142">
            <v>0</v>
          </cell>
        </row>
        <row r="143">
          <cell r="AG143" t="str">
            <v>тыс.руб.</v>
          </cell>
          <cell r="AR143">
            <v>0</v>
          </cell>
        </row>
        <row r="144">
          <cell r="AG144">
            <v>0</v>
          </cell>
          <cell r="AR144">
            <v>0</v>
          </cell>
        </row>
        <row r="145">
          <cell r="AG145" t="str">
            <v>тн</v>
          </cell>
          <cell r="AR145">
            <v>0</v>
          </cell>
        </row>
        <row r="146">
          <cell r="AG146" t="str">
            <v>тн/тыс.м3</v>
          </cell>
          <cell r="AR146">
            <v>0</v>
          </cell>
        </row>
        <row r="147">
          <cell r="AG147" t="str">
            <v>тыс.м3</v>
          </cell>
          <cell r="AR147">
            <v>0</v>
          </cell>
        </row>
        <row r="148">
          <cell r="AG148" t="str">
            <v>руб./тн</v>
          </cell>
          <cell r="AR148">
            <v>0</v>
          </cell>
        </row>
        <row r="149">
          <cell r="AG149" t="str">
            <v>тыс.руб.</v>
          </cell>
          <cell r="AR149">
            <v>0</v>
          </cell>
        </row>
        <row r="150">
          <cell r="AG150">
            <v>0</v>
          </cell>
          <cell r="AR150">
            <v>0</v>
          </cell>
        </row>
        <row r="151">
          <cell r="AG151" t="str">
            <v>тн</v>
          </cell>
          <cell r="AR151">
            <v>0</v>
          </cell>
        </row>
        <row r="152">
          <cell r="AG152" t="str">
            <v>тн/тыс.м3</v>
          </cell>
          <cell r="AR152">
            <v>0</v>
          </cell>
        </row>
        <row r="153">
          <cell r="AG153" t="str">
            <v>тыс.м3</v>
          </cell>
          <cell r="AR153">
            <v>0</v>
          </cell>
        </row>
        <row r="154">
          <cell r="AG154" t="str">
            <v>руб./тн</v>
          </cell>
          <cell r="AR154">
            <v>0</v>
          </cell>
        </row>
        <row r="155">
          <cell r="AG155" t="str">
            <v>тыс.руб.</v>
          </cell>
          <cell r="AR155">
            <v>0</v>
          </cell>
        </row>
        <row r="156">
          <cell r="AG156">
            <v>0</v>
          </cell>
          <cell r="AR156">
            <v>0</v>
          </cell>
        </row>
        <row r="157">
          <cell r="AG157" t="str">
            <v>тн</v>
          </cell>
          <cell r="AR157">
            <v>2520.2459606665002</v>
          </cell>
        </row>
        <row r="158">
          <cell r="AG158" t="str">
            <v>тн/тыс.м3</v>
          </cell>
          <cell r="AR158">
            <v>4.8711032600000002E-2</v>
          </cell>
        </row>
        <row r="159">
          <cell r="AG159" t="str">
            <v>тыс.м3</v>
          </cell>
          <cell r="AR159">
            <v>51738.709385113303</v>
          </cell>
        </row>
        <row r="160">
          <cell r="AG160" t="str">
            <v>руб./тн</v>
          </cell>
          <cell r="AR160">
            <v>29890.834632906899</v>
          </cell>
        </row>
        <row r="161">
          <cell r="AG161" t="str">
            <v>тыс.руб.</v>
          </cell>
          <cell r="AR161">
            <v>75332.255244533939</v>
          </cell>
        </row>
        <row r="162">
          <cell r="AG162">
            <v>0</v>
          </cell>
          <cell r="AR162">
            <v>0</v>
          </cell>
        </row>
        <row r="163">
          <cell r="AG163" t="str">
            <v>тн</v>
          </cell>
          <cell r="AR163">
            <v>0</v>
          </cell>
        </row>
        <row r="164">
          <cell r="AG164" t="str">
            <v>тн/тыс.м3</v>
          </cell>
          <cell r="AR164">
            <v>0</v>
          </cell>
        </row>
        <row r="165">
          <cell r="AG165" t="str">
            <v>тыс.м3</v>
          </cell>
          <cell r="AR165">
            <v>0</v>
          </cell>
        </row>
        <row r="166">
          <cell r="AG166" t="str">
            <v>руб./тн</v>
          </cell>
          <cell r="AR166">
            <v>0</v>
          </cell>
        </row>
        <row r="167">
          <cell r="AG167" t="str">
            <v>тыс.руб.</v>
          </cell>
          <cell r="AR167">
            <v>0</v>
          </cell>
        </row>
        <row r="168">
          <cell r="AG168">
            <v>0</v>
          </cell>
          <cell r="AR168">
            <v>0</v>
          </cell>
        </row>
        <row r="169">
          <cell r="AG169" t="str">
            <v>тн</v>
          </cell>
          <cell r="AR169">
            <v>0</v>
          </cell>
        </row>
        <row r="170">
          <cell r="AG170" t="str">
            <v>тн/тыс.м3</v>
          </cell>
          <cell r="AR170">
            <v>0</v>
          </cell>
        </row>
        <row r="171">
          <cell r="AG171" t="str">
            <v>тыс.м3</v>
          </cell>
          <cell r="AR171">
            <v>0</v>
          </cell>
        </row>
        <row r="172">
          <cell r="AG172" t="str">
            <v>руб./тн</v>
          </cell>
          <cell r="AR172">
            <v>0</v>
          </cell>
        </row>
        <row r="173">
          <cell r="AG173" t="str">
            <v>тыс.руб.</v>
          </cell>
          <cell r="AR173">
            <v>0</v>
          </cell>
        </row>
        <row r="174">
          <cell r="AG174">
            <v>0</v>
          </cell>
          <cell r="AR174">
            <v>0</v>
          </cell>
        </row>
        <row r="175">
          <cell r="AG175" t="str">
            <v>тн</v>
          </cell>
          <cell r="AR175">
            <v>0</v>
          </cell>
        </row>
        <row r="176">
          <cell r="AG176" t="str">
            <v>тн/тыс.м3</v>
          </cell>
          <cell r="AR176">
            <v>0</v>
          </cell>
        </row>
        <row r="177">
          <cell r="AG177" t="str">
            <v>тыс.м3</v>
          </cell>
          <cell r="AR177">
            <v>0</v>
          </cell>
        </row>
        <row r="178">
          <cell r="AG178" t="str">
            <v>руб./тн</v>
          </cell>
          <cell r="AR178">
            <v>0</v>
          </cell>
        </row>
        <row r="179">
          <cell r="AG179" t="str">
            <v>тыс.руб.</v>
          </cell>
          <cell r="AR179">
            <v>0</v>
          </cell>
        </row>
        <row r="180">
          <cell r="AG180">
            <v>0</v>
          </cell>
          <cell r="AR180">
            <v>0</v>
          </cell>
        </row>
        <row r="181">
          <cell r="AG181" t="str">
            <v>тн</v>
          </cell>
          <cell r="AR181">
            <v>0</v>
          </cell>
        </row>
        <row r="182">
          <cell r="AG182" t="str">
            <v>тн/тыс.м3</v>
          </cell>
          <cell r="AR182">
            <v>0</v>
          </cell>
        </row>
        <row r="183">
          <cell r="AG183" t="str">
            <v>тыс.м3</v>
          </cell>
          <cell r="AR183">
            <v>0</v>
          </cell>
        </row>
        <row r="184">
          <cell r="AG184" t="str">
            <v>руб./тн</v>
          </cell>
          <cell r="AR184">
            <v>0</v>
          </cell>
        </row>
        <row r="185">
          <cell r="AG185" t="str">
            <v>тыс.руб.</v>
          </cell>
          <cell r="AR185">
            <v>0</v>
          </cell>
        </row>
        <row r="186">
          <cell r="AG186">
            <v>0</v>
          </cell>
          <cell r="AR186">
            <v>0</v>
          </cell>
        </row>
        <row r="187">
          <cell r="AG187" t="str">
            <v>тн</v>
          </cell>
          <cell r="AR187">
            <v>0</v>
          </cell>
        </row>
        <row r="188">
          <cell r="AG188" t="str">
            <v>тн/тыс.м3</v>
          </cell>
          <cell r="AR188">
            <v>0</v>
          </cell>
        </row>
        <row r="189">
          <cell r="AG189" t="str">
            <v>тыс.м3</v>
          </cell>
          <cell r="AR189">
            <v>0</v>
          </cell>
        </row>
        <row r="190">
          <cell r="AG190" t="str">
            <v>руб./тн</v>
          </cell>
          <cell r="AR190">
            <v>0</v>
          </cell>
        </row>
        <row r="191">
          <cell r="AG191" t="str">
            <v>тыс.руб.</v>
          </cell>
          <cell r="AR191">
            <v>0</v>
          </cell>
        </row>
        <row r="192">
          <cell r="AG192">
            <v>0</v>
          </cell>
          <cell r="AR192">
            <v>0</v>
          </cell>
        </row>
        <row r="193">
          <cell r="AG193" t="str">
            <v>тн</v>
          </cell>
          <cell r="AR193">
            <v>0</v>
          </cell>
        </row>
        <row r="194">
          <cell r="AG194" t="str">
            <v>тн/тыс.м3</v>
          </cell>
          <cell r="AR194">
            <v>0</v>
          </cell>
        </row>
        <row r="195">
          <cell r="AG195" t="str">
            <v>тыс.м3</v>
          </cell>
          <cell r="AR195">
            <v>0</v>
          </cell>
        </row>
        <row r="196">
          <cell r="AG196" t="str">
            <v>руб./тн</v>
          </cell>
          <cell r="AR196">
            <v>0</v>
          </cell>
        </row>
        <row r="197">
          <cell r="AG197" t="str">
            <v>тыс.руб.</v>
          </cell>
          <cell r="AR197">
            <v>0</v>
          </cell>
        </row>
        <row r="198">
          <cell r="AG198">
            <v>0</v>
          </cell>
          <cell r="AR198">
            <v>0</v>
          </cell>
        </row>
        <row r="199">
          <cell r="AG199" t="str">
            <v>тн</v>
          </cell>
          <cell r="AR199">
            <v>0</v>
          </cell>
        </row>
        <row r="200">
          <cell r="AG200" t="str">
            <v>тн/тыс.м3</v>
          </cell>
          <cell r="AR200">
            <v>0</v>
          </cell>
        </row>
        <row r="201">
          <cell r="AG201" t="str">
            <v>тыс.м3</v>
          </cell>
          <cell r="AR201">
            <v>0</v>
          </cell>
        </row>
        <row r="202">
          <cell r="AG202" t="str">
            <v>руб./тн</v>
          </cell>
          <cell r="AR202">
            <v>0</v>
          </cell>
        </row>
        <row r="203">
          <cell r="AG203" t="str">
            <v>тыс.руб.</v>
          </cell>
          <cell r="AR203">
            <v>0</v>
          </cell>
        </row>
        <row r="204">
          <cell r="AG204">
            <v>0</v>
          </cell>
          <cell r="AR204">
            <v>0</v>
          </cell>
        </row>
        <row r="205">
          <cell r="AG205" t="str">
            <v>тн</v>
          </cell>
          <cell r="AR205">
            <v>0</v>
          </cell>
        </row>
        <row r="206">
          <cell r="AG206" t="str">
            <v>тн/тыс.м3</v>
          </cell>
          <cell r="AR206">
            <v>0</v>
          </cell>
        </row>
        <row r="207">
          <cell r="AG207" t="str">
            <v>тыс.м3</v>
          </cell>
          <cell r="AR207">
            <v>0</v>
          </cell>
        </row>
        <row r="208">
          <cell r="AG208" t="str">
            <v>руб./тн</v>
          </cell>
          <cell r="AR208">
            <v>0</v>
          </cell>
        </row>
        <row r="209">
          <cell r="AG209" t="str">
            <v>тыс.руб.</v>
          </cell>
          <cell r="AR209">
            <v>0</v>
          </cell>
        </row>
        <row r="210">
          <cell r="AG210">
            <v>0</v>
          </cell>
          <cell r="AR210">
            <v>0</v>
          </cell>
        </row>
        <row r="211">
          <cell r="AG211">
            <v>0</v>
          </cell>
          <cell r="AR211">
            <v>0</v>
          </cell>
        </row>
        <row r="212">
          <cell r="AG212" t="str">
            <v>/тыс.м3</v>
          </cell>
          <cell r="AR212">
            <v>0</v>
          </cell>
        </row>
        <row r="213">
          <cell r="AG213" t="str">
            <v>тыс.м3</v>
          </cell>
          <cell r="AR213">
            <v>0</v>
          </cell>
        </row>
        <row r="214">
          <cell r="AG214" t="str">
            <v>руб./</v>
          </cell>
          <cell r="AR214">
            <v>0</v>
          </cell>
        </row>
        <row r="215">
          <cell r="AG215" t="str">
            <v>тыс.руб.</v>
          </cell>
          <cell r="AR215">
            <v>0</v>
          </cell>
        </row>
        <row r="216">
          <cell r="AG216">
            <v>0</v>
          </cell>
          <cell r="AR216">
            <v>0</v>
          </cell>
        </row>
        <row r="217">
          <cell r="AG217">
            <v>0</v>
          </cell>
          <cell r="AR217">
            <v>0</v>
          </cell>
        </row>
        <row r="218">
          <cell r="AG218" t="str">
            <v>/тыс.м3</v>
          </cell>
          <cell r="AR218">
            <v>0</v>
          </cell>
        </row>
        <row r="219">
          <cell r="AG219" t="str">
            <v>тыс.м3</v>
          </cell>
          <cell r="AR219">
            <v>0</v>
          </cell>
        </row>
        <row r="220">
          <cell r="AG220" t="str">
            <v>руб./</v>
          </cell>
          <cell r="AR220">
            <v>0</v>
          </cell>
        </row>
        <row r="221">
          <cell r="AG221" t="str">
            <v>тыс.руб.</v>
          </cell>
          <cell r="AR221">
            <v>0</v>
          </cell>
        </row>
        <row r="222">
          <cell r="AG222">
            <v>0</v>
          </cell>
          <cell r="AR222">
            <v>0</v>
          </cell>
        </row>
        <row r="223">
          <cell r="AG223">
            <v>0</v>
          </cell>
          <cell r="AR223">
            <v>0</v>
          </cell>
        </row>
        <row r="224">
          <cell r="AG224" t="str">
            <v>/тыс.м3</v>
          </cell>
          <cell r="AR224">
            <v>0</v>
          </cell>
        </row>
        <row r="225">
          <cell r="AG225" t="str">
            <v>тыс.м3</v>
          </cell>
          <cell r="AR225">
            <v>0</v>
          </cell>
        </row>
        <row r="226">
          <cell r="AG226" t="str">
            <v>руб./</v>
          </cell>
          <cell r="AR226">
            <v>0</v>
          </cell>
        </row>
        <row r="227">
          <cell r="AG227" t="str">
            <v>тыс.руб.</v>
          </cell>
          <cell r="AR227">
            <v>0</v>
          </cell>
        </row>
        <row r="228">
          <cell r="AG228">
            <v>0</v>
          </cell>
          <cell r="AR228">
            <v>0</v>
          </cell>
        </row>
        <row r="229">
          <cell r="A229" t="e">
            <v>#REF!</v>
          </cell>
          <cell r="B229" t="e">
            <v>#REF!</v>
          </cell>
        </row>
      </sheetData>
      <sheetData sheetId="31"/>
      <sheetData sheetId="32"/>
      <sheetData sheetId="33"/>
      <sheetData sheetId="34">
        <row r="96">
          <cell r="BB96">
            <v>183656.34666021334</v>
          </cell>
          <cell r="BG96">
            <v>0</v>
          </cell>
        </row>
        <row r="98">
          <cell r="BB98">
            <v>27530.579583333332</v>
          </cell>
          <cell r="BG98">
            <v>0</v>
          </cell>
        </row>
        <row r="99">
          <cell r="BB99">
            <v>0</v>
          </cell>
          <cell r="BG99">
            <v>0</v>
          </cell>
        </row>
        <row r="100">
          <cell r="BB100">
            <v>0</v>
          </cell>
          <cell r="BG100">
            <v>0</v>
          </cell>
        </row>
        <row r="102">
          <cell r="BB102">
            <v>49579.418000000012</v>
          </cell>
          <cell r="BG102">
            <v>40890.824000000001</v>
          </cell>
        </row>
      </sheetData>
      <sheetData sheetId="35"/>
      <sheetData sheetId="36"/>
      <sheetData sheetId="37">
        <row r="92">
          <cell r="AH92">
            <v>4971.5200000000004</v>
          </cell>
          <cell r="AM92">
            <v>0</v>
          </cell>
        </row>
      </sheetData>
      <sheetData sheetId="38">
        <row r="92">
          <cell r="AH92">
            <v>0</v>
          </cell>
          <cell r="AM92">
            <v>0</v>
          </cell>
        </row>
        <row r="101">
          <cell r="AF101">
            <v>0</v>
          </cell>
          <cell r="AJ101">
            <v>0</v>
          </cell>
          <cell r="AO101">
            <v>0</v>
          </cell>
        </row>
        <row r="102">
          <cell r="AF102">
            <v>0</v>
          </cell>
          <cell r="AJ102">
            <v>0</v>
          </cell>
          <cell r="AO102">
            <v>0</v>
          </cell>
        </row>
      </sheetData>
      <sheetData sheetId="39">
        <row r="95">
          <cell r="AH95">
            <v>5659.6011247699998</v>
          </cell>
          <cell r="AM95">
            <v>0</v>
          </cell>
        </row>
      </sheetData>
      <sheetData sheetId="40">
        <row r="93">
          <cell r="AH93">
            <v>0</v>
          </cell>
          <cell r="AM93">
            <v>0</v>
          </cell>
        </row>
        <row r="102">
          <cell r="AF102">
            <v>0</v>
          </cell>
          <cell r="AJ102">
            <v>0</v>
          </cell>
          <cell r="AO102">
            <v>0</v>
          </cell>
        </row>
        <row r="103">
          <cell r="AF103">
            <v>0</v>
          </cell>
          <cell r="AJ103">
            <v>0</v>
          </cell>
          <cell r="AO103">
            <v>0</v>
          </cell>
        </row>
      </sheetData>
      <sheetData sheetId="41">
        <row r="93">
          <cell r="AH93">
            <v>23562.984</v>
          </cell>
          <cell r="AM93">
            <v>0</v>
          </cell>
        </row>
      </sheetData>
      <sheetData sheetId="42">
        <row r="93">
          <cell r="AH93">
            <v>0</v>
          </cell>
          <cell r="AM93">
            <v>0</v>
          </cell>
        </row>
        <row r="102">
          <cell r="AF102">
            <v>0</v>
          </cell>
          <cell r="AJ102">
            <v>0</v>
          </cell>
          <cell r="AO102">
            <v>0</v>
          </cell>
        </row>
        <row r="103">
          <cell r="AF103">
            <v>0</v>
          </cell>
          <cell r="AJ103">
            <v>0</v>
          </cell>
          <cell r="AO103">
            <v>0</v>
          </cell>
        </row>
      </sheetData>
      <sheetData sheetId="43">
        <row r="94">
          <cell r="BA94">
            <v>1000000</v>
          </cell>
          <cell r="BK94">
            <v>0</v>
          </cell>
        </row>
      </sheetData>
      <sheetData sheetId="44">
        <row r="94">
          <cell r="EO94">
            <v>0</v>
          </cell>
          <cell r="FC94">
            <v>0</v>
          </cell>
        </row>
        <row r="95">
          <cell r="EO95">
            <v>0</v>
          </cell>
          <cell r="FC95">
            <v>0</v>
          </cell>
        </row>
        <row r="108">
          <cell r="EO108">
            <v>0</v>
          </cell>
          <cell r="FC108">
            <v>0</v>
          </cell>
        </row>
        <row r="121">
          <cell r="EO121">
            <v>0</v>
          </cell>
          <cell r="FC121">
            <v>0</v>
          </cell>
        </row>
      </sheetData>
      <sheetData sheetId="45">
        <row r="23">
          <cell r="AF23" t="str">
            <v>да</v>
          </cell>
        </row>
        <row r="24">
          <cell r="AF24" t="str">
            <v>да</v>
          </cell>
        </row>
        <row r="93">
          <cell r="DP93">
            <v>194981565.63</v>
          </cell>
          <cell r="DU93">
            <v>0</v>
          </cell>
        </row>
      </sheetData>
      <sheetData sheetId="46"/>
      <sheetData sheetId="47">
        <row r="85">
          <cell r="AA85">
            <v>1</v>
          </cell>
          <cell r="AB85">
            <v>0</v>
          </cell>
          <cell r="AC85">
            <v>0</v>
          </cell>
          <cell r="AD85">
            <v>0</v>
          </cell>
        </row>
        <row r="86">
          <cell r="AA86">
            <v>2</v>
          </cell>
          <cell r="AB86">
            <v>0</v>
          </cell>
          <cell r="AC86">
            <v>0</v>
          </cell>
          <cell r="AD86">
            <v>0</v>
          </cell>
        </row>
        <row r="87">
          <cell r="AA87">
            <v>3</v>
          </cell>
          <cell r="AB87">
            <v>0</v>
          </cell>
          <cell r="AC87">
            <v>0</v>
          </cell>
          <cell r="AD87">
            <v>0</v>
          </cell>
        </row>
        <row r="88">
          <cell r="AA88">
            <v>4</v>
          </cell>
          <cell r="AB88">
            <v>0</v>
          </cell>
          <cell r="AC88">
            <v>0</v>
          </cell>
          <cell r="AD88">
            <v>0</v>
          </cell>
        </row>
        <row r="89">
          <cell r="AA89">
            <v>5</v>
          </cell>
          <cell r="AB89">
            <v>0</v>
          </cell>
          <cell r="AC89">
            <v>0</v>
          </cell>
          <cell r="AD89">
            <v>0</v>
          </cell>
        </row>
        <row r="90">
          <cell r="AA90">
            <v>6</v>
          </cell>
          <cell r="AB90">
            <v>0</v>
          </cell>
          <cell r="AC90">
            <v>0</v>
          </cell>
          <cell r="AD90">
            <v>0</v>
          </cell>
        </row>
        <row r="91">
          <cell r="AA91">
            <v>7</v>
          </cell>
          <cell r="AB91">
            <v>0</v>
          </cell>
          <cell r="AC91">
            <v>0</v>
          </cell>
          <cell r="AD91">
            <v>0</v>
          </cell>
        </row>
        <row r="92">
          <cell r="AA92">
            <v>8</v>
          </cell>
          <cell r="AB92">
            <v>0</v>
          </cell>
          <cell r="AC92">
            <v>0</v>
          </cell>
          <cell r="AD92">
            <v>0</v>
          </cell>
        </row>
        <row r="93">
          <cell r="AA93">
            <v>9</v>
          </cell>
          <cell r="AB93">
            <v>0</v>
          </cell>
          <cell r="AC93">
            <v>0</v>
          </cell>
          <cell r="AD93">
            <v>0</v>
          </cell>
        </row>
        <row r="94">
          <cell r="AA94">
            <v>10</v>
          </cell>
          <cell r="AB94">
            <v>0</v>
          </cell>
          <cell r="AC94">
            <v>0</v>
          </cell>
          <cell r="AD94">
            <v>0</v>
          </cell>
        </row>
        <row r="95">
          <cell r="AA95">
            <v>11</v>
          </cell>
          <cell r="AB95">
            <v>0</v>
          </cell>
          <cell r="AC95">
            <v>0</v>
          </cell>
          <cell r="AD95">
            <v>0</v>
          </cell>
        </row>
        <row r="96">
          <cell r="AA96">
            <v>12</v>
          </cell>
          <cell r="AB96">
            <v>0</v>
          </cell>
          <cell r="AC96">
            <v>0</v>
          </cell>
          <cell r="AD96">
            <v>0</v>
          </cell>
        </row>
        <row r="97">
          <cell r="AA97">
            <v>13</v>
          </cell>
          <cell r="AB97">
            <v>0</v>
          </cell>
          <cell r="AC97">
            <v>0</v>
          </cell>
          <cell r="AD97">
            <v>0</v>
          </cell>
        </row>
        <row r="98">
          <cell r="AA98">
            <v>14</v>
          </cell>
          <cell r="AB98">
            <v>0</v>
          </cell>
          <cell r="AC98">
            <v>0</v>
          </cell>
          <cell r="AD98">
            <v>0</v>
          </cell>
        </row>
        <row r="99">
          <cell r="AA99">
            <v>15</v>
          </cell>
          <cell r="AB99">
            <v>0</v>
          </cell>
          <cell r="AC99">
            <v>0</v>
          </cell>
          <cell r="AD99">
            <v>0</v>
          </cell>
        </row>
        <row r="100">
          <cell r="AA100">
            <v>16</v>
          </cell>
          <cell r="AB100">
            <v>0</v>
          </cell>
          <cell r="AC100">
            <v>0</v>
          </cell>
          <cell r="AD100">
            <v>0</v>
          </cell>
        </row>
        <row r="101">
          <cell r="AA101">
            <v>17</v>
          </cell>
          <cell r="AB101">
            <v>0</v>
          </cell>
          <cell r="AC101">
            <v>0</v>
          </cell>
          <cell r="AD101">
            <v>0</v>
          </cell>
        </row>
        <row r="102">
          <cell r="AA102">
            <v>18</v>
          </cell>
          <cell r="AB102">
            <v>0</v>
          </cell>
          <cell r="AC102">
            <v>0</v>
          </cell>
          <cell r="AD102">
            <v>0</v>
          </cell>
        </row>
      </sheetData>
      <sheetData sheetId="48"/>
      <sheetData sheetId="49"/>
      <sheetData sheetId="50"/>
      <sheetData sheetId="51">
        <row r="92">
          <cell r="BY92">
            <v>0</v>
          </cell>
          <cell r="BZ92">
            <v>0</v>
          </cell>
          <cell r="CC92">
            <v>0</v>
          </cell>
        </row>
        <row r="93">
          <cell r="BY93">
            <v>0</v>
          </cell>
          <cell r="BZ93">
            <v>0</v>
          </cell>
          <cell r="CC93">
            <v>0</v>
          </cell>
          <cell r="CE93">
            <v>0</v>
          </cell>
          <cell r="CG93">
            <v>0</v>
          </cell>
          <cell r="CI93">
            <v>0</v>
          </cell>
          <cell r="CK93">
            <v>0</v>
          </cell>
        </row>
        <row r="94">
          <cell r="BY94">
            <v>0</v>
          </cell>
          <cell r="BZ94">
            <v>0</v>
          </cell>
          <cell r="CC94">
            <v>0</v>
          </cell>
          <cell r="CE94">
            <v>0</v>
          </cell>
          <cell r="CG94">
            <v>0</v>
          </cell>
          <cell r="CI94">
            <v>0</v>
          </cell>
          <cell r="CK94">
            <v>0</v>
          </cell>
        </row>
        <row r="95">
          <cell r="BY95">
            <v>0</v>
          </cell>
          <cell r="BZ95">
            <v>0</v>
          </cell>
          <cell r="CC95">
            <v>0</v>
          </cell>
          <cell r="CE95">
            <v>0</v>
          </cell>
          <cell r="CG95">
            <v>0</v>
          </cell>
          <cell r="CI95">
            <v>0</v>
          </cell>
          <cell r="CK95">
            <v>0</v>
          </cell>
        </row>
        <row r="96">
          <cell r="BY96">
            <v>0</v>
          </cell>
          <cell r="BZ96">
            <v>0</v>
          </cell>
          <cell r="CC96">
            <v>0</v>
          </cell>
          <cell r="CE96">
            <v>0</v>
          </cell>
          <cell r="CG96">
            <v>0</v>
          </cell>
          <cell r="CI96">
            <v>0</v>
          </cell>
          <cell r="CK96">
            <v>0</v>
          </cell>
        </row>
        <row r="97">
          <cell r="BY97">
            <v>0</v>
          </cell>
          <cell r="BZ97">
            <v>0</v>
          </cell>
          <cell r="CC97">
            <v>0</v>
          </cell>
          <cell r="CE97">
            <v>0</v>
          </cell>
          <cell r="CG97">
            <v>0</v>
          </cell>
          <cell r="CI97">
            <v>0</v>
          </cell>
          <cell r="CK97">
            <v>0</v>
          </cell>
        </row>
        <row r="98">
          <cell r="BY98">
            <v>0</v>
          </cell>
          <cell r="BZ98">
            <v>0</v>
          </cell>
          <cell r="CC98">
            <v>0</v>
          </cell>
          <cell r="CE98">
            <v>0</v>
          </cell>
          <cell r="CG98">
            <v>0</v>
          </cell>
          <cell r="CI98">
            <v>0</v>
          </cell>
          <cell r="CK98">
            <v>0</v>
          </cell>
        </row>
        <row r="99">
          <cell r="BY99">
            <v>0</v>
          </cell>
          <cell r="BZ99">
            <v>0</v>
          </cell>
          <cell r="CC99">
            <v>0</v>
          </cell>
          <cell r="CE99">
            <v>0</v>
          </cell>
          <cell r="CG99">
            <v>0</v>
          </cell>
          <cell r="CI99">
            <v>0</v>
          </cell>
          <cell r="CK99">
            <v>0</v>
          </cell>
        </row>
        <row r="100">
          <cell r="BY100">
            <v>0</v>
          </cell>
          <cell r="BZ100">
            <v>0</v>
          </cell>
          <cell r="CC100">
            <v>0</v>
          </cell>
          <cell r="CE100">
            <v>0</v>
          </cell>
          <cell r="CG100">
            <v>0</v>
          </cell>
          <cell r="CI100">
            <v>0</v>
          </cell>
          <cell r="CK100">
            <v>0</v>
          </cell>
        </row>
        <row r="101">
          <cell r="BY101">
            <v>0</v>
          </cell>
          <cell r="BZ101">
            <v>0</v>
          </cell>
          <cell r="CC101">
            <v>0</v>
          </cell>
          <cell r="CE101">
            <v>0</v>
          </cell>
          <cell r="CG101">
            <v>0</v>
          </cell>
          <cell r="CI101">
            <v>0</v>
          </cell>
          <cell r="CK101">
            <v>0</v>
          </cell>
        </row>
        <row r="102">
          <cell r="BY102">
            <v>0</v>
          </cell>
          <cell r="BZ102">
            <v>0</v>
          </cell>
          <cell r="CC102">
            <v>0</v>
          </cell>
          <cell r="CE102">
            <v>0</v>
          </cell>
          <cell r="CG102">
            <v>0</v>
          </cell>
          <cell r="CI102">
            <v>0</v>
          </cell>
          <cell r="CK102">
            <v>0</v>
          </cell>
        </row>
        <row r="103">
          <cell r="BY103">
            <v>0</v>
          </cell>
          <cell r="BZ103">
            <v>0</v>
          </cell>
          <cell r="CC103">
            <v>0</v>
          </cell>
          <cell r="CE103">
            <v>0</v>
          </cell>
          <cell r="CG103">
            <v>0</v>
          </cell>
          <cell r="CI103">
            <v>0</v>
          </cell>
          <cell r="CK103">
            <v>0</v>
          </cell>
        </row>
        <row r="104">
          <cell r="BY104">
            <v>0</v>
          </cell>
          <cell r="BZ104">
            <v>0</v>
          </cell>
          <cell r="CC104">
            <v>0</v>
          </cell>
          <cell r="CE104">
            <v>0</v>
          </cell>
          <cell r="CG104">
            <v>0</v>
          </cell>
          <cell r="CI104">
            <v>0</v>
          </cell>
          <cell r="CK104">
            <v>0</v>
          </cell>
        </row>
        <row r="105">
          <cell r="BY105">
            <v>0</v>
          </cell>
          <cell r="BZ105">
            <v>0</v>
          </cell>
          <cell r="CC105">
            <v>0</v>
          </cell>
          <cell r="CE105">
            <v>0</v>
          </cell>
          <cell r="CG105">
            <v>0</v>
          </cell>
          <cell r="CI105">
            <v>0</v>
          </cell>
          <cell r="CK105">
            <v>0</v>
          </cell>
        </row>
        <row r="106">
          <cell r="BY106">
            <v>0</v>
          </cell>
          <cell r="BZ106">
            <v>0</v>
          </cell>
          <cell r="CC106">
            <v>0</v>
          </cell>
          <cell r="CE106">
            <v>0</v>
          </cell>
          <cell r="CG106">
            <v>0</v>
          </cell>
          <cell r="CI106">
            <v>0</v>
          </cell>
          <cell r="CK106">
            <v>0</v>
          </cell>
        </row>
        <row r="107">
          <cell r="BY107">
            <v>0</v>
          </cell>
          <cell r="BZ107">
            <v>0</v>
          </cell>
          <cell r="CC107">
            <v>0</v>
          </cell>
          <cell r="CE107">
            <v>0</v>
          </cell>
          <cell r="CG107">
            <v>0</v>
          </cell>
          <cell r="CI107">
            <v>0</v>
          </cell>
          <cell r="CK107">
            <v>0</v>
          </cell>
        </row>
        <row r="108">
          <cell r="BY108">
            <v>0</v>
          </cell>
          <cell r="BZ108">
            <v>0</v>
          </cell>
          <cell r="CC108">
            <v>0</v>
          </cell>
          <cell r="CE108">
            <v>0</v>
          </cell>
          <cell r="CG108">
            <v>0</v>
          </cell>
          <cell r="CI108">
            <v>0</v>
          </cell>
          <cell r="CK108">
            <v>0</v>
          </cell>
        </row>
        <row r="109">
          <cell r="BY109">
            <v>0</v>
          </cell>
          <cell r="BZ109">
            <v>0</v>
          </cell>
          <cell r="CC109">
            <v>0</v>
          </cell>
          <cell r="CE109">
            <v>0</v>
          </cell>
          <cell r="CG109">
            <v>0</v>
          </cell>
          <cell r="CI109">
            <v>0</v>
          </cell>
          <cell r="CK109">
            <v>0</v>
          </cell>
        </row>
        <row r="110">
          <cell r="BY110">
            <v>0</v>
          </cell>
          <cell r="BZ110">
            <v>0</v>
          </cell>
          <cell r="CC110">
            <v>0</v>
          </cell>
          <cell r="CE110">
            <v>0</v>
          </cell>
          <cell r="CG110">
            <v>0</v>
          </cell>
          <cell r="CI110">
            <v>0</v>
          </cell>
          <cell r="CK110">
            <v>0</v>
          </cell>
        </row>
        <row r="111">
          <cell r="BY111">
            <v>0</v>
          </cell>
          <cell r="BZ111">
            <v>0</v>
          </cell>
          <cell r="CC111">
            <v>0</v>
          </cell>
          <cell r="CE111">
            <v>0</v>
          </cell>
          <cell r="CG111">
            <v>0</v>
          </cell>
          <cell r="CI111">
            <v>0</v>
          </cell>
          <cell r="CK111">
            <v>0</v>
          </cell>
        </row>
        <row r="112">
          <cell r="BY112">
            <v>0</v>
          </cell>
          <cell r="BZ112">
            <v>0</v>
          </cell>
          <cell r="CC112">
            <v>0</v>
          </cell>
          <cell r="CE112">
            <v>0</v>
          </cell>
          <cell r="CG112">
            <v>0</v>
          </cell>
          <cell r="CI112">
            <v>0</v>
          </cell>
          <cell r="CK112">
            <v>0</v>
          </cell>
        </row>
        <row r="113">
          <cell r="BY113">
            <v>0</v>
          </cell>
          <cell r="BZ113">
            <v>0</v>
          </cell>
          <cell r="CC113">
            <v>0</v>
          </cell>
          <cell r="CE113">
            <v>0</v>
          </cell>
          <cell r="CG113">
            <v>0</v>
          </cell>
          <cell r="CI113">
            <v>0</v>
          </cell>
          <cell r="CK113">
            <v>0</v>
          </cell>
        </row>
        <row r="114">
          <cell r="BY114">
            <v>0</v>
          </cell>
          <cell r="BZ114">
            <v>0</v>
          </cell>
          <cell r="CC114">
            <v>0</v>
          </cell>
          <cell r="CE114">
            <v>0</v>
          </cell>
          <cell r="CG114">
            <v>0</v>
          </cell>
          <cell r="CI114">
            <v>0</v>
          </cell>
          <cell r="CK114">
            <v>0</v>
          </cell>
        </row>
        <row r="115">
          <cell r="BY115">
            <v>0</v>
          </cell>
          <cell r="BZ115">
            <v>0</v>
          </cell>
          <cell r="CC115">
            <v>0</v>
          </cell>
          <cell r="CE115">
            <v>0</v>
          </cell>
          <cell r="CG115">
            <v>0</v>
          </cell>
          <cell r="CI115">
            <v>0</v>
          </cell>
          <cell r="CK115">
            <v>0</v>
          </cell>
        </row>
        <row r="116">
          <cell r="BY116">
            <v>0</v>
          </cell>
          <cell r="BZ116">
            <v>0</v>
          </cell>
          <cell r="CC116">
            <v>0</v>
          </cell>
          <cell r="CE116">
            <v>0</v>
          </cell>
          <cell r="CG116">
            <v>0</v>
          </cell>
          <cell r="CI116">
            <v>0</v>
          </cell>
          <cell r="CK116">
            <v>0</v>
          </cell>
        </row>
        <row r="117">
          <cell r="BY117">
            <v>0</v>
          </cell>
          <cell r="BZ117">
            <v>0</v>
          </cell>
          <cell r="CC117">
            <v>0</v>
          </cell>
          <cell r="CE117">
            <v>0</v>
          </cell>
          <cell r="CG117">
            <v>0</v>
          </cell>
          <cell r="CI117">
            <v>0</v>
          </cell>
          <cell r="CK117">
            <v>0</v>
          </cell>
        </row>
        <row r="118">
          <cell r="BY118">
            <v>0</v>
          </cell>
          <cell r="BZ118">
            <v>0</v>
          </cell>
          <cell r="CC118">
            <v>0</v>
          </cell>
          <cell r="CE118">
            <v>0</v>
          </cell>
          <cell r="CG118">
            <v>0</v>
          </cell>
          <cell r="CI118">
            <v>0</v>
          </cell>
          <cell r="CK118">
            <v>0</v>
          </cell>
        </row>
        <row r="119">
          <cell r="BY119">
            <v>0</v>
          </cell>
          <cell r="BZ119">
            <v>0</v>
          </cell>
          <cell r="CC119">
            <v>0</v>
          </cell>
          <cell r="CE119">
            <v>0</v>
          </cell>
          <cell r="CG119">
            <v>0</v>
          </cell>
          <cell r="CI119">
            <v>0</v>
          </cell>
          <cell r="CK119">
            <v>0</v>
          </cell>
        </row>
        <row r="120">
          <cell r="BY120">
            <v>0</v>
          </cell>
          <cell r="BZ120">
            <v>0</v>
          </cell>
          <cell r="CC120">
            <v>0</v>
          </cell>
          <cell r="CE120">
            <v>0</v>
          </cell>
          <cell r="CG120">
            <v>0</v>
          </cell>
          <cell r="CI120">
            <v>0</v>
          </cell>
          <cell r="CK120">
            <v>0</v>
          </cell>
        </row>
        <row r="121">
          <cell r="BY121">
            <v>0</v>
          </cell>
          <cell r="BZ121">
            <v>0</v>
          </cell>
          <cell r="CC121">
            <v>0</v>
          </cell>
          <cell r="CE121">
            <v>0</v>
          </cell>
          <cell r="CG121">
            <v>0</v>
          </cell>
          <cell r="CI121">
            <v>0</v>
          </cell>
          <cell r="CK121">
            <v>0</v>
          </cell>
        </row>
        <row r="122">
          <cell r="BY122">
            <v>0</v>
          </cell>
          <cell r="BZ122">
            <v>0</v>
          </cell>
          <cell r="CC122">
            <v>0</v>
          </cell>
          <cell r="CE122">
            <v>0</v>
          </cell>
          <cell r="CG122">
            <v>0</v>
          </cell>
          <cell r="CI122">
            <v>0</v>
          </cell>
          <cell r="CK122">
            <v>0</v>
          </cell>
        </row>
        <row r="123">
          <cell r="BY123">
            <v>0</v>
          </cell>
          <cell r="BZ123">
            <v>0</v>
          </cell>
          <cell r="CC123">
            <v>0</v>
          </cell>
          <cell r="CE123">
            <v>0</v>
          </cell>
          <cell r="CG123">
            <v>0</v>
          </cell>
          <cell r="CI123">
            <v>0</v>
          </cell>
          <cell r="CK123">
            <v>0</v>
          </cell>
        </row>
        <row r="124">
          <cell r="BY124">
            <v>0</v>
          </cell>
          <cell r="BZ124">
            <v>0</v>
          </cell>
          <cell r="CC124">
            <v>0</v>
          </cell>
          <cell r="CE124">
            <v>0</v>
          </cell>
          <cell r="CG124">
            <v>0</v>
          </cell>
          <cell r="CI124">
            <v>0</v>
          </cell>
          <cell r="CK124">
            <v>0</v>
          </cell>
        </row>
        <row r="125">
          <cell r="BY125">
            <v>0</v>
          </cell>
          <cell r="BZ125">
            <v>0</v>
          </cell>
          <cell r="CC125">
            <v>0</v>
          </cell>
          <cell r="CE125">
            <v>0</v>
          </cell>
          <cell r="CG125">
            <v>0</v>
          </cell>
          <cell r="CI125">
            <v>0</v>
          </cell>
          <cell r="CK125">
            <v>0</v>
          </cell>
        </row>
        <row r="126">
          <cell r="BY126">
            <v>0</v>
          </cell>
          <cell r="BZ126">
            <v>0</v>
          </cell>
          <cell r="CC126">
            <v>0</v>
          </cell>
          <cell r="CE126">
            <v>0</v>
          </cell>
          <cell r="CG126">
            <v>0</v>
          </cell>
          <cell r="CI126">
            <v>0</v>
          </cell>
          <cell r="CK126">
            <v>0</v>
          </cell>
        </row>
        <row r="127">
          <cell r="BY127">
            <v>0</v>
          </cell>
          <cell r="BZ127">
            <v>0</v>
          </cell>
          <cell r="CC127">
            <v>0</v>
          </cell>
          <cell r="CE127">
            <v>0</v>
          </cell>
          <cell r="CG127">
            <v>0</v>
          </cell>
          <cell r="CI127">
            <v>0</v>
          </cell>
          <cell r="CK127">
            <v>0</v>
          </cell>
        </row>
        <row r="128">
          <cell r="BY128">
            <v>0</v>
          </cell>
          <cell r="BZ128">
            <v>0</v>
          </cell>
          <cell r="CC128">
            <v>0</v>
          </cell>
          <cell r="CE128">
            <v>0</v>
          </cell>
          <cell r="CG128">
            <v>0</v>
          </cell>
          <cell r="CI128">
            <v>0</v>
          </cell>
          <cell r="CK128">
            <v>0</v>
          </cell>
        </row>
        <row r="129">
          <cell r="BY129">
            <v>0</v>
          </cell>
          <cell r="BZ129">
            <v>0</v>
          </cell>
          <cell r="CC129">
            <v>0</v>
          </cell>
          <cell r="CE129">
            <v>0</v>
          </cell>
          <cell r="CG129">
            <v>0</v>
          </cell>
          <cell r="CI129">
            <v>0</v>
          </cell>
          <cell r="CK129">
            <v>0</v>
          </cell>
        </row>
        <row r="130">
          <cell r="BY130">
            <v>0</v>
          </cell>
          <cell r="BZ130">
            <v>0</v>
          </cell>
          <cell r="CC130">
            <v>0</v>
          </cell>
          <cell r="CE130">
            <v>0</v>
          </cell>
          <cell r="CG130">
            <v>0</v>
          </cell>
          <cell r="CI130">
            <v>0</v>
          </cell>
          <cell r="CK130">
            <v>0</v>
          </cell>
        </row>
        <row r="131">
          <cell r="BY131">
            <v>0</v>
          </cell>
          <cell r="BZ131">
            <v>0</v>
          </cell>
          <cell r="CC131">
            <v>0</v>
          </cell>
          <cell r="CE131">
            <v>0</v>
          </cell>
          <cell r="CG131">
            <v>0</v>
          </cell>
          <cell r="CI131">
            <v>0</v>
          </cell>
          <cell r="CK131">
            <v>0</v>
          </cell>
        </row>
        <row r="132">
          <cell r="BY132">
            <v>0</v>
          </cell>
          <cell r="BZ132">
            <v>0</v>
          </cell>
          <cell r="CC132">
            <v>0</v>
          </cell>
          <cell r="CE132">
            <v>0</v>
          </cell>
          <cell r="CG132">
            <v>0</v>
          </cell>
          <cell r="CI132">
            <v>0</v>
          </cell>
          <cell r="CK132">
            <v>0</v>
          </cell>
        </row>
        <row r="133">
          <cell r="BY133">
            <v>0</v>
          </cell>
          <cell r="BZ133">
            <v>0</v>
          </cell>
          <cell r="CC133">
            <v>0</v>
          </cell>
          <cell r="CE133">
            <v>0</v>
          </cell>
          <cell r="CG133">
            <v>0</v>
          </cell>
          <cell r="CI133">
            <v>0</v>
          </cell>
          <cell r="CK133">
            <v>0</v>
          </cell>
        </row>
        <row r="134">
          <cell r="BY134">
            <v>0</v>
          </cell>
          <cell r="BZ134">
            <v>0</v>
          </cell>
          <cell r="CC134">
            <v>0</v>
          </cell>
          <cell r="CE134">
            <v>0</v>
          </cell>
          <cell r="CG134">
            <v>0</v>
          </cell>
          <cell r="CI134">
            <v>0</v>
          </cell>
          <cell r="CK134">
            <v>0</v>
          </cell>
        </row>
        <row r="135">
          <cell r="BY135">
            <v>0</v>
          </cell>
          <cell r="BZ135">
            <v>0</v>
          </cell>
          <cell r="CC135">
            <v>0</v>
          </cell>
          <cell r="CE135">
            <v>0</v>
          </cell>
          <cell r="CG135">
            <v>0</v>
          </cell>
          <cell r="CI135">
            <v>0</v>
          </cell>
          <cell r="CK135">
            <v>0</v>
          </cell>
        </row>
        <row r="136">
          <cell r="BY136">
            <v>0</v>
          </cell>
          <cell r="BZ136">
            <v>0</v>
          </cell>
          <cell r="CC136">
            <v>0</v>
          </cell>
          <cell r="CE136">
            <v>0</v>
          </cell>
          <cell r="CG136">
            <v>0</v>
          </cell>
          <cell r="CI136">
            <v>0</v>
          </cell>
          <cell r="CK136">
            <v>0</v>
          </cell>
        </row>
        <row r="137">
          <cell r="BY137">
            <v>0</v>
          </cell>
          <cell r="BZ137">
            <v>0</v>
          </cell>
          <cell r="CC137">
            <v>0</v>
          </cell>
          <cell r="CE137">
            <v>0</v>
          </cell>
          <cell r="CG137">
            <v>0</v>
          </cell>
          <cell r="CI137">
            <v>0</v>
          </cell>
          <cell r="CK137">
            <v>0</v>
          </cell>
        </row>
        <row r="138">
          <cell r="BY138">
            <v>0</v>
          </cell>
          <cell r="BZ138">
            <v>0</v>
          </cell>
          <cell r="CC138">
            <v>0</v>
          </cell>
          <cell r="CE138">
            <v>0</v>
          </cell>
          <cell r="CG138">
            <v>0</v>
          </cell>
          <cell r="CI138">
            <v>0</v>
          </cell>
          <cell r="CK138">
            <v>0</v>
          </cell>
        </row>
        <row r="139">
          <cell r="BY139">
            <v>0</v>
          </cell>
          <cell r="BZ139">
            <v>0</v>
          </cell>
          <cell r="CC139">
            <v>0</v>
          </cell>
          <cell r="CE139">
            <v>0</v>
          </cell>
          <cell r="CG139">
            <v>0</v>
          </cell>
          <cell r="CI139">
            <v>0</v>
          </cell>
          <cell r="CK139">
            <v>0</v>
          </cell>
        </row>
        <row r="140">
          <cell r="BY140">
            <v>0</v>
          </cell>
          <cell r="BZ140">
            <v>0</v>
          </cell>
          <cell r="CC140">
            <v>0</v>
          </cell>
          <cell r="CE140">
            <v>0</v>
          </cell>
          <cell r="CG140">
            <v>0</v>
          </cell>
          <cell r="CI140">
            <v>0</v>
          </cell>
          <cell r="CK140">
            <v>0</v>
          </cell>
        </row>
        <row r="141">
          <cell r="BY141">
            <v>0</v>
          </cell>
          <cell r="BZ141">
            <v>0</v>
          </cell>
          <cell r="CC141">
            <v>0</v>
          </cell>
          <cell r="CE141">
            <v>0</v>
          </cell>
          <cell r="CG141">
            <v>0</v>
          </cell>
          <cell r="CI141">
            <v>0</v>
          </cell>
          <cell r="CK141">
            <v>0</v>
          </cell>
        </row>
        <row r="142">
          <cell r="BY142">
            <v>0</v>
          </cell>
          <cell r="BZ142">
            <v>0</v>
          </cell>
          <cell r="CC142">
            <v>0</v>
          </cell>
          <cell r="CE142">
            <v>0</v>
          </cell>
          <cell r="CG142">
            <v>0</v>
          </cell>
          <cell r="CI142">
            <v>0</v>
          </cell>
          <cell r="CK142">
            <v>0</v>
          </cell>
        </row>
        <row r="143">
          <cell r="BY143">
            <v>0</v>
          </cell>
          <cell r="BZ143">
            <v>0</v>
          </cell>
          <cell r="CC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</row>
        <row r="144">
          <cell r="BY144">
            <v>0</v>
          </cell>
          <cell r="BZ144">
            <v>0</v>
          </cell>
          <cell r="CC144">
            <v>0</v>
          </cell>
          <cell r="CE144">
            <v>0</v>
          </cell>
          <cell r="CG144">
            <v>0</v>
          </cell>
          <cell r="CI144">
            <v>0</v>
          </cell>
          <cell r="CK144">
            <v>0</v>
          </cell>
        </row>
        <row r="145">
          <cell r="BY145">
            <v>0</v>
          </cell>
          <cell r="BZ145">
            <v>0</v>
          </cell>
          <cell r="CC145">
            <v>0</v>
          </cell>
          <cell r="CE145">
            <v>0</v>
          </cell>
          <cell r="CG145">
            <v>0</v>
          </cell>
          <cell r="CI145">
            <v>0</v>
          </cell>
          <cell r="CK145">
            <v>0</v>
          </cell>
        </row>
        <row r="146">
          <cell r="BY146">
            <v>0</v>
          </cell>
          <cell r="BZ146">
            <v>0</v>
          </cell>
          <cell r="CC146">
            <v>0</v>
          </cell>
          <cell r="CE146">
            <v>0</v>
          </cell>
          <cell r="CG146">
            <v>0</v>
          </cell>
          <cell r="CI146">
            <v>0</v>
          </cell>
          <cell r="CK146">
            <v>0</v>
          </cell>
        </row>
        <row r="147">
          <cell r="BY147">
            <v>0</v>
          </cell>
          <cell r="BZ147">
            <v>0</v>
          </cell>
          <cell r="CC147">
            <v>0</v>
          </cell>
          <cell r="CE147">
            <v>0</v>
          </cell>
          <cell r="CG147">
            <v>0</v>
          </cell>
          <cell r="CI147">
            <v>0</v>
          </cell>
          <cell r="CK147">
            <v>0</v>
          </cell>
        </row>
        <row r="148">
          <cell r="BY148">
            <v>0</v>
          </cell>
          <cell r="BZ148">
            <v>0</v>
          </cell>
          <cell r="CC148">
            <v>0</v>
          </cell>
          <cell r="CE148">
            <v>0</v>
          </cell>
          <cell r="CG148">
            <v>0</v>
          </cell>
          <cell r="CI148">
            <v>0</v>
          </cell>
          <cell r="CK148">
            <v>0</v>
          </cell>
        </row>
        <row r="149">
          <cell r="BY149">
            <v>0</v>
          </cell>
          <cell r="BZ149">
            <v>0</v>
          </cell>
          <cell r="CC149">
            <v>0</v>
          </cell>
          <cell r="CE149">
            <v>0</v>
          </cell>
          <cell r="CG149">
            <v>0</v>
          </cell>
          <cell r="CI149">
            <v>0</v>
          </cell>
          <cell r="CK149">
            <v>0</v>
          </cell>
        </row>
        <row r="150">
          <cell r="BY150">
            <v>0</v>
          </cell>
          <cell r="BZ150">
            <v>0</v>
          </cell>
          <cell r="CC150">
            <v>0</v>
          </cell>
          <cell r="CE150">
            <v>0</v>
          </cell>
          <cell r="CG150">
            <v>0</v>
          </cell>
          <cell r="CI150">
            <v>0</v>
          </cell>
          <cell r="CK150">
            <v>0</v>
          </cell>
        </row>
        <row r="151">
          <cell r="BY151">
            <v>0</v>
          </cell>
          <cell r="BZ151">
            <v>0</v>
          </cell>
          <cell r="CC151">
            <v>0</v>
          </cell>
          <cell r="CE151">
            <v>0</v>
          </cell>
          <cell r="CG151">
            <v>0</v>
          </cell>
          <cell r="CI151">
            <v>0</v>
          </cell>
          <cell r="CK151">
            <v>0</v>
          </cell>
        </row>
        <row r="152">
          <cell r="BY152">
            <v>0</v>
          </cell>
          <cell r="BZ152">
            <v>0</v>
          </cell>
          <cell r="CC152">
            <v>0</v>
          </cell>
          <cell r="CE152">
            <v>0</v>
          </cell>
          <cell r="CG152">
            <v>0</v>
          </cell>
          <cell r="CI152">
            <v>0</v>
          </cell>
          <cell r="CK152">
            <v>0</v>
          </cell>
        </row>
        <row r="153">
          <cell r="BY153">
            <v>0</v>
          </cell>
          <cell r="BZ153">
            <v>0</v>
          </cell>
          <cell r="CC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</row>
        <row r="154">
          <cell r="BY154">
            <v>0</v>
          </cell>
          <cell r="BZ154">
            <v>0</v>
          </cell>
          <cell r="CC154">
            <v>0</v>
          </cell>
          <cell r="CE154">
            <v>0</v>
          </cell>
          <cell r="CG154">
            <v>0</v>
          </cell>
          <cell r="CI154">
            <v>0</v>
          </cell>
          <cell r="CK154">
            <v>0</v>
          </cell>
        </row>
        <row r="155">
          <cell r="BY155">
            <v>0</v>
          </cell>
          <cell r="BZ155">
            <v>0</v>
          </cell>
          <cell r="CC155">
            <v>0</v>
          </cell>
          <cell r="CE155">
            <v>0</v>
          </cell>
          <cell r="CG155">
            <v>0</v>
          </cell>
          <cell r="CI155">
            <v>0</v>
          </cell>
          <cell r="CK155">
            <v>0</v>
          </cell>
        </row>
        <row r="156">
          <cell r="BY156">
            <v>0</v>
          </cell>
          <cell r="BZ156">
            <v>0</v>
          </cell>
          <cell r="CC156">
            <v>0</v>
          </cell>
          <cell r="CE156">
            <v>0</v>
          </cell>
          <cell r="CG156">
            <v>0</v>
          </cell>
          <cell r="CI156">
            <v>0</v>
          </cell>
          <cell r="CK156">
            <v>0</v>
          </cell>
        </row>
        <row r="157">
          <cell r="BY157">
            <v>0</v>
          </cell>
          <cell r="BZ157">
            <v>0</v>
          </cell>
          <cell r="CC157">
            <v>0</v>
          </cell>
          <cell r="CE157">
            <v>0</v>
          </cell>
          <cell r="CG157">
            <v>0</v>
          </cell>
          <cell r="CI157">
            <v>0</v>
          </cell>
          <cell r="CK157">
            <v>0</v>
          </cell>
        </row>
        <row r="158">
          <cell r="BY158">
            <v>0</v>
          </cell>
          <cell r="BZ158">
            <v>0</v>
          </cell>
          <cell r="CC158">
            <v>0</v>
          </cell>
          <cell r="CE158">
            <v>0</v>
          </cell>
          <cell r="CG158">
            <v>0</v>
          </cell>
          <cell r="CI158">
            <v>0</v>
          </cell>
          <cell r="CK158">
            <v>0</v>
          </cell>
        </row>
        <row r="159">
          <cell r="BY159">
            <v>0</v>
          </cell>
          <cell r="BZ159">
            <v>0</v>
          </cell>
          <cell r="CC159">
            <v>0</v>
          </cell>
          <cell r="CE159">
            <v>0</v>
          </cell>
          <cell r="CG159">
            <v>0</v>
          </cell>
          <cell r="CI159">
            <v>0</v>
          </cell>
          <cell r="CK159">
            <v>0</v>
          </cell>
        </row>
        <row r="160">
          <cell r="BY160">
            <v>0</v>
          </cell>
          <cell r="BZ160">
            <v>0</v>
          </cell>
          <cell r="CC160">
            <v>0</v>
          </cell>
          <cell r="CE160">
            <v>0</v>
          </cell>
          <cell r="CG160">
            <v>0</v>
          </cell>
          <cell r="CI160">
            <v>0</v>
          </cell>
          <cell r="CK160">
            <v>0</v>
          </cell>
        </row>
        <row r="161">
          <cell r="BY161">
            <v>0</v>
          </cell>
          <cell r="BZ161">
            <v>0</v>
          </cell>
          <cell r="CC161">
            <v>0</v>
          </cell>
          <cell r="CE161">
            <v>0</v>
          </cell>
          <cell r="CG161">
            <v>0</v>
          </cell>
          <cell r="CI161">
            <v>0</v>
          </cell>
          <cell r="CK161">
            <v>0</v>
          </cell>
        </row>
        <row r="162">
          <cell r="BY162">
            <v>0</v>
          </cell>
          <cell r="BZ162">
            <v>0</v>
          </cell>
          <cell r="CC162">
            <v>0</v>
          </cell>
          <cell r="CE162">
            <v>0</v>
          </cell>
          <cell r="CG162">
            <v>0</v>
          </cell>
          <cell r="CI162">
            <v>0</v>
          </cell>
          <cell r="CK162">
            <v>0</v>
          </cell>
        </row>
        <row r="163">
          <cell r="BY163">
            <v>0</v>
          </cell>
          <cell r="BZ163">
            <v>0</v>
          </cell>
          <cell r="CC163">
            <v>0</v>
          </cell>
          <cell r="CE163">
            <v>0</v>
          </cell>
          <cell r="CG163">
            <v>0</v>
          </cell>
          <cell r="CI163">
            <v>0</v>
          </cell>
          <cell r="CK163">
            <v>0</v>
          </cell>
        </row>
        <row r="164">
          <cell r="BY164">
            <v>0</v>
          </cell>
          <cell r="BZ164">
            <v>0</v>
          </cell>
          <cell r="CC164">
            <v>0</v>
          </cell>
          <cell r="CE164">
            <v>0</v>
          </cell>
          <cell r="CG164">
            <v>0</v>
          </cell>
          <cell r="CI164">
            <v>0</v>
          </cell>
          <cell r="CK164">
            <v>0</v>
          </cell>
        </row>
        <row r="165">
          <cell r="BY165">
            <v>0</v>
          </cell>
          <cell r="BZ165">
            <v>0</v>
          </cell>
          <cell r="CC165">
            <v>0</v>
          </cell>
          <cell r="CE165">
            <v>0</v>
          </cell>
          <cell r="CG165">
            <v>0</v>
          </cell>
          <cell r="CI165">
            <v>0</v>
          </cell>
          <cell r="CK165">
            <v>0</v>
          </cell>
        </row>
        <row r="166">
          <cell r="BY166">
            <v>0</v>
          </cell>
          <cell r="CC166">
            <v>0</v>
          </cell>
          <cell r="CE166">
            <v>0</v>
          </cell>
          <cell r="CG166">
            <v>0</v>
          </cell>
          <cell r="CI166">
            <v>0</v>
          </cell>
          <cell r="CK166">
            <v>0</v>
          </cell>
        </row>
        <row r="167">
          <cell r="BY167">
            <v>0</v>
          </cell>
          <cell r="BZ167">
            <v>0</v>
          </cell>
          <cell r="CC167">
            <v>0</v>
          </cell>
          <cell r="CE167">
            <v>0</v>
          </cell>
          <cell r="CG167">
            <v>0</v>
          </cell>
          <cell r="CI167">
            <v>0</v>
          </cell>
          <cell r="CK167">
            <v>0</v>
          </cell>
        </row>
        <row r="168">
          <cell r="BY168">
            <v>0</v>
          </cell>
          <cell r="BZ168">
            <v>0</v>
          </cell>
          <cell r="CC168">
            <v>0</v>
          </cell>
          <cell r="CE168">
            <v>0</v>
          </cell>
          <cell r="CG168">
            <v>0</v>
          </cell>
          <cell r="CI168">
            <v>0</v>
          </cell>
          <cell r="CK168">
            <v>0</v>
          </cell>
        </row>
        <row r="169">
          <cell r="BY169">
            <v>0</v>
          </cell>
          <cell r="BZ169">
            <v>0</v>
          </cell>
          <cell r="CC169">
            <v>0</v>
          </cell>
          <cell r="CE169">
            <v>0</v>
          </cell>
          <cell r="CG169">
            <v>0</v>
          </cell>
          <cell r="CI169">
            <v>0</v>
          </cell>
          <cell r="CK169">
            <v>0</v>
          </cell>
        </row>
        <row r="170">
          <cell r="BY170">
            <v>0</v>
          </cell>
          <cell r="BZ170">
            <v>0</v>
          </cell>
          <cell r="CC170">
            <v>0</v>
          </cell>
          <cell r="CE170">
            <v>0</v>
          </cell>
          <cell r="CG170">
            <v>0</v>
          </cell>
          <cell r="CI170">
            <v>0</v>
          </cell>
          <cell r="CK170">
            <v>0</v>
          </cell>
        </row>
        <row r="171">
          <cell r="BY171">
            <v>0</v>
          </cell>
          <cell r="BZ171">
            <v>0</v>
          </cell>
          <cell r="CC171">
            <v>0</v>
          </cell>
          <cell r="CE171">
            <v>0</v>
          </cell>
          <cell r="CG171">
            <v>0</v>
          </cell>
          <cell r="CI171">
            <v>0</v>
          </cell>
          <cell r="CK171">
            <v>0</v>
          </cell>
        </row>
        <row r="172">
          <cell r="BY172">
            <v>0</v>
          </cell>
          <cell r="BZ172">
            <v>0</v>
          </cell>
          <cell r="CC172">
            <v>0</v>
          </cell>
          <cell r="CE172">
            <v>0</v>
          </cell>
          <cell r="CG172">
            <v>0</v>
          </cell>
          <cell r="CI172">
            <v>0</v>
          </cell>
          <cell r="CK172">
            <v>0</v>
          </cell>
        </row>
        <row r="173">
          <cell r="BY173">
            <v>0</v>
          </cell>
          <cell r="BZ173">
            <v>0</v>
          </cell>
          <cell r="CC173">
            <v>0</v>
          </cell>
          <cell r="CE173">
            <v>0</v>
          </cell>
          <cell r="CG173">
            <v>0</v>
          </cell>
          <cell r="CI173">
            <v>0</v>
          </cell>
          <cell r="CK173">
            <v>0</v>
          </cell>
        </row>
        <row r="174">
          <cell r="BY174">
            <v>0</v>
          </cell>
          <cell r="BZ174">
            <v>0</v>
          </cell>
          <cell r="CC174">
            <v>0</v>
          </cell>
          <cell r="CE174">
            <v>0</v>
          </cell>
          <cell r="CG174">
            <v>0</v>
          </cell>
          <cell r="CI174">
            <v>0</v>
          </cell>
          <cell r="CK174">
            <v>0</v>
          </cell>
        </row>
        <row r="175">
          <cell r="BY175">
            <v>0</v>
          </cell>
          <cell r="BZ175">
            <v>0</v>
          </cell>
          <cell r="CC175">
            <v>0</v>
          </cell>
          <cell r="CE175">
            <v>0</v>
          </cell>
          <cell r="CG175">
            <v>0</v>
          </cell>
          <cell r="CI175">
            <v>0</v>
          </cell>
          <cell r="CK175">
            <v>0</v>
          </cell>
        </row>
        <row r="176">
          <cell r="BY176">
            <v>0</v>
          </cell>
          <cell r="BZ176">
            <v>0</v>
          </cell>
          <cell r="CC176">
            <v>0</v>
          </cell>
          <cell r="CE176">
            <v>0</v>
          </cell>
          <cell r="CG176">
            <v>0</v>
          </cell>
          <cell r="CI176">
            <v>0</v>
          </cell>
          <cell r="CK176">
            <v>0</v>
          </cell>
        </row>
        <row r="177">
          <cell r="BY177">
            <v>0</v>
          </cell>
          <cell r="BZ177">
            <v>0</v>
          </cell>
          <cell r="CC177">
            <v>0</v>
          </cell>
          <cell r="CE177">
            <v>0</v>
          </cell>
          <cell r="CG177">
            <v>0</v>
          </cell>
          <cell r="CI177">
            <v>0</v>
          </cell>
          <cell r="CK177">
            <v>0</v>
          </cell>
        </row>
        <row r="178">
          <cell r="BY178">
            <v>0</v>
          </cell>
          <cell r="BZ178">
            <v>0</v>
          </cell>
          <cell r="CC178">
            <v>0</v>
          </cell>
          <cell r="CE178">
            <v>0</v>
          </cell>
          <cell r="CG178">
            <v>0</v>
          </cell>
          <cell r="CI178">
            <v>0</v>
          </cell>
          <cell r="CK178">
            <v>0</v>
          </cell>
        </row>
        <row r="179">
          <cell r="BY179">
            <v>0</v>
          </cell>
          <cell r="BZ179">
            <v>0</v>
          </cell>
          <cell r="CC179" t="e">
            <v>#REF!</v>
          </cell>
          <cell r="CE179" t="e">
            <v>#REF!</v>
          </cell>
          <cell r="CG179" t="e">
            <v>#REF!</v>
          </cell>
          <cell r="CI179" t="e">
            <v>#REF!</v>
          </cell>
          <cell r="CK179" t="e">
            <v>#REF!</v>
          </cell>
        </row>
        <row r="180">
          <cell r="BY180">
            <v>0</v>
          </cell>
          <cell r="BZ180">
            <v>0</v>
          </cell>
          <cell r="CC180">
            <v>0</v>
          </cell>
          <cell r="CE180">
            <v>0</v>
          </cell>
          <cell r="CG180">
            <v>0</v>
          </cell>
          <cell r="CI180">
            <v>0</v>
          </cell>
          <cell r="CK180">
            <v>0</v>
          </cell>
        </row>
        <row r="181">
          <cell r="BY181">
            <v>0</v>
          </cell>
          <cell r="BZ181">
            <v>0</v>
          </cell>
          <cell r="CC181">
            <v>0</v>
          </cell>
          <cell r="CE181">
            <v>0</v>
          </cell>
          <cell r="CG181">
            <v>0</v>
          </cell>
          <cell r="CI181">
            <v>0</v>
          </cell>
          <cell r="CK181">
            <v>0</v>
          </cell>
        </row>
        <row r="182">
          <cell r="BY182">
            <v>0</v>
          </cell>
          <cell r="BZ182">
            <v>0</v>
          </cell>
          <cell r="CC182" t="e">
            <v>#REF!</v>
          </cell>
          <cell r="CE182" t="e">
            <v>#REF!</v>
          </cell>
          <cell r="CG182" t="e">
            <v>#REF!</v>
          </cell>
          <cell r="CI182" t="e">
            <v>#REF!</v>
          </cell>
          <cell r="CK182" t="e">
            <v>#REF!</v>
          </cell>
        </row>
        <row r="183">
          <cell r="BY183">
            <v>0</v>
          </cell>
          <cell r="BZ183">
            <v>0</v>
          </cell>
          <cell r="CC183">
            <v>0</v>
          </cell>
          <cell r="CE183">
            <v>0</v>
          </cell>
          <cell r="CG183">
            <v>0</v>
          </cell>
          <cell r="CI183">
            <v>0</v>
          </cell>
          <cell r="CK183">
            <v>0</v>
          </cell>
        </row>
        <row r="184">
          <cell r="BY184">
            <v>0</v>
          </cell>
          <cell r="BZ184">
            <v>0</v>
          </cell>
          <cell r="CC184">
            <v>0</v>
          </cell>
          <cell r="CE184">
            <v>0</v>
          </cell>
          <cell r="CG184">
            <v>0</v>
          </cell>
          <cell r="CI184">
            <v>0</v>
          </cell>
          <cell r="CK184">
            <v>0</v>
          </cell>
        </row>
        <row r="185">
          <cell r="BY185">
            <v>0</v>
          </cell>
          <cell r="BZ185">
            <v>0</v>
          </cell>
          <cell r="CC185">
            <v>0</v>
          </cell>
          <cell r="CE185">
            <v>0</v>
          </cell>
          <cell r="CG185">
            <v>0</v>
          </cell>
          <cell r="CI185">
            <v>0</v>
          </cell>
          <cell r="CK185">
            <v>0</v>
          </cell>
        </row>
        <row r="186">
          <cell r="BY186">
            <v>0</v>
          </cell>
          <cell r="BZ186">
            <v>0</v>
          </cell>
          <cell r="CC186">
            <v>0</v>
          </cell>
          <cell r="CE186">
            <v>0</v>
          </cell>
          <cell r="CG186">
            <v>0</v>
          </cell>
          <cell r="CI186">
            <v>0</v>
          </cell>
          <cell r="CK186">
            <v>0</v>
          </cell>
        </row>
        <row r="187">
          <cell r="BY187">
            <v>0</v>
          </cell>
          <cell r="BZ187">
            <v>0</v>
          </cell>
          <cell r="CC187">
            <v>0</v>
          </cell>
          <cell r="CE187">
            <v>0</v>
          </cell>
          <cell r="CG187">
            <v>0</v>
          </cell>
          <cell r="CI187">
            <v>0</v>
          </cell>
          <cell r="CK187">
            <v>0</v>
          </cell>
        </row>
        <row r="188">
          <cell r="BY188">
            <v>0</v>
          </cell>
          <cell r="BZ188">
            <v>0</v>
          </cell>
          <cell r="CC188">
            <v>0</v>
          </cell>
          <cell r="CE188">
            <v>0</v>
          </cell>
          <cell r="CG188">
            <v>0</v>
          </cell>
          <cell r="CI188">
            <v>0</v>
          </cell>
          <cell r="CK188">
            <v>0</v>
          </cell>
        </row>
        <row r="189">
          <cell r="BY189">
            <v>0</v>
          </cell>
          <cell r="BZ189">
            <v>0</v>
          </cell>
          <cell r="CC189">
            <v>0</v>
          </cell>
          <cell r="CE189">
            <v>0</v>
          </cell>
          <cell r="CG189">
            <v>0</v>
          </cell>
          <cell r="CI189">
            <v>0</v>
          </cell>
          <cell r="CK189">
            <v>0</v>
          </cell>
        </row>
        <row r="190">
          <cell r="BY190">
            <v>0</v>
          </cell>
          <cell r="BZ190">
            <v>0</v>
          </cell>
          <cell r="CC190">
            <v>0</v>
          </cell>
          <cell r="CE190">
            <v>0</v>
          </cell>
          <cell r="CG190">
            <v>0</v>
          </cell>
          <cell r="CI190">
            <v>0</v>
          </cell>
          <cell r="CK190">
            <v>0</v>
          </cell>
        </row>
        <row r="191">
          <cell r="BY191">
            <v>0</v>
          </cell>
          <cell r="BZ191">
            <v>0</v>
          </cell>
          <cell r="CC191">
            <v>0</v>
          </cell>
          <cell r="CE191">
            <v>0</v>
          </cell>
          <cell r="CG191">
            <v>0</v>
          </cell>
          <cell r="CI191">
            <v>0</v>
          </cell>
          <cell r="CK191">
            <v>0</v>
          </cell>
        </row>
        <row r="192">
          <cell r="BY192">
            <v>0</v>
          </cell>
          <cell r="BZ192">
            <v>0</v>
          </cell>
          <cell r="CC192">
            <v>0</v>
          </cell>
          <cell r="CE192">
            <v>0</v>
          </cell>
          <cell r="CG192">
            <v>0</v>
          </cell>
          <cell r="CI192">
            <v>0</v>
          </cell>
          <cell r="CK192">
            <v>0</v>
          </cell>
        </row>
        <row r="193">
          <cell r="BY193">
            <v>0</v>
          </cell>
          <cell r="BZ193">
            <v>0</v>
          </cell>
          <cell r="CC193">
            <v>0</v>
          </cell>
          <cell r="CE193">
            <v>0</v>
          </cell>
          <cell r="CG193">
            <v>0</v>
          </cell>
          <cell r="CI193">
            <v>0</v>
          </cell>
          <cell r="CK193">
            <v>0</v>
          </cell>
        </row>
        <row r="194">
          <cell r="BY194">
            <v>0</v>
          </cell>
          <cell r="BZ194">
            <v>0</v>
          </cell>
          <cell r="CC194">
            <v>0</v>
          </cell>
          <cell r="CE194">
            <v>0</v>
          </cell>
          <cell r="CG194">
            <v>0</v>
          </cell>
          <cell r="CI194">
            <v>0</v>
          </cell>
          <cell r="CK194">
            <v>0</v>
          </cell>
        </row>
        <row r="195">
          <cell r="BY195">
            <v>0</v>
          </cell>
          <cell r="BZ195">
            <v>0</v>
          </cell>
          <cell r="CC195">
            <v>0</v>
          </cell>
          <cell r="CE195">
            <v>0</v>
          </cell>
          <cell r="CG195">
            <v>0</v>
          </cell>
          <cell r="CI195">
            <v>0</v>
          </cell>
          <cell r="CK195">
            <v>0</v>
          </cell>
        </row>
        <row r="196">
          <cell r="BY196">
            <v>0</v>
          </cell>
          <cell r="BZ196">
            <v>0</v>
          </cell>
          <cell r="CC196">
            <v>0</v>
          </cell>
          <cell r="CE196">
            <v>0</v>
          </cell>
          <cell r="CG196">
            <v>0</v>
          </cell>
          <cell r="CI196">
            <v>0</v>
          </cell>
          <cell r="CK196">
            <v>0</v>
          </cell>
        </row>
        <row r="197">
          <cell r="BY197">
            <v>0</v>
          </cell>
          <cell r="BZ197">
            <v>0</v>
          </cell>
          <cell r="CC197" t="e">
            <v>#REF!</v>
          </cell>
          <cell r="CE197" t="e">
            <v>#REF!</v>
          </cell>
          <cell r="CG197" t="e">
            <v>#REF!</v>
          </cell>
          <cell r="CI197" t="e">
            <v>#REF!</v>
          </cell>
          <cell r="CK197" t="e">
            <v>#REF!</v>
          </cell>
        </row>
        <row r="198">
          <cell r="BY198">
            <v>0</v>
          </cell>
          <cell r="BZ198">
            <v>0</v>
          </cell>
          <cell r="CC198" t="e">
            <v>#REF!</v>
          </cell>
          <cell r="CE198" t="e">
            <v>#REF!</v>
          </cell>
          <cell r="CG198" t="e">
            <v>#REF!</v>
          </cell>
          <cell r="CI198" t="e">
            <v>#REF!</v>
          </cell>
          <cell r="CK198" t="e">
            <v>#REF!</v>
          </cell>
        </row>
        <row r="199">
          <cell r="BY199">
            <v>0</v>
          </cell>
          <cell r="BZ199">
            <v>0</v>
          </cell>
          <cell r="CC199" t="e">
            <v>#REF!</v>
          </cell>
          <cell r="CE199" t="e">
            <v>#REF!</v>
          </cell>
          <cell r="CG199" t="e">
            <v>#REF!</v>
          </cell>
          <cell r="CI199" t="e">
            <v>#REF!</v>
          </cell>
          <cell r="CK199" t="e">
            <v>#REF!</v>
          </cell>
        </row>
        <row r="200">
          <cell r="BY200">
            <v>0</v>
          </cell>
          <cell r="BZ200">
            <v>0</v>
          </cell>
          <cell r="CC200" t="e">
            <v>#REF!</v>
          </cell>
          <cell r="CE200" t="e">
            <v>#REF!</v>
          </cell>
          <cell r="CG200" t="e">
            <v>#REF!</v>
          </cell>
          <cell r="CI200" t="e">
            <v>#REF!</v>
          </cell>
          <cell r="CK200" t="e">
            <v>#REF!</v>
          </cell>
        </row>
        <row r="201">
          <cell r="BY201">
            <v>0</v>
          </cell>
          <cell r="BZ201">
            <v>0</v>
          </cell>
          <cell r="CC201" t="e">
            <v>#REF!</v>
          </cell>
          <cell r="CE201" t="e">
            <v>#REF!</v>
          </cell>
          <cell r="CG201" t="e">
            <v>#REF!</v>
          </cell>
          <cell r="CI201" t="e">
            <v>#REF!</v>
          </cell>
          <cell r="CK201" t="e">
            <v>#REF!</v>
          </cell>
        </row>
        <row r="202">
          <cell r="BY202">
            <v>0</v>
          </cell>
          <cell r="BZ202">
            <v>0</v>
          </cell>
          <cell r="CC202" t="e">
            <v>#REF!</v>
          </cell>
          <cell r="CE202" t="e">
            <v>#REF!</v>
          </cell>
          <cell r="CG202" t="e">
            <v>#REF!</v>
          </cell>
          <cell r="CI202" t="e">
            <v>#REF!</v>
          </cell>
          <cell r="CK202" t="e">
            <v>#REF!</v>
          </cell>
        </row>
        <row r="203">
          <cell r="BY203">
            <v>0</v>
          </cell>
          <cell r="BZ203">
            <v>0</v>
          </cell>
          <cell r="CC203" t="e">
            <v>#REF!</v>
          </cell>
          <cell r="CE203" t="e">
            <v>#REF!</v>
          </cell>
          <cell r="CG203" t="e">
            <v>#REF!</v>
          </cell>
          <cell r="CI203" t="e">
            <v>#REF!</v>
          </cell>
          <cell r="CK203" t="e">
            <v>#REF!</v>
          </cell>
        </row>
        <row r="204">
          <cell r="BY204">
            <v>0</v>
          </cell>
          <cell r="BZ204">
            <v>0</v>
          </cell>
          <cell r="CC204" t="e">
            <v>#REF!</v>
          </cell>
          <cell r="CE204" t="e">
            <v>#REF!</v>
          </cell>
          <cell r="CG204" t="e">
            <v>#REF!</v>
          </cell>
          <cell r="CI204" t="e">
            <v>#REF!</v>
          </cell>
          <cell r="CK204" t="e">
            <v>#REF!</v>
          </cell>
        </row>
        <row r="205">
          <cell r="BY205">
            <v>0</v>
          </cell>
          <cell r="BZ205">
            <v>0</v>
          </cell>
          <cell r="CC205" t="e">
            <v>#REF!</v>
          </cell>
          <cell r="CE205" t="e">
            <v>#REF!</v>
          </cell>
          <cell r="CG205" t="e">
            <v>#REF!</v>
          </cell>
          <cell r="CI205" t="e">
            <v>#REF!</v>
          </cell>
          <cell r="CK205" t="e">
            <v>#REF!</v>
          </cell>
        </row>
        <row r="206">
          <cell r="BY206">
            <v>0</v>
          </cell>
          <cell r="BZ206">
            <v>0</v>
          </cell>
          <cell r="CC206" t="e">
            <v>#REF!</v>
          </cell>
          <cell r="CE206" t="e">
            <v>#REF!</v>
          </cell>
          <cell r="CG206" t="e">
            <v>#REF!</v>
          </cell>
          <cell r="CI206" t="e">
            <v>#REF!</v>
          </cell>
          <cell r="CK206" t="e">
            <v>#REF!</v>
          </cell>
        </row>
        <row r="207">
          <cell r="BY207">
            <v>0</v>
          </cell>
          <cell r="BZ207">
            <v>0</v>
          </cell>
          <cell r="CC207" t="e">
            <v>#REF!</v>
          </cell>
          <cell r="CE207" t="e">
            <v>#REF!</v>
          </cell>
          <cell r="CG207" t="e">
            <v>#REF!</v>
          </cell>
          <cell r="CI207" t="e">
            <v>#REF!</v>
          </cell>
          <cell r="CK207" t="e">
            <v>#REF!</v>
          </cell>
        </row>
        <row r="208">
          <cell r="BY208">
            <v>0</v>
          </cell>
          <cell r="BZ208">
            <v>0</v>
          </cell>
          <cell r="CC208" t="e">
            <v>#REF!</v>
          </cell>
          <cell r="CE208" t="e">
            <v>#REF!</v>
          </cell>
          <cell r="CG208" t="e">
            <v>#REF!</v>
          </cell>
          <cell r="CI208" t="e">
            <v>#REF!</v>
          </cell>
          <cell r="CK208" t="e">
            <v>#REF!</v>
          </cell>
        </row>
        <row r="209">
          <cell r="BY209">
            <v>0</v>
          </cell>
          <cell r="BZ209">
            <v>0</v>
          </cell>
          <cell r="CC209" t="e">
            <v>#REF!</v>
          </cell>
          <cell r="CE209" t="e">
            <v>#REF!</v>
          </cell>
          <cell r="CG209" t="e">
            <v>#REF!</v>
          </cell>
          <cell r="CI209" t="e">
            <v>#REF!</v>
          </cell>
          <cell r="CK209" t="e">
            <v>#REF!</v>
          </cell>
        </row>
        <row r="210">
          <cell r="BY210">
            <v>0</v>
          </cell>
          <cell r="BZ210">
            <v>0</v>
          </cell>
          <cell r="CC210" t="e">
            <v>#REF!</v>
          </cell>
          <cell r="CE210" t="e">
            <v>#REF!</v>
          </cell>
          <cell r="CG210" t="e">
            <v>#REF!</v>
          </cell>
          <cell r="CI210" t="e">
            <v>#REF!</v>
          </cell>
          <cell r="CK210" t="e">
            <v>#REF!</v>
          </cell>
        </row>
        <row r="211">
          <cell r="BY211">
            <v>0</v>
          </cell>
          <cell r="BZ211">
            <v>0</v>
          </cell>
          <cell r="CC211" t="e">
            <v>#REF!</v>
          </cell>
          <cell r="CE211" t="e">
            <v>#REF!</v>
          </cell>
          <cell r="CG211" t="e">
            <v>#REF!</v>
          </cell>
          <cell r="CI211" t="e">
            <v>#REF!</v>
          </cell>
          <cell r="CK211" t="e">
            <v>#REF!</v>
          </cell>
        </row>
        <row r="212">
          <cell r="BY212">
            <v>0</v>
          </cell>
          <cell r="BZ212">
            <v>5868.4793707115996</v>
          </cell>
          <cell r="CC212" t="e">
            <v>#REF!</v>
          </cell>
          <cell r="CE212" t="e">
            <v>#REF!</v>
          </cell>
          <cell r="CG212" t="e">
            <v>#REF!</v>
          </cell>
          <cell r="CI212" t="e">
            <v>#REF!</v>
          </cell>
          <cell r="CK212" t="e">
            <v>#REF!</v>
          </cell>
        </row>
        <row r="213">
          <cell r="BY213">
            <v>0</v>
          </cell>
          <cell r="BZ213">
            <v>0</v>
          </cell>
          <cell r="CC213" t="e">
            <v>#REF!</v>
          </cell>
          <cell r="CE213" t="e">
            <v>#REF!</v>
          </cell>
          <cell r="CG213" t="e">
            <v>#REF!</v>
          </cell>
          <cell r="CI213" t="e">
            <v>#REF!</v>
          </cell>
          <cell r="CK213" t="e">
            <v>#REF!</v>
          </cell>
        </row>
        <row r="214">
          <cell r="BY214">
            <v>0</v>
          </cell>
          <cell r="BZ214">
            <v>0</v>
          </cell>
          <cell r="CC214" t="e">
            <v>#REF!</v>
          </cell>
          <cell r="CE214" t="e">
            <v>#REF!</v>
          </cell>
          <cell r="CG214" t="e">
            <v>#REF!</v>
          </cell>
          <cell r="CI214" t="e">
            <v>#REF!</v>
          </cell>
          <cell r="CK214" t="e">
            <v>#REF!</v>
          </cell>
        </row>
        <row r="215">
          <cell r="BY215">
            <v>0</v>
          </cell>
          <cell r="BZ215">
            <v>0</v>
          </cell>
          <cell r="CC215" t="e">
            <v>#REF!</v>
          </cell>
          <cell r="CE215" t="e">
            <v>#REF!</v>
          </cell>
          <cell r="CG215" t="e">
            <v>#REF!</v>
          </cell>
          <cell r="CI215" t="e">
            <v>#REF!</v>
          </cell>
          <cell r="CK215" t="e">
            <v>#REF!</v>
          </cell>
        </row>
        <row r="216">
          <cell r="BY216">
            <v>0</v>
          </cell>
          <cell r="BZ216">
            <v>0</v>
          </cell>
          <cell r="CC216" t="e">
            <v>#REF!</v>
          </cell>
          <cell r="CE216" t="e">
            <v>#REF!</v>
          </cell>
          <cell r="CG216" t="e">
            <v>#REF!</v>
          </cell>
          <cell r="CI216" t="e">
            <v>#REF!</v>
          </cell>
          <cell r="CK216" t="e">
            <v>#REF!</v>
          </cell>
        </row>
        <row r="217">
          <cell r="BY217">
            <v>0</v>
          </cell>
          <cell r="BZ217">
            <v>0</v>
          </cell>
          <cell r="CC217" t="e">
            <v>#REF!</v>
          </cell>
          <cell r="CE217" t="e">
            <v>#REF!</v>
          </cell>
          <cell r="CG217" t="e">
            <v>#REF!</v>
          </cell>
          <cell r="CI217" t="e">
            <v>#REF!</v>
          </cell>
          <cell r="CK217" t="e">
            <v>#REF!</v>
          </cell>
        </row>
        <row r="218">
          <cell r="BY218">
            <v>0</v>
          </cell>
          <cell r="BZ218">
            <v>0</v>
          </cell>
          <cell r="CC218" t="e">
            <v>#REF!</v>
          </cell>
          <cell r="CE218" t="e">
            <v>#REF!</v>
          </cell>
          <cell r="CG218" t="e">
            <v>#REF!</v>
          </cell>
          <cell r="CI218" t="e">
            <v>#REF!</v>
          </cell>
          <cell r="CK218" t="e">
            <v>#REF!</v>
          </cell>
        </row>
        <row r="219">
          <cell r="BY219">
            <v>0</v>
          </cell>
          <cell r="BZ219">
            <v>0</v>
          </cell>
          <cell r="CC219" t="e">
            <v>#REF!</v>
          </cell>
          <cell r="CE219" t="e">
            <v>#REF!</v>
          </cell>
          <cell r="CG219" t="e">
            <v>#REF!</v>
          </cell>
          <cell r="CI219" t="e">
            <v>#REF!</v>
          </cell>
          <cell r="CK219" t="e">
            <v>#REF!</v>
          </cell>
        </row>
        <row r="220">
          <cell r="BY220">
            <v>0</v>
          </cell>
          <cell r="BZ220">
            <v>0</v>
          </cell>
          <cell r="CC220" t="e">
            <v>#REF!</v>
          </cell>
          <cell r="CE220" t="e">
            <v>#REF!</v>
          </cell>
          <cell r="CG220" t="e">
            <v>#REF!</v>
          </cell>
          <cell r="CI220" t="e">
            <v>#REF!</v>
          </cell>
          <cell r="CK220" t="e">
            <v>#REF!</v>
          </cell>
        </row>
        <row r="221">
          <cell r="BY221">
            <v>0</v>
          </cell>
          <cell r="BZ221">
            <v>0</v>
          </cell>
          <cell r="CC221" t="e">
            <v>#REF!</v>
          </cell>
          <cell r="CE221" t="e">
            <v>#REF!</v>
          </cell>
          <cell r="CG221" t="e">
            <v>#REF!</v>
          </cell>
          <cell r="CI221" t="e">
            <v>#REF!</v>
          </cell>
          <cell r="CK221" t="e">
            <v>#REF!</v>
          </cell>
        </row>
        <row r="222">
          <cell r="BY222">
            <v>0</v>
          </cell>
          <cell r="BZ222">
            <v>0</v>
          </cell>
          <cell r="CC222" t="e">
            <v>#REF!</v>
          </cell>
          <cell r="CE222" t="e">
            <v>#REF!</v>
          </cell>
          <cell r="CG222" t="e">
            <v>#REF!</v>
          </cell>
          <cell r="CI222" t="e">
            <v>#REF!</v>
          </cell>
          <cell r="CK222" t="e">
            <v>#REF!</v>
          </cell>
        </row>
        <row r="223">
          <cell r="BY223">
            <v>0</v>
          </cell>
          <cell r="BZ223">
            <v>0</v>
          </cell>
          <cell r="CC223" t="e">
            <v>#REF!</v>
          </cell>
          <cell r="CE223" t="e">
            <v>#REF!</v>
          </cell>
          <cell r="CG223" t="e">
            <v>#REF!</v>
          </cell>
          <cell r="CI223" t="e">
            <v>#REF!</v>
          </cell>
          <cell r="CK223" t="e">
            <v>#REF!</v>
          </cell>
        </row>
        <row r="224">
          <cell r="BY224">
            <v>0</v>
          </cell>
          <cell r="BZ224">
            <v>0</v>
          </cell>
          <cell r="CC224" t="e">
            <v>#REF!</v>
          </cell>
          <cell r="CE224" t="e">
            <v>#REF!</v>
          </cell>
          <cell r="CG224" t="e">
            <v>#REF!</v>
          </cell>
          <cell r="CI224" t="e">
            <v>#REF!</v>
          </cell>
          <cell r="CK224" t="e">
            <v>#REF!</v>
          </cell>
        </row>
        <row r="225">
          <cell r="BY225">
            <v>0</v>
          </cell>
          <cell r="BZ225">
            <v>0</v>
          </cell>
          <cell r="CC225" t="e">
            <v>#REF!</v>
          </cell>
          <cell r="CE225" t="e">
            <v>#REF!</v>
          </cell>
          <cell r="CG225" t="e">
            <v>#REF!</v>
          </cell>
          <cell r="CI225" t="e">
            <v>#REF!</v>
          </cell>
          <cell r="CK225" t="e">
            <v>#REF!</v>
          </cell>
        </row>
        <row r="226">
          <cell r="BY226">
            <v>0</v>
          </cell>
          <cell r="BZ226">
            <v>0</v>
          </cell>
          <cell r="CC226" t="e">
            <v>#REF!</v>
          </cell>
          <cell r="CE226" t="e">
            <v>#REF!</v>
          </cell>
          <cell r="CG226" t="e">
            <v>#REF!</v>
          </cell>
          <cell r="CI226" t="e">
            <v>#REF!</v>
          </cell>
          <cell r="CK226" t="e">
            <v>#REF!</v>
          </cell>
        </row>
        <row r="227">
          <cell r="BY227">
            <v>0</v>
          </cell>
          <cell r="BZ227">
            <v>5868.4793707115996</v>
          </cell>
          <cell r="CC227" t="e">
            <v>#REF!</v>
          </cell>
          <cell r="CE227" t="e">
            <v>#REF!</v>
          </cell>
          <cell r="CG227" t="e">
            <v>#REF!</v>
          </cell>
          <cell r="CI227" t="e">
            <v>#REF!</v>
          </cell>
          <cell r="CK227" t="e">
            <v>#REF!</v>
          </cell>
        </row>
        <row r="228">
          <cell r="BY228">
            <v>0</v>
          </cell>
          <cell r="BZ228">
            <v>5868.4793707115996</v>
          </cell>
          <cell r="CC228" t="e">
            <v>#REF!</v>
          </cell>
          <cell r="CE228" t="e">
            <v>#REF!</v>
          </cell>
          <cell r="CG228" t="e">
            <v>#REF!</v>
          </cell>
          <cell r="CI228" t="e">
            <v>#REF!</v>
          </cell>
          <cell r="CK228" t="e">
            <v>#REF!</v>
          </cell>
        </row>
        <row r="229">
          <cell r="BY229">
            <v>0</v>
          </cell>
          <cell r="BZ229">
            <v>0</v>
          </cell>
          <cell r="CC229">
            <v>0</v>
          </cell>
          <cell r="CE229">
            <v>0</v>
          </cell>
          <cell r="CG229">
            <v>0</v>
          </cell>
          <cell r="CI229">
            <v>0</v>
          </cell>
          <cell r="CK229">
            <v>0</v>
          </cell>
        </row>
        <row r="230">
          <cell r="BY230">
            <v>0</v>
          </cell>
          <cell r="BZ230">
            <v>0</v>
          </cell>
          <cell r="CC230">
            <v>0</v>
          </cell>
          <cell r="CE230">
            <v>0</v>
          </cell>
          <cell r="CG230">
            <v>0</v>
          </cell>
          <cell r="CI230">
            <v>0</v>
          </cell>
          <cell r="CK230">
            <v>0</v>
          </cell>
        </row>
        <row r="231">
          <cell r="BY231">
            <v>0</v>
          </cell>
          <cell r="BZ231">
            <v>0</v>
          </cell>
          <cell r="CC231">
            <v>0</v>
          </cell>
          <cell r="CE231">
            <v>0</v>
          </cell>
          <cell r="CG231">
            <v>0</v>
          </cell>
          <cell r="CI231">
            <v>0</v>
          </cell>
          <cell r="CK231">
            <v>0</v>
          </cell>
        </row>
        <row r="232">
          <cell r="BY232">
            <v>0</v>
          </cell>
          <cell r="BZ232">
            <v>5868.4793707115996</v>
          </cell>
          <cell r="CC232" t="e">
            <v>#REF!</v>
          </cell>
          <cell r="CE232" t="e">
            <v>#REF!</v>
          </cell>
          <cell r="CG232" t="e">
            <v>#REF!</v>
          </cell>
          <cell r="CI232" t="e">
            <v>#REF!</v>
          </cell>
          <cell r="CK232" t="e">
            <v>#REF!</v>
          </cell>
        </row>
        <row r="233">
          <cell r="BT233">
            <v>13384.071</v>
          </cell>
          <cell r="BY233">
            <v>0</v>
          </cell>
          <cell r="BZ233">
            <v>5868.4793707115996</v>
          </cell>
          <cell r="CC233" t="e">
            <v>#REF!</v>
          </cell>
          <cell r="CE233" t="e">
            <v>#REF!</v>
          </cell>
          <cell r="CG233" t="e">
            <v>#REF!</v>
          </cell>
          <cell r="CI233" t="e">
            <v>#REF!</v>
          </cell>
          <cell r="CK233" t="e">
            <v>#REF!</v>
          </cell>
        </row>
        <row r="234">
          <cell r="BT234">
            <v>0</v>
          </cell>
          <cell r="BY234">
            <v>0</v>
          </cell>
          <cell r="BZ234">
            <v>0</v>
          </cell>
          <cell r="CC234">
            <v>0</v>
          </cell>
          <cell r="CE234">
            <v>0</v>
          </cell>
          <cell r="CG234">
            <v>0</v>
          </cell>
          <cell r="CI234">
            <v>0</v>
          </cell>
          <cell r="CK234">
            <v>0</v>
          </cell>
        </row>
        <row r="235">
          <cell r="BT235">
            <v>0</v>
          </cell>
          <cell r="BY235">
            <v>0</v>
          </cell>
          <cell r="BZ235">
            <v>0</v>
          </cell>
          <cell r="CC235">
            <v>0</v>
          </cell>
          <cell r="CE235">
            <v>0</v>
          </cell>
          <cell r="CG235">
            <v>0</v>
          </cell>
          <cell r="CI235">
            <v>0</v>
          </cell>
          <cell r="CK235">
            <v>0</v>
          </cell>
        </row>
        <row r="236">
          <cell r="BT236">
            <v>0</v>
          </cell>
          <cell r="BY236">
            <v>0</v>
          </cell>
          <cell r="BZ236">
            <v>0</v>
          </cell>
          <cell r="CC236">
            <v>0</v>
          </cell>
          <cell r="CE236">
            <v>0</v>
          </cell>
          <cell r="CG236">
            <v>0</v>
          </cell>
          <cell r="CI236">
            <v>0</v>
          </cell>
          <cell r="CK236">
            <v>0</v>
          </cell>
        </row>
        <row r="237">
          <cell r="BY237">
            <v>0</v>
          </cell>
          <cell r="BZ237">
            <v>1.0315800000000039</v>
          </cell>
          <cell r="CC237" t="e">
            <v>#REF!</v>
          </cell>
          <cell r="CE237" t="e">
            <v>#REF!</v>
          </cell>
          <cell r="CG237" t="e">
            <v>#REF!</v>
          </cell>
          <cell r="CI237" t="e">
            <v>#REF!</v>
          </cell>
          <cell r="CK237" t="e">
            <v>#REF!</v>
          </cell>
        </row>
      </sheetData>
      <sheetData sheetId="52">
        <row r="93">
          <cell r="BY93">
            <v>0</v>
          </cell>
          <cell r="CC93">
            <v>0</v>
          </cell>
          <cell r="CE93">
            <v>0</v>
          </cell>
          <cell r="CG93">
            <v>0</v>
          </cell>
          <cell r="CI93">
            <v>0</v>
          </cell>
          <cell r="CK93">
            <v>0</v>
          </cell>
        </row>
        <row r="94">
          <cell r="BY94">
            <v>0</v>
          </cell>
          <cell r="CC94">
            <v>0</v>
          </cell>
          <cell r="CE94">
            <v>0</v>
          </cell>
          <cell r="CG94">
            <v>0</v>
          </cell>
          <cell r="CI94">
            <v>0</v>
          </cell>
          <cell r="CK94">
            <v>0</v>
          </cell>
        </row>
        <row r="95">
          <cell r="BY95">
            <v>0</v>
          </cell>
          <cell r="CC95">
            <v>0</v>
          </cell>
          <cell r="CE95">
            <v>0</v>
          </cell>
          <cell r="CG95">
            <v>0</v>
          </cell>
          <cell r="CI95">
            <v>0</v>
          </cell>
          <cell r="CK95">
            <v>0</v>
          </cell>
        </row>
        <row r="96">
          <cell r="BY96">
            <v>0</v>
          </cell>
          <cell r="CC96">
            <v>0</v>
          </cell>
          <cell r="CE96">
            <v>0</v>
          </cell>
          <cell r="CG96">
            <v>0</v>
          </cell>
          <cell r="CI96">
            <v>0</v>
          </cell>
          <cell r="CK96">
            <v>0</v>
          </cell>
        </row>
        <row r="97">
          <cell r="BY97">
            <v>0</v>
          </cell>
          <cell r="CC97">
            <v>0</v>
          </cell>
          <cell r="CE97">
            <v>0</v>
          </cell>
          <cell r="CG97">
            <v>0</v>
          </cell>
          <cell r="CI97">
            <v>0</v>
          </cell>
          <cell r="CK97">
            <v>0</v>
          </cell>
        </row>
        <row r="98">
          <cell r="BY98">
            <v>0</v>
          </cell>
          <cell r="CC98">
            <v>0</v>
          </cell>
          <cell r="CE98">
            <v>0</v>
          </cell>
          <cell r="CG98">
            <v>0</v>
          </cell>
          <cell r="CI98">
            <v>0</v>
          </cell>
          <cell r="CK98">
            <v>0</v>
          </cell>
        </row>
        <row r="99">
          <cell r="BY99">
            <v>0</v>
          </cell>
          <cell r="CC99">
            <v>0</v>
          </cell>
          <cell r="CE99">
            <v>0</v>
          </cell>
          <cell r="CG99">
            <v>0</v>
          </cell>
          <cell r="CI99">
            <v>0</v>
          </cell>
          <cell r="CK99">
            <v>0</v>
          </cell>
        </row>
        <row r="100">
          <cell r="BY100">
            <v>0</v>
          </cell>
          <cell r="CC100">
            <v>0</v>
          </cell>
          <cell r="CE100">
            <v>0</v>
          </cell>
          <cell r="CG100">
            <v>0</v>
          </cell>
          <cell r="CI100">
            <v>0</v>
          </cell>
          <cell r="CK100">
            <v>0</v>
          </cell>
        </row>
        <row r="101">
          <cell r="BY101">
            <v>0</v>
          </cell>
          <cell r="CC101">
            <v>0</v>
          </cell>
          <cell r="CE101">
            <v>0</v>
          </cell>
          <cell r="CG101">
            <v>0</v>
          </cell>
          <cell r="CI101">
            <v>0</v>
          </cell>
          <cell r="CK101">
            <v>0</v>
          </cell>
        </row>
        <row r="102">
          <cell r="BY102">
            <v>0</v>
          </cell>
          <cell r="CC102">
            <v>0</v>
          </cell>
          <cell r="CE102">
            <v>0</v>
          </cell>
          <cell r="CG102">
            <v>0</v>
          </cell>
          <cell r="CI102">
            <v>0</v>
          </cell>
          <cell r="CK102">
            <v>0</v>
          </cell>
        </row>
        <row r="103">
          <cell r="BY103">
            <v>0</v>
          </cell>
          <cell r="CC103">
            <v>0</v>
          </cell>
          <cell r="CE103">
            <v>0</v>
          </cell>
          <cell r="CG103">
            <v>0</v>
          </cell>
          <cell r="CI103">
            <v>0</v>
          </cell>
          <cell r="CK103">
            <v>0</v>
          </cell>
        </row>
        <row r="104">
          <cell r="BY104">
            <v>0</v>
          </cell>
          <cell r="CC104">
            <v>0</v>
          </cell>
          <cell r="CE104">
            <v>0</v>
          </cell>
          <cell r="CG104">
            <v>0</v>
          </cell>
          <cell r="CI104">
            <v>0</v>
          </cell>
          <cell r="CK104">
            <v>0</v>
          </cell>
        </row>
        <row r="105">
          <cell r="BY105">
            <v>0</v>
          </cell>
          <cell r="CC105">
            <v>0</v>
          </cell>
          <cell r="CE105">
            <v>0</v>
          </cell>
          <cell r="CG105">
            <v>0</v>
          </cell>
          <cell r="CI105">
            <v>0</v>
          </cell>
          <cell r="CK105">
            <v>0</v>
          </cell>
        </row>
        <row r="106">
          <cell r="BY106">
            <v>0</v>
          </cell>
          <cell r="CC106">
            <v>0</v>
          </cell>
          <cell r="CE106">
            <v>0</v>
          </cell>
          <cell r="CG106">
            <v>0</v>
          </cell>
          <cell r="CI106">
            <v>0</v>
          </cell>
          <cell r="CK106">
            <v>0</v>
          </cell>
        </row>
        <row r="107">
          <cell r="BY107">
            <v>0</v>
          </cell>
          <cell r="CC107">
            <v>0</v>
          </cell>
          <cell r="CE107">
            <v>0</v>
          </cell>
          <cell r="CG107">
            <v>0</v>
          </cell>
          <cell r="CI107">
            <v>0</v>
          </cell>
          <cell r="CK107">
            <v>0</v>
          </cell>
        </row>
        <row r="108">
          <cell r="BY108">
            <v>0</v>
          </cell>
          <cell r="CC108">
            <v>0</v>
          </cell>
          <cell r="CE108">
            <v>0</v>
          </cell>
          <cell r="CG108">
            <v>0</v>
          </cell>
          <cell r="CI108">
            <v>0</v>
          </cell>
          <cell r="CK108">
            <v>0</v>
          </cell>
        </row>
        <row r="109">
          <cell r="BY109">
            <v>0</v>
          </cell>
          <cell r="CC109">
            <v>0</v>
          </cell>
          <cell r="CE109">
            <v>0</v>
          </cell>
          <cell r="CG109">
            <v>0</v>
          </cell>
          <cell r="CI109">
            <v>0</v>
          </cell>
          <cell r="CK109">
            <v>0</v>
          </cell>
        </row>
        <row r="110">
          <cell r="BY110">
            <v>0</v>
          </cell>
          <cell r="CC110">
            <v>0</v>
          </cell>
          <cell r="CE110">
            <v>0</v>
          </cell>
          <cell r="CG110">
            <v>0</v>
          </cell>
          <cell r="CI110">
            <v>0</v>
          </cell>
          <cell r="CK110">
            <v>0</v>
          </cell>
        </row>
        <row r="111">
          <cell r="BY111">
            <v>0</v>
          </cell>
          <cell r="CC111">
            <v>0</v>
          </cell>
          <cell r="CE111">
            <v>0</v>
          </cell>
          <cell r="CG111">
            <v>0</v>
          </cell>
          <cell r="CI111">
            <v>0</v>
          </cell>
          <cell r="CK111">
            <v>0</v>
          </cell>
        </row>
        <row r="112">
          <cell r="BY112">
            <v>0</v>
          </cell>
          <cell r="CC112">
            <v>0</v>
          </cell>
          <cell r="CE112">
            <v>0</v>
          </cell>
          <cell r="CG112">
            <v>0</v>
          </cell>
          <cell r="CI112">
            <v>0</v>
          </cell>
          <cell r="CK112">
            <v>0</v>
          </cell>
        </row>
        <row r="113">
          <cell r="BY113">
            <v>0</v>
          </cell>
          <cell r="CC113">
            <v>0</v>
          </cell>
          <cell r="CE113">
            <v>0</v>
          </cell>
          <cell r="CG113">
            <v>0</v>
          </cell>
          <cell r="CI113">
            <v>0</v>
          </cell>
          <cell r="CK113">
            <v>0</v>
          </cell>
        </row>
        <row r="114">
          <cell r="BY114">
            <v>0</v>
          </cell>
          <cell r="CC114">
            <v>0</v>
          </cell>
          <cell r="CE114">
            <v>0</v>
          </cell>
          <cell r="CG114">
            <v>0</v>
          </cell>
          <cell r="CI114">
            <v>0</v>
          </cell>
          <cell r="CK114">
            <v>0</v>
          </cell>
        </row>
        <row r="115">
          <cell r="BY115">
            <v>0</v>
          </cell>
          <cell r="CC115">
            <v>0</v>
          </cell>
          <cell r="CE115">
            <v>0</v>
          </cell>
          <cell r="CG115">
            <v>0</v>
          </cell>
          <cell r="CI115">
            <v>0</v>
          </cell>
          <cell r="CK115">
            <v>0</v>
          </cell>
        </row>
        <row r="116">
          <cell r="BY116">
            <v>0</v>
          </cell>
          <cell r="CC116">
            <v>0</v>
          </cell>
          <cell r="CE116">
            <v>0</v>
          </cell>
          <cell r="CG116">
            <v>0</v>
          </cell>
          <cell r="CI116">
            <v>0</v>
          </cell>
          <cell r="CK116">
            <v>0</v>
          </cell>
        </row>
        <row r="117">
          <cell r="BY117">
            <v>0</v>
          </cell>
          <cell r="CC117">
            <v>0</v>
          </cell>
          <cell r="CE117">
            <v>0</v>
          </cell>
          <cell r="CG117">
            <v>0</v>
          </cell>
          <cell r="CI117">
            <v>0</v>
          </cell>
          <cell r="CK117">
            <v>0</v>
          </cell>
        </row>
        <row r="118">
          <cell r="BY118">
            <v>0</v>
          </cell>
          <cell r="CC118">
            <v>0</v>
          </cell>
          <cell r="CE118">
            <v>0</v>
          </cell>
          <cell r="CG118">
            <v>0</v>
          </cell>
          <cell r="CI118">
            <v>0</v>
          </cell>
          <cell r="CK118">
            <v>0</v>
          </cell>
        </row>
        <row r="119">
          <cell r="BY119">
            <v>0</v>
          </cell>
          <cell r="CC119">
            <v>0</v>
          </cell>
          <cell r="CE119">
            <v>0</v>
          </cell>
          <cell r="CG119">
            <v>0</v>
          </cell>
          <cell r="CI119">
            <v>0</v>
          </cell>
          <cell r="CK119">
            <v>0</v>
          </cell>
        </row>
        <row r="120">
          <cell r="BY120">
            <v>0</v>
          </cell>
          <cell r="CC120">
            <v>0</v>
          </cell>
          <cell r="CE120">
            <v>0</v>
          </cell>
          <cell r="CG120">
            <v>0</v>
          </cell>
          <cell r="CI120">
            <v>0</v>
          </cell>
          <cell r="CK120">
            <v>0</v>
          </cell>
        </row>
        <row r="121">
          <cell r="BY121">
            <v>0</v>
          </cell>
          <cell r="CC121">
            <v>0</v>
          </cell>
          <cell r="CE121">
            <v>0</v>
          </cell>
          <cell r="CG121">
            <v>0</v>
          </cell>
          <cell r="CI121">
            <v>0</v>
          </cell>
          <cell r="CK121">
            <v>0</v>
          </cell>
        </row>
        <row r="122">
          <cell r="BY122">
            <v>0</v>
          </cell>
          <cell r="CC122">
            <v>0</v>
          </cell>
          <cell r="CE122">
            <v>0</v>
          </cell>
          <cell r="CG122">
            <v>0</v>
          </cell>
          <cell r="CI122">
            <v>0</v>
          </cell>
          <cell r="CK122">
            <v>0</v>
          </cell>
        </row>
        <row r="123">
          <cell r="BY123">
            <v>0</v>
          </cell>
          <cell r="CC123">
            <v>0</v>
          </cell>
          <cell r="CE123">
            <v>0</v>
          </cell>
          <cell r="CG123">
            <v>0</v>
          </cell>
          <cell r="CI123">
            <v>0</v>
          </cell>
          <cell r="CK123">
            <v>0</v>
          </cell>
        </row>
        <row r="124">
          <cell r="BY124">
            <v>0</v>
          </cell>
          <cell r="CC124">
            <v>0</v>
          </cell>
          <cell r="CE124">
            <v>0</v>
          </cell>
          <cell r="CG124">
            <v>0</v>
          </cell>
          <cell r="CI124">
            <v>0</v>
          </cell>
          <cell r="CK124">
            <v>0</v>
          </cell>
        </row>
        <row r="125">
          <cell r="BY125">
            <v>0</v>
          </cell>
          <cell r="CC125">
            <v>0</v>
          </cell>
          <cell r="CE125">
            <v>0</v>
          </cell>
          <cell r="CG125">
            <v>0</v>
          </cell>
          <cell r="CI125">
            <v>0</v>
          </cell>
          <cell r="CK125">
            <v>0</v>
          </cell>
        </row>
        <row r="126">
          <cell r="BY126">
            <v>0</v>
          </cell>
          <cell r="CC126">
            <v>0</v>
          </cell>
          <cell r="CE126">
            <v>0</v>
          </cell>
          <cell r="CG126">
            <v>0</v>
          </cell>
          <cell r="CI126">
            <v>0</v>
          </cell>
          <cell r="CK126">
            <v>0</v>
          </cell>
        </row>
        <row r="127">
          <cell r="BY127">
            <v>0</v>
          </cell>
          <cell r="CC127">
            <v>0</v>
          </cell>
          <cell r="CE127">
            <v>0</v>
          </cell>
          <cell r="CG127">
            <v>0</v>
          </cell>
          <cell r="CI127">
            <v>0</v>
          </cell>
          <cell r="CK127">
            <v>0</v>
          </cell>
        </row>
        <row r="128">
          <cell r="BY128">
            <v>0</v>
          </cell>
          <cell r="CC128">
            <v>0</v>
          </cell>
          <cell r="CE128">
            <v>0</v>
          </cell>
          <cell r="CG128">
            <v>0</v>
          </cell>
          <cell r="CI128">
            <v>0</v>
          </cell>
          <cell r="CK128">
            <v>0</v>
          </cell>
        </row>
        <row r="129">
          <cell r="BY129">
            <v>0</v>
          </cell>
          <cell r="CC129">
            <v>0</v>
          </cell>
          <cell r="CE129">
            <v>0</v>
          </cell>
          <cell r="CG129">
            <v>0</v>
          </cell>
          <cell r="CI129">
            <v>0</v>
          </cell>
          <cell r="CK129">
            <v>0</v>
          </cell>
        </row>
        <row r="130">
          <cell r="BY130">
            <v>0</v>
          </cell>
          <cell r="CC130">
            <v>0</v>
          </cell>
          <cell r="CE130">
            <v>0</v>
          </cell>
          <cell r="CG130">
            <v>0</v>
          </cell>
          <cell r="CI130">
            <v>0</v>
          </cell>
          <cell r="CK130">
            <v>0</v>
          </cell>
        </row>
        <row r="131">
          <cell r="BY131">
            <v>0</v>
          </cell>
          <cell r="CC131">
            <v>0</v>
          </cell>
          <cell r="CE131">
            <v>0</v>
          </cell>
          <cell r="CG131">
            <v>0</v>
          </cell>
          <cell r="CI131">
            <v>0</v>
          </cell>
          <cell r="CK131">
            <v>0</v>
          </cell>
        </row>
        <row r="132">
          <cell r="BY132">
            <v>0</v>
          </cell>
          <cell r="CC132">
            <v>0</v>
          </cell>
          <cell r="CE132">
            <v>0</v>
          </cell>
          <cell r="CG132">
            <v>0</v>
          </cell>
          <cell r="CI132">
            <v>0</v>
          </cell>
          <cell r="CK132">
            <v>0</v>
          </cell>
        </row>
        <row r="133">
          <cell r="BY133">
            <v>0</v>
          </cell>
          <cell r="CC133">
            <v>0</v>
          </cell>
          <cell r="CE133">
            <v>0</v>
          </cell>
          <cell r="CG133">
            <v>0</v>
          </cell>
          <cell r="CI133">
            <v>0</v>
          </cell>
          <cell r="CK133">
            <v>0</v>
          </cell>
        </row>
        <row r="134">
          <cell r="BY134">
            <v>0</v>
          </cell>
          <cell r="CC134">
            <v>0</v>
          </cell>
          <cell r="CE134">
            <v>0</v>
          </cell>
          <cell r="CG134">
            <v>0</v>
          </cell>
          <cell r="CI134">
            <v>0</v>
          </cell>
          <cell r="CK134">
            <v>0</v>
          </cell>
        </row>
        <row r="135">
          <cell r="BY135">
            <v>0</v>
          </cell>
          <cell r="CC135">
            <v>0</v>
          </cell>
          <cell r="CE135">
            <v>0</v>
          </cell>
          <cell r="CG135">
            <v>0</v>
          </cell>
          <cell r="CI135">
            <v>0</v>
          </cell>
          <cell r="CK135">
            <v>0</v>
          </cell>
        </row>
        <row r="136">
          <cell r="BY136">
            <v>0</v>
          </cell>
          <cell r="CC136">
            <v>0</v>
          </cell>
          <cell r="CE136">
            <v>0</v>
          </cell>
          <cell r="CG136">
            <v>0</v>
          </cell>
          <cell r="CI136">
            <v>0</v>
          </cell>
          <cell r="CK136">
            <v>0</v>
          </cell>
        </row>
        <row r="137">
          <cell r="BY137">
            <v>0</v>
          </cell>
          <cell r="CC137">
            <v>0</v>
          </cell>
          <cell r="CE137">
            <v>0</v>
          </cell>
          <cell r="CG137">
            <v>0</v>
          </cell>
          <cell r="CI137">
            <v>0</v>
          </cell>
          <cell r="CK137">
            <v>0</v>
          </cell>
        </row>
        <row r="138">
          <cell r="BY138">
            <v>0</v>
          </cell>
          <cell r="CC138">
            <v>0</v>
          </cell>
          <cell r="CE138">
            <v>0</v>
          </cell>
          <cell r="CG138">
            <v>0</v>
          </cell>
          <cell r="CI138">
            <v>0</v>
          </cell>
          <cell r="CK138">
            <v>0</v>
          </cell>
        </row>
        <row r="139">
          <cell r="BY139">
            <v>0</v>
          </cell>
          <cell r="CC139">
            <v>0</v>
          </cell>
          <cell r="CE139">
            <v>0</v>
          </cell>
          <cell r="CG139">
            <v>0</v>
          </cell>
          <cell r="CI139">
            <v>0</v>
          </cell>
          <cell r="CK139">
            <v>0</v>
          </cell>
        </row>
        <row r="140">
          <cell r="BY140">
            <v>0</v>
          </cell>
          <cell r="CC140">
            <v>0</v>
          </cell>
          <cell r="CE140">
            <v>0</v>
          </cell>
          <cell r="CG140">
            <v>0</v>
          </cell>
          <cell r="CI140">
            <v>0</v>
          </cell>
          <cell r="CK140">
            <v>0</v>
          </cell>
        </row>
        <row r="141">
          <cell r="BY141">
            <v>0</v>
          </cell>
          <cell r="CC141" t="e">
            <v>#REF!</v>
          </cell>
          <cell r="CE141" t="e">
            <v>#REF!</v>
          </cell>
          <cell r="CG141" t="e">
            <v>#REF!</v>
          </cell>
          <cell r="CI141" t="e">
            <v>#REF!</v>
          </cell>
          <cell r="CK141" t="e">
            <v>#REF!</v>
          </cell>
        </row>
        <row r="142">
          <cell r="BT142">
            <v>0</v>
          </cell>
          <cell r="BY142">
            <v>0</v>
          </cell>
          <cell r="CC142" t="e">
            <v>#REF!</v>
          </cell>
          <cell r="CE142" t="e">
            <v>#REF!</v>
          </cell>
          <cell r="CG142" t="e">
            <v>#REF!</v>
          </cell>
          <cell r="CI142" t="e">
            <v>#REF!</v>
          </cell>
          <cell r="CK142" t="e">
            <v>#REF!</v>
          </cell>
        </row>
        <row r="143">
          <cell r="BY143">
            <v>0</v>
          </cell>
          <cell r="CC143" t="e">
            <v>#REF!</v>
          </cell>
          <cell r="CE143" t="e">
            <v>#REF!</v>
          </cell>
          <cell r="CG143" t="e">
            <v>#REF!</v>
          </cell>
          <cell r="CI143" t="e">
            <v>#REF!</v>
          </cell>
          <cell r="CK143" t="e">
            <v>#REF!</v>
          </cell>
        </row>
        <row r="144">
          <cell r="BT144">
            <v>0</v>
          </cell>
          <cell r="BY144">
            <v>0</v>
          </cell>
          <cell r="CC144" t="e">
            <v>#REF!</v>
          </cell>
          <cell r="CE144" t="e">
            <v>#REF!</v>
          </cell>
          <cell r="CG144" t="e">
            <v>#REF!</v>
          </cell>
          <cell r="CI144" t="e">
            <v>#REF!</v>
          </cell>
          <cell r="CK144" t="e">
            <v>#REF!</v>
          </cell>
        </row>
        <row r="145">
          <cell r="BT145">
            <v>0</v>
          </cell>
          <cell r="BY145">
            <v>0</v>
          </cell>
          <cell r="CC145" t="e">
            <v>#REF!</v>
          </cell>
          <cell r="CE145" t="e">
            <v>#REF!</v>
          </cell>
          <cell r="CG145" t="e">
            <v>#REF!</v>
          </cell>
          <cell r="CI145" t="e">
            <v>#REF!</v>
          </cell>
          <cell r="CK145" t="e">
            <v>#REF!</v>
          </cell>
        </row>
        <row r="146">
          <cell r="BY146">
            <v>0</v>
          </cell>
          <cell r="CC146">
            <v>0</v>
          </cell>
          <cell r="CE146" t="e">
            <v>#REF!</v>
          </cell>
          <cell r="CG146" t="e">
            <v>#REF!</v>
          </cell>
          <cell r="CI146" t="e">
            <v>#REF!</v>
          </cell>
          <cell r="CK146" t="e">
            <v>#REF!</v>
          </cell>
        </row>
        <row r="147">
          <cell r="BY147">
            <v>0</v>
          </cell>
          <cell r="CC147">
            <v>0</v>
          </cell>
          <cell r="CE147" t="e">
            <v>#REF!</v>
          </cell>
          <cell r="CG147" t="e">
            <v>#REF!</v>
          </cell>
          <cell r="CI147" t="e">
            <v>#REF!</v>
          </cell>
          <cell r="CK147" t="e">
            <v>#REF!</v>
          </cell>
        </row>
        <row r="148">
          <cell r="BY148">
            <v>0</v>
          </cell>
          <cell r="CC148">
            <v>0</v>
          </cell>
          <cell r="CE148">
            <v>0</v>
          </cell>
          <cell r="CG148">
            <v>0</v>
          </cell>
          <cell r="CI148">
            <v>0</v>
          </cell>
          <cell r="CK148">
            <v>0</v>
          </cell>
        </row>
        <row r="149">
          <cell r="BY149">
            <v>0</v>
          </cell>
          <cell r="CC149">
            <v>0</v>
          </cell>
          <cell r="CE149" t="e">
            <v>#REF!</v>
          </cell>
          <cell r="CG149" t="e">
            <v>#REF!</v>
          </cell>
          <cell r="CI149" t="e">
            <v>#REF!</v>
          </cell>
          <cell r="CK149" t="e">
            <v>#REF!</v>
          </cell>
        </row>
        <row r="150">
          <cell r="BY150">
            <v>0</v>
          </cell>
          <cell r="CC150">
            <v>0</v>
          </cell>
          <cell r="CE150">
            <v>0</v>
          </cell>
          <cell r="CG150">
            <v>0</v>
          </cell>
          <cell r="CI150">
            <v>0</v>
          </cell>
          <cell r="CK150">
            <v>0</v>
          </cell>
        </row>
        <row r="151">
          <cell r="BY151">
            <v>0</v>
          </cell>
          <cell r="CC151">
            <v>0</v>
          </cell>
          <cell r="CE151">
            <v>0</v>
          </cell>
          <cell r="CG151">
            <v>0</v>
          </cell>
          <cell r="CI151">
            <v>0</v>
          </cell>
          <cell r="CK151">
            <v>0</v>
          </cell>
        </row>
        <row r="152">
          <cell r="BY152">
            <v>0</v>
          </cell>
          <cell r="CC152">
            <v>0</v>
          </cell>
          <cell r="CE152">
            <v>0</v>
          </cell>
          <cell r="CG152">
            <v>0</v>
          </cell>
          <cell r="CI152">
            <v>0</v>
          </cell>
          <cell r="CK152">
            <v>0</v>
          </cell>
        </row>
        <row r="153">
          <cell r="BY153">
            <v>0</v>
          </cell>
          <cell r="CC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</row>
        <row r="154">
          <cell r="BY154">
            <v>0</v>
          </cell>
          <cell r="CC154">
            <v>0</v>
          </cell>
          <cell r="CE154" t="e">
            <v>#REF!</v>
          </cell>
          <cell r="CG154" t="e">
            <v>#REF!</v>
          </cell>
          <cell r="CI154" t="e">
            <v>#REF!</v>
          </cell>
          <cell r="CK154" t="e">
            <v>#REF!</v>
          </cell>
        </row>
        <row r="155">
          <cell r="BY155">
            <v>0</v>
          </cell>
          <cell r="CC155">
            <v>0</v>
          </cell>
          <cell r="CE155" t="e">
            <v>#REF!</v>
          </cell>
          <cell r="CG155" t="e">
            <v>#REF!</v>
          </cell>
          <cell r="CI155" t="e">
            <v>#REF!</v>
          </cell>
          <cell r="CK155" t="e">
            <v>#REF!</v>
          </cell>
        </row>
        <row r="156">
          <cell r="BY156">
            <v>0</v>
          </cell>
          <cell r="CC156">
            <v>0</v>
          </cell>
          <cell r="CE156" t="e">
            <v>#REF!</v>
          </cell>
          <cell r="CG156" t="e">
            <v>#REF!</v>
          </cell>
          <cell r="CI156" t="e">
            <v>#REF!</v>
          </cell>
          <cell r="CK156" t="e">
            <v>#REF!</v>
          </cell>
        </row>
        <row r="157">
          <cell r="BY157">
            <v>0</v>
          </cell>
          <cell r="CC157">
            <v>0</v>
          </cell>
          <cell r="CE157">
            <v>0</v>
          </cell>
          <cell r="CG157">
            <v>0</v>
          </cell>
          <cell r="CI157">
            <v>0</v>
          </cell>
          <cell r="CK157">
            <v>0</v>
          </cell>
        </row>
        <row r="158">
          <cell r="BY158">
            <v>0</v>
          </cell>
          <cell r="CC158">
            <v>0</v>
          </cell>
          <cell r="CE158">
            <v>0</v>
          </cell>
          <cell r="CG158">
            <v>0</v>
          </cell>
          <cell r="CI158">
            <v>0</v>
          </cell>
          <cell r="CK158">
            <v>0</v>
          </cell>
        </row>
        <row r="159">
          <cell r="BY159">
            <v>0</v>
          </cell>
          <cell r="CC159">
            <v>0</v>
          </cell>
          <cell r="CE159">
            <v>0</v>
          </cell>
          <cell r="CG159">
            <v>0</v>
          </cell>
          <cell r="CI159">
            <v>0</v>
          </cell>
          <cell r="CK159">
            <v>0</v>
          </cell>
        </row>
        <row r="160">
          <cell r="BY160">
            <v>0</v>
          </cell>
          <cell r="CC160">
            <v>0</v>
          </cell>
          <cell r="CE160">
            <v>0</v>
          </cell>
          <cell r="CG160">
            <v>0</v>
          </cell>
          <cell r="CI160">
            <v>0</v>
          </cell>
          <cell r="CK160">
            <v>0</v>
          </cell>
        </row>
        <row r="161">
          <cell r="BY161">
            <v>0</v>
          </cell>
          <cell r="CC161">
            <v>0</v>
          </cell>
          <cell r="CE161">
            <v>0</v>
          </cell>
          <cell r="CG161">
            <v>0</v>
          </cell>
          <cell r="CI161">
            <v>0</v>
          </cell>
          <cell r="CK161">
            <v>0</v>
          </cell>
        </row>
        <row r="162">
          <cell r="BY162">
            <v>0</v>
          </cell>
          <cell r="CC162">
            <v>0</v>
          </cell>
          <cell r="CE162">
            <v>0</v>
          </cell>
          <cell r="CG162">
            <v>0</v>
          </cell>
          <cell r="CI162">
            <v>0</v>
          </cell>
          <cell r="CK162">
            <v>0</v>
          </cell>
        </row>
        <row r="163">
          <cell r="BY163">
            <v>0</v>
          </cell>
          <cell r="CC163">
            <v>0</v>
          </cell>
          <cell r="CE163">
            <v>0</v>
          </cell>
          <cell r="CG163">
            <v>0</v>
          </cell>
          <cell r="CI163">
            <v>0</v>
          </cell>
          <cell r="CK163">
            <v>0</v>
          </cell>
        </row>
        <row r="164">
          <cell r="BY164">
            <v>0</v>
          </cell>
          <cell r="CC164">
            <v>0</v>
          </cell>
          <cell r="CE164">
            <v>0</v>
          </cell>
          <cell r="CG164">
            <v>0</v>
          </cell>
          <cell r="CI164">
            <v>0</v>
          </cell>
          <cell r="CK164">
            <v>0</v>
          </cell>
        </row>
        <row r="165">
          <cell r="BY165">
            <v>0</v>
          </cell>
          <cell r="CC165">
            <v>0</v>
          </cell>
          <cell r="CE165">
            <v>0</v>
          </cell>
          <cell r="CG165">
            <v>0</v>
          </cell>
          <cell r="CI165">
            <v>0</v>
          </cell>
          <cell r="CK165">
            <v>0</v>
          </cell>
        </row>
        <row r="166">
          <cell r="BY166">
            <v>0</v>
          </cell>
          <cell r="CC166">
            <v>0</v>
          </cell>
          <cell r="CE166">
            <v>0</v>
          </cell>
          <cell r="CG166">
            <v>0</v>
          </cell>
          <cell r="CI166">
            <v>0</v>
          </cell>
          <cell r="CK166">
            <v>0</v>
          </cell>
        </row>
        <row r="167">
          <cell r="BY167">
            <v>0</v>
          </cell>
          <cell r="CC167" t="e">
            <v>#REF!</v>
          </cell>
          <cell r="CE167" t="e">
            <v>#REF!</v>
          </cell>
          <cell r="CG167" t="e">
            <v>#REF!</v>
          </cell>
          <cell r="CI167" t="e">
            <v>#REF!</v>
          </cell>
          <cell r="CK167" t="e">
            <v>#REF!</v>
          </cell>
        </row>
        <row r="168">
          <cell r="BY168">
            <v>0</v>
          </cell>
          <cell r="CC168" t="e">
            <v>#REF!</v>
          </cell>
          <cell r="CE168" t="e">
            <v>#REF!</v>
          </cell>
          <cell r="CG168" t="e">
            <v>#REF!</v>
          </cell>
          <cell r="CI168" t="e">
            <v>#REF!</v>
          </cell>
          <cell r="CK168" t="e">
            <v>#REF!</v>
          </cell>
        </row>
        <row r="169">
          <cell r="BY169">
            <v>0</v>
          </cell>
          <cell r="CC169">
            <v>0</v>
          </cell>
          <cell r="CE169">
            <v>0</v>
          </cell>
          <cell r="CG169">
            <v>0</v>
          </cell>
          <cell r="CI169">
            <v>0</v>
          </cell>
          <cell r="CK169">
            <v>0</v>
          </cell>
        </row>
        <row r="170">
          <cell r="BY170">
            <v>0</v>
          </cell>
          <cell r="CC170">
            <v>0</v>
          </cell>
          <cell r="CE170">
            <v>0</v>
          </cell>
          <cell r="CG170">
            <v>0</v>
          </cell>
          <cell r="CI170">
            <v>0</v>
          </cell>
          <cell r="CK170">
            <v>0</v>
          </cell>
        </row>
        <row r="171">
          <cell r="BY171">
            <v>0</v>
          </cell>
          <cell r="CC171">
            <v>0</v>
          </cell>
          <cell r="CE171">
            <v>0</v>
          </cell>
          <cell r="CG171">
            <v>0</v>
          </cell>
          <cell r="CI171">
            <v>0</v>
          </cell>
          <cell r="CK171">
            <v>0</v>
          </cell>
        </row>
        <row r="172">
          <cell r="BY172">
            <v>0</v>
          </cell>
          <cell r="CC172" t="e">
            <v>#REF!</v>
          </cell>
          <cell r="CE172" t="e">
            <v>#REF!</v>
          </cell>
          <cell r="CG172" t="e">
            <v>#REF!</v>
          </cell>
          <cell r="CI172" t="e">
            <v>#REF!</v>
          </cell>
          <cell r="CK172" t="e">
            <v>#REF!</v>
          </cell>
        </row>
        <row r="173">
          <cell r="BT173">
            <v>0</v>
          </cell>
          <cell r="BY173">
            <v>0</v>
          </cell>
          <cell r="CC173" t="e">
            <v>#REF!</v>
          </cell>
          <cell r="CE173" t="e">
            <v>#REF!</v>
          </cell>
          <cell r="CG173" t="e">
            <v>#REF!</v>
          </cell>
          <cell r="CI173" t="e">
            <v>#REF!</v>
          </cell>
          <cell r="CK173" t="e">
            <v>#REF!</v>
          </cell>
        </row>
        <row r="174">
          <cell r="BT174">
            <v>0</v>
          </cell>
          <cell r="BY174">
            <v>0</v>
          </cell>
          <cell r="CC174">
            <v>0</v>
          </cell>
          <cell r="CE174">
            <v>0</v>
          </cell>
          <cell r="CG174">
            <v>0</v>
          </cell>
          <cell r="CI174">
            <v>0</v>
          </cell>
          <cell r="CK174">
            <v>0</v>
          </cell>
        </row>
        <row r="175">
          <cell r="BT175">
            <v>0</v>
          </cell>
          <cell r="BY175">
            <v>0</v>
          </cell>
          <cell r="CC175">
            <v>0</v>
          </cell>
          <cell r="CE175">
            <v>0</v>
          </cell>
          <cell r="CG175">
            <v>0</v>
          </cell>
          <cell r="CI175">
            <v>0</v>
          </cell>
          <cell r="CK175">
            <v>0</v>
          </cell>
        </row>
        <row r="176">
          <cell r="BT176">
            <v>0</v>
          </cell>
          <cell r="BY176">
            <v>0</v>
          </cell>
          <cell r="CC176">
            <v>0</v>
          </cell>
          <cell r="CE176">
            <v>0</v>
          </cell>
          <cell r="CG176">
            <v>0</v>
          </cell>
          <cell r="CI176">
            <v>0</v>
          </cell>
          <cell r="CK176">
            <v>0</v>
          </cell>
        </row>
        <row r="177">
          <cell r="BY177">
            <v>0</v>
          </cell>
          <cell r="CC177">
            <v>0</v>
          </cell>
          <cell r="CE177" t="e">
            <v>#REF!</v>
          </cell>
          <cell r="CG177" t="e">
            <v>#REF!</v>
          </cell>
          <cell r="CI177" t="e">
            <v>#REF!</v>
          </cell>
          <cell r="CK177" t="e">
            <v>#REF!</v>
          </cell>
        </row>
      </sheetData>
      <sheetData sheetId="53">
        <row r="92">
          <cell r="BY92">
            <v>0</v>
          </cell>
          <cell r="CE92">
            <v>0</v>
          </cell>
          <cell r="CG92">
            <v>0</v>
          </cell>
          <cell r="CI92">
            <v>0</v>
          </cell>
          <cell r="CK92">
            <v>0</v>
          </cell>
        </row>
        <row r="93">
          <cell r="BY93">
            <v>0</v>
          </cell>
          <cell r="CE93">
            <v>0</v>
          </cell>
          <cell r="CG93">
            <v>0</v>
          </cell>
          <cell r="CI93">
            <v>0</v>
          </cell>
          <cell r="CK93">
            <v>0</v>
          </cell>
        </row>
        <row r="94">
          <cell r="BY94">
            <v>0</v>
          </cell>
          <cell r="CE94">
            <v>0</v>
          </cell>
          <cell r="CG94">
            <v>0</v>
          </cell>
          <cell r="CI94">
            <v>0</v>
          </cell>
          <cell r="CK94">
            <v>0</v>
          </cell>
        </row>
        <row r="95">
          <cell r="BY95">
            <v>0</v>
          </cell>
          <cell r="CE95">
            <v>0</v>
          </cell>
          <cell r="CG95">
            <v>0</v>
          </cell>
          <cell r="CI95">
            <v>0</v>
          </cell>
          <cell r="CK95">
            <v>0</v>
          </cell>
        </row>
        <row r="96">
          <cell r="BY96">
            <v>0</v>
          </cell>
          <cell r="CE96">
            <v>0</v>
          </cell>
          <cell r="CG96">
            <v>0</v>
          </cell>
          <cell r="CI96">
            <v>0</v>
          </cell>
          <cell r="CK96">
            <v>0</v>
          </cell>
        </row>
        <row r="97">
          <cell r="BY97">
            <v>0</v>
          </cell>
          <cell r="CE97">
            <v>0</v>
          </cell>
          <cell r="CG97">
            <v>0</v>
          </cell>
          <cell r="CI97">
            <v>0</v>
          </cell>
          <cell r="CK97">
            <v>0</v>
          </cell>
        </row>
        <row r="98">
          <cell r="BY98">
            <v>0</v>
          </cell>
          <cell r="CE98">
            <v>0</v>
          </cell>
          <cell r="CG98">
            <v>0</v>
          </cell>
          <cell r="CI98">
            <v>0</v>
          </cell>
          <cell r="CK98">
            <v>0</v>
          </cell>
        </row>
        <row r="99">
          <cell r="BY99">
            <v>0</v>
          </cell>
          <cell r="CE99">
            <v>0</v>
          </cell>
          <cell r="CG99">
            <v>0</v>
          </cell>
          <cell r="CI99">
            <v>0</v>
          </cell>
          <cell r="CK99">
            <v>0</v>
          </cell>
        </row>
        <row r="100">
          <cell r="BY100">
            <v>0</v>
          </cell>
          <cell r="CE100">
            <v>0</v>
          </cell>
          <cell r="CG100">
            <v>0</v>
          </cell>
          <cell r="CI100">
            <v>0</v>
          </cell>
          <cell r="CK100">
            <v>0</v>
          </cell>
        </row>
        <row r="101">
          <cell r="BY101">
            <v>0</v>
          </cell>
          <cell r="CE101">
            <v>0</v>
          </cell>
          <cell r="CG101">
            <v>0</v>
          </cell>
          <cell r="CI101">
            <v>0</v>
          </cell>
          <cell r="CK101">
            <v>0</v>
          </cell>
        </row>
        <row r="102">
          <cell r="BY102">
            <v>0</v>
          </cell>
          <cell r="CE102">
            <v>0</v>
          </cell>
          <cell r="CG102">
            <v>0</v>
          </cell>
          <cell r="CI102">
            <v>0</v>
          </cell>
          <cell r="CK102">
            <v>0</v>
          </cell>
        </row>
        <row r="103">
          <cell r="BY103">
            <v>0</v>
          </cell>
          <cell r="CE103">
            <v>0</v>
          </cell>
          <cell r="CG103">
            <v>0</v>
          </cell>
          <cell r="CI103">
            <v>0</v>
          </cell>
          <cell r="CK103">
            <v>0</v>
          </cell>
        </row>
        <row r="104">
          <cell r="BY104">
            <v>0</v>
          </cell>
          <cell r="CE104">
            <v>0</v>
          </cell>
          <cell r="CG104">
            <v>0</v>
          </cell>
          <cell r="CI104">
            <v>0</v>
          </cell>
          <cell r="CK104">
            <v>0</v>
          </cell>
        </row>
        <row r="105">
          <cell r="BY105">
            <v>0</v>
          </cell>
          <cell r="CE105">
            <v>0</v>
          </cell>
          <cell r="CG105">
            <v>0</v>
          </cell>
          <cell r="CI105">
            <v>0</v>
          </cell>
          <cell r="CK105">
            <v>0</v>
          </cell>
        </row>
        <row r="106">
          <cell r="BY106">
            <v>0</v>
          </cell>
          <cell r="CE106">
            <v>0</v>
          </cell>
          <cell r="CG106">
            <v>0</v>
          </cell>
          <cell r="CI106">
            <v>0</v>
          </cell>
          <cell r="CK106">
            <v>0</v>
          </cell>
        </row>
        <row r="107">
          <cell r="BY107">
            <v>0</v>
          </cell>
          <cell r="CE107">
            <v>0</v>
          </cell>
          <cell r="CG107">
            <v>0</v>
          </cell>
          <cell r="CI107">
            <v>0</v>
          </cell>
          <cell r="CK107">
            <v>0</v>
          </cell>
        </row>
        <row r="108">
          <cell r="BY108">
            <v>0</v>
          </cell>
          <cell r="CE108">
            <v>0</v>
          </cell>
          <cell r="CG108">
            <v>0</v>
          </cell>
          <cell r="CI108">
            <v>0</v>
          </cell>
          <cell r="CK108">
            <v>0</v>
          </cell>
        </row>
        <row r="109">
          <cell r="BY109">
            <v>0</v>
          </cell>
          <cell r="CE109">
            <v>0</v>
          </cell>
          <cell r="CG109">
            <v>0</v>
          </cell>
          <cell r="CI109">
            <v>0</v>
          </cell>
          <cell r="CK109">
            <v>0</v>
          </cell>
        </row>
        <row r="110">
          <cell r="BY110">
            <v>0</v>
          </cell>
          <cell r="CE110">
            <v>0</v>
          </cell>
          <cell r="CG110">
            <v>0</v>
          </cell>
          <cell r="CI110">
            <v>0</v>
          </cell>
          <cell r="CK110">
            <v>0</v>
          </cell>
        </row>
        <row r="111">
          <cell r="BY111">
            <v>0</v>
          </cell>
          <cell r="CE111">
            <v>0</v>
          </cell>
          <cell r="CG111">
            <v>0</v>
          </cell>
          <cell r="CI111">
            <v>0</v>
          </cell>
          <cell r="CK111">
            <v>0</v>
          </cell>
        </row>
        <row r="112">
          <cell r="BY112">
            <v>0</v>
          </cell>
          <cell r="CE112">
            <v>0</v>
          </cell>
          <cell r="CG112">
            <v>0</v>
          </cell>
          <cell r="CI112">
            <v>0</v>
          </cell>
          <cell r="CK112">
            <v>0</v>
          </cell>
        </row>
        <row r="113">
          <cell r="BY113">
            <v>0</v>
          </cell>
          <cell r="CE113">
            <v>0</v>
          </cell>
          <cell r="CG113">
            <v>0</v>
          </cell>
          <cell r="CI113">
            <v>0</v>
          </cell>
          <cell r="CK113">
            <v>0</v>
          </cell>
        </row>
        <row r="114">
          <cell r="BY114">
            <v>0</v>
          </cell>
          <cell r="CE114">
            <v>0</v>
          </cell>
          <cell r="CG114">
            <v>0</v>
          </cell>
          <cell r="CI114">
            <v>0</v>
          </cell>
          <cell r="CK114">
            <v>0</v>
          </cell>
        </row>
        <row r="115">
          <cell r="BY115">
            <v>0</v>
          </cell>
          <cell r="CE115">
            <v>0</v>
          </cell>
          <cell r="CG115">
            <v>0</v>
          </cell>
          <cell r="CI115">
            <v>0</v>
          </cell>
          <cell r="CK115">
            <v>0</v>
          </cell>
        </row>
        <row r="116">
          <cell r="BY116">
            <v>0</v>
          </cell>
          <cell r="CE116">
            <v>0</v>
          </cell>
          <cell r="CG116">
            <v>0</v>
          </cell>
          <cell r="CI116">
            <v>0</v>
          </cell>
          <cell r="CK116">
            <v>0</v>
          </cell>
        </row>
        <row r="117">
          <cell r="BY117">
            <v>0</v>
          </cell>
          <cell r="CE117">
            <v>0</v>
          </cell>
          <cell r="CG117">
            <v>0</v>
          </cell>
          <cell r="CI117">
            <v>0</v>
          </cell>
          <cell r="CK117">
            <v>0</v>
          </cell>
        </row>
        <row r="118">
          <cell r="BY118">
            <v>0</v>
          </cell>
          <cell r="CE118">
            <v>0</v>
          </cell>
          <cell r="CG118">
            <v>0</v>
          </cell>
          <cell r="CI118">
            <v>0</v>
          </cell>
          <cell r="CK118">
            <v>0</v>
          </cell>
        </row>
        <row r="119">
          <cell r="BY119">
            <v>0</v>
          </cell>
          <cell r="CE119">
            <v>0</v>
          </cell>
          <cell r="CG119">
            <v>0</v>
          </cell>
          <cell r="CI119">
            <v>0</v>
          </cell>
          <cell r="CK119">
            <v>0</v>
          </cell>
        </row>
        <row r="120">
          <cell r="BY120">
            <v>0</v>
          </cell>
          <cell r="CE120">
            <v>0</v>
          </cell>
          <cell r="CG120">
            <v>0</v>
          </cell>
          <cell r="CI120">
            <v>0</v>
          </cell>
          <cell r="CK120">
            <v>0</v>
          </cell>
        </row>
        <row r="121">
          <cell r="BY121">
            <v>0</v>
          </cell>
          <cell r="CE121">
            <v>0</v>
          </cell>
          <cell r="CG121">
            <v>0</v>
          </cell>
          <cell r="CI121">
            <v>0</v>
          </cell>
          <cell r="CK121">
            <v>0</v>
          </cell>
        </row>
        <row r="122">
          <cell r="BY122">
            <v>0</v>
          </cell>
          <cell r="CE122">
            <v>0</v>
          </cell>
          <cell r="CG122">
            <v>0</v>
          </cell>
          <cell r="CI122">
            <v>0</v>
          </cell>
          <cell r="CK122">
            <v>0</v>
          </cell>
        </row>
        <row r="123">
          <cell r="BY123">
            <v>0</v>
          </cell>
          <cell r="CE123">
            <v>0</v>
          </cell>
          <cell r="CG123">
            <v>0</v>
          </cell>
          <cell r="CI123">
            <v>0</v>
          </cell>
          <cell r="CK123">
            <v>0</v>
          </cell>
        </row>
        <row r="124">
          <cell r="BY124">
            <v>0</v>
          </cell>
          <cell r="CE124">
            <v>0</v>
          </cell>
          <cell r="CG124">
            <v>0</v>
          </cell>
          <cell r="CI124">
            <v>0</v>
          </cell>
          <cell r="CK124">
            <v>0</v>
          </cell>
        </row>
        <row r="125">
          <cell r="BY125">
            <v>0</v>
          </cell>
          <cell r="CE125">
            <v>0</v>
          </cell>
          <cell r="CG125">
            <v>0</v>
          </cell>
          <cell r="CI125">
            <v>0</v>
          </cell>
          <cell r="CK125">
            <v>0</v>
          </cell>
        </row>
        <row r="126">
          <cell r="BY126">
            <v>0</v>
          </cell>
          <cell r="CE126">
            <v>0</v>
          </cell>
          <cell r="CG126">
            <v>0</v>
          </cell>
          <cell r="CI126">
            <v>0</v>
          </cell>
          <cell r="CK126">
            <v>0</v>
          </cell>
        </row>
        <row r="127">
          <cell r="BY127">
            <v>0</v>
          </cell>
          <cell r="CE127">
            <v>0</v>
          </cell>
          <cell r="CG127">
            <v>0</v>
          </cell>
          <cell r="CI127">
            <v>0</v>
          </cell>
          <cell r="CK127">
            <v>0</v>
          </cell>
        </row>
        <row r="128">
          <cell r="BY128">
            <v>0</v>
          </cell>
          <cell r="CE128">
            <v>0</v>
          </cell>
          <cell r="CG128">
            <v>0</v>
          </cell>
          <cell r="CI128">
            <v>0</v>
          </cell>
          <cell r="CK128">
            <v>0</v>
          </cell>
        </row>
        <row r="129">
          <cell r="BY129">
            <v>0</v>
          </cell>
          <cell r="CE129">
            <v>0</v>
          </cell>
          <cell r="CG129">
            <v>0</v>
          </cell>
          <cell r="CI129">
            <v>0</v>
          </cell>
          <cell r="CK129">
            <v>0</v>
          </cell>
        </row>
        <row r="130">
          <cell r="BY130">
            <v>0</v>
          </cell>
          <cell r="CE130">
            <v>0</v>
          </cell>
          <cell r="CG130">
            <v>0</v>
          </cell>
          <cell r="CI130">
            <v>0</v>
          </cell>
          <cell r="CK130">
            <v>0</v>
          </cell>
        </row>
        <row r="131">
          <cell r="BY131">
            <v>0</v>
          </cell>
          <cell r="CE131">
            <v>0</v>
          </cell>
          <cell r="CG131">
            <v>0</v>
          </cell>
          <cell r="CI131">
            <v>0</v>
          </cell>
          <cell r="CK131">
            <v>0</v>
          </cell>
        </row>
        <row r="132">
          <cell r="BY132">
            <v>0</v>
          </cell>
          <cell r="CE132">
            <v>0</v>
          </cell>
          <cell r="CG132">
            <v>0</v>
          </cell>
          <cell r="CI132">
            <v>0</v>
          </cell>
          <cell r="CK132">
            <v>0</v>
          </cell>
        </row>
        <row r="133">
          <cell r="BY133">
            <v>0</v>
          </cell>
          <cell r="CE133">
            <v>0</v>
          </cell>
          <cell r="CG133">
            <v>0</v>
          </cell>
          <cell r="CI133">
            <v>0</v>
          </cell>
          <cell r="CK133">
            <v>0</v>
          </cell>
        </row>
        <row r="134">
          <cell r="BY134">
            <v>0</v>
          </cell>
          <cell r="CE134">
            <v>0</v>
          </cell>
          <cell r="CG134">
            <v>0</v>
          </cell>
          <cell r="CI134">
            <v>0</v>
          </cell>
          <cell r="CK134">
            <v>0</v>
          </cell>
        </row>
        <row r="135">
          <cell r="BY135">
            <v>0</v>
          </cell>
          <cell r="CE135">
            <v>0</v>
          </cell>
          <cell r="CG135">
            <v>0</v>
          </cell>
          <cell r="CI135">
            <v>0</v>
          </cell>
          <cell r="CK135">
            <v>0</v>
          </cell>
        </row>
        <row r="136">
          <cell r="BY136">
            <v>0</v>
          </cell>
          <cell r="CE136">
            <v>0</v>
          </cell>
          <cell r="CG136">
            <v>0</v>
          </cell>
          <cell r="CI136">
            <v>0</v>
          </cell>
          <cell r="CK136">
            <v>0</v>
          </cell>
        </row>
        <row r="137">
          <cell r="BY137">
            <v>0</v>
          </cell>
          <cell r="CE137">
            <v>0</v>
          </cell>
          <cell r="CG137">
            <v>0</v>
          </cell>
          <cell r="CI137">
            <v>0</v>
          </cell>
          <cell r="CK137">
            <v>0</v>
          </cell>
        </row>
        <row r="138">
          <cell r="BY138">
            <v>0</v>
          </cell>
          <cell r="CE138">
            <v>0</v>
          </cell>
          <cell r="CG138">
            <v>0</v>
          </cell>
          <cell r="CI138">
            <v>0</v>
          </cell>
          <cell r="CK138">
            <v>0</v>
          </cell>
        </row>
        <row r="139">
          <cell r="BY139">
            <v>0</v>
          </cell>
          <cell r="CE139">
            <v>0</v>
          </cell>
          <cell r="CG139">
            <v>0</v>
          </cell>
          <cell r="CI139">
            <v>0</v>
          </cell>
          <cell r="CK139">
            <v>0</v>
          </cell>
        </row>
        <row r="140">
          <cell r="BY140">
            <v>0</v>
          </cell>
          <cell r="CE140">
            <v>0</v>
          </cell>
          <cell r="CG140">
            <v>0</v>
          </cell>
          <cell r="CI140">
            <v>0</v>
          </cell>
          <cell r="CK140">
            <v>0</v>
          </cell>
        </row>
        <row r="141">
          <cell r="BY141">
            <v>0</v>
          </cell>
          <cell r="CE141">
            <v>0</v>
          </cell>
          <cell r="CG141">
            <v>0</v>
          </cell>
          <cell r="CI141">
            <v>0</v>
          </cell>
          <cell r="CK141">
            <v>0</v>
          </cell>
        </row>
        <row r="142">
          <cell r="BY142">
            <v>0</v>
          </cell>
          <cell r="CE142">
            <v>0</v>
          </cell>
          <cell r="CG142">
            <v>0</v>
          </cell>
          <cell r="CI142">
            <v>0</v>
          </cell>
          <cell r="CK142">
            <v>0</v>
          </cell>
        </row>
        <row r="143">
          <cell r="BY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</row>
        <row r="144">
          <cell r="BY144">
            <v>0</v>
          </cell>
          <cell r="CE144">
            <v>0</v>
          </cell>
          <cell r="CG144">
            <v>0</v>
          </cell>
          <cell r="CI144">
            <v>0</v>
          </cell>
          <cell r="CK144">
            <v>0</v>
          </cell>
        </row>
        <row r="145">
          <cell r="BY145">
            <v>0</v>
          </cell>
          <cell r="CE145">
            <v>0</v>
          </cell>
          <cell r="CG145">
            <v>0</v>
          </cell>
          <cell r="CI145">
            <v>0</v>
          </cell>
          <cell r="CK145">
            <v>0</v>
          </cell>
        </row>
        <row r="146">
          <cell r="BY146">
            <v>0</v>
          </cell>
          <cell r="CE146">
            <v>0</v>
          </cell>
          <cell r="CG146">
            <v>0</v>
          </cell>
          <cell r="CI146">
            <v>0</v>
          </cell>
          <cell r="CK146">
            <v>0</v>
          </cell>
        </row>
        <row r="147">
          <cell r="BY147">
            <v>0</v>
          </cell>
          <cell r="CE147">
            <v>0</v>
          </cell>
          <cell r="CG147">
            <v>0</v>
          </cell>
          <cell r="CI147">
            <v>0</v>
          </cell>
          <cell r="CK147">
            <v>0</v>
          </cell>
        </row>
        <row r="148">
          <cell r="BY148">
            <v>0</v>
          </cell>
          <cell r="CE148">
            <v>0</v>
          </cell>
          <cell r="CG148">
            <v>0</v>
          </cell>
          <cell r="CI148">
            <v>0</v>
          </cell>
          <cell r="CK148">
            <v>0</v>
          </cell>
        </row>
        <row r="149">
          <cell r="BY149">
            <v>0</v>
          </cell>
          <cell r="CE149">
            <v>0</v>
          </cell>
          <cell r="CG149">
            <v>0</v>
          </cell>
          <cell r="CI149">
            <v>0</v>
          </cell>
          <cell r="CK149">
            <v>0</v>
          </cell>
        </row>
        <row r="150">
          <cell r="BY150">
            <v>0</v>
          </cell>
          <cell r="CE150">
            <v>0</v>
          </cell>
          <cell r="CG150">
            <v>0</v>
          </cell>
          <cell r="CI150">
            <v>0</v>
          </cell>
          <cell r="CK150">
            <v>0</v>
          </cell>
        </row>
        <row r="151">
          <cell r="BY151">
            <v>0</v>
          </cell>
          <cell r="CE151">
            <v>0</v>
          </cell>
          <cell r="CG151">
            <v>0</v>
          </cell>
          <cell r="CI151">
            <v>0</v>
          </cell>
          <cell r="CK151">
            <v>0</v>
          </cell>
        </row>
        <row r="152">
          <cell r="BY152">
            <v>0</v>
          </cell>
          <cell r="CE152">
            <v>0</v>
          </cell>
          <cell r="CG152">
            <v>0</v>
          </cell>
          <cell r="CI152">
            <v>0</v>
          </cell>
          <cell r="CK152">
            <v>0</v>
          </cell>
        </row>
        <row r="153">
          <cell r="BY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</row>
        <row r="154">
          <cell r="BY154">
            <v>0</v>
          </cell>
          <cell r="CE154">
            <v>0</v>
          </cell>
          <cell r="CG154">
            <v>0</v>
          </cell>
          <cell r="CI154">
            <v>0</v>
          </cell>
          <cell r="CK154">
            <v>0</v>
          </cell>
        </row>
        <row r="155">
          <cell r="BY155">
            <v>0</v>
          </cell>
          <cell r="CE155">
            <v>0</v>
          </cell>
          <cell r="CG155">
            <v>0</v>
          </cell>
          <cell r="CI155">
            <v>0</v>
          </cell>
          <cell r="CK155">
            <v>0</v>
          </cell>
        </row>
        <row r="156">
          <cell r="BY156">
            <v>0</v>
          </cell>
          <cell r="CE156">
            <v>0</v>
          </cell>
          <cell r="CG156">
            <v>0</v>
          </cell>
          <cell r="CI156">
            <v>0</v>
          </cell>
          <cell r="CK156">
            <v>0</v>
          </cell>
        </row>
        <row r="157">
          <cell r="BY157">
            <v>0</v>
          </cell>
          <cell r="CE157">
            <v>0</v>
          </cell>
          <cell r="CG157">
            <v>0</v>
          </cell>
          <cell r="CI157">
            <v>0</v>
          </cell>
          <cell r="CK157">
            <v>0</v>
          </cell>
        </row>
        <row r="158">
          <cell r="BY158">
            <v>0</v>
          </cell>
          <cell r="CE158" t="e">
            <v>#REF!</v>
          </cell>
          <cell r="CG158" t="e">
            <v>#REF!</v>
          </cell>
          <cell r="CI158" t="e">
            <v>#REF!</v>
          </cell>
          <cell r="CK158" t="e">
            <v>#REF!</v>
          </cell>
        </row>
        <row r="159">
          <cell r="BT159">
            <v>55491.63</v>
          </cell>
          <cell r="BY159">
            <v>0</v>
          </cell>
          <cell r="CE159" t="e">
            <v>#REF!</v>
          </cell>
          <cell r="CG159" t="e">
            <v>#REF!</v>
          </cell>
          <cell r="CI159" t="e">
            <v>#REF!</v>
          </cell>
          <cell r="CK159" t="e">
            <v>#REF!</v>
          </cell>
        </row>
        <row r="160">
          <cell r="BY160">
            <v>0</v>
          </cell>
          <cell r="CE160" t="e">
            <v>#REF!</v>
          </cell>
          <cell r="CG160" t="e">
            <v>#REF!</v>
          </cell>
          <cell r="CI160" t="e">
            <v>#REF!</v>
          </cell>
          <cell r="CK160" t="e">
            <v>#REF!</v>
          </cell>
        </row>
        <row r="161">
          <cell r="BT161">
            <v>65.98</v>
          </cell>
          <cell r="BY161">
            <v>0</v>
          </cell>
          <cell r="CE161" t="e">
            <v>#REF!</v>
          </cell>
          <cell r="CG161" t="e">
            <v>#REF!</v>
          </cell>
          <cell r="CI161" t="e">
            <v>#REF!</v>
          </cell>
          <cell r="CK161" t="e">
            <v>#REF!</v>
          </cell>
        </row>
        <row r="162">
          <cell r="BT162">
            <v>16758.472000000002</v>
          </cell>
          <cell r="BY162">
            <v>0</v>
          </cell>
          <cell r="CE162" t="e">
            <v>#REF!</v>
          </cell>
          <cell r="CG162" t="e">
            <v>#REF!</v>
          </cell>
          <cell r="CI162" t="e">
            <v>#REF!</v>
          </cell>
          <cell r="CK162" t="e">
            <v>#REF!</v>
          </cell>
        </row>
        <row r="163">
          <cell r="BY163">
            <v>0</v>
          </cell>
          <cell r="CE163" t="e">
            <v>#REF!</v>
          </cell>
          <cell r="CG163" t="e">
            <v>#REF!</v>
          </cell>
          <cell r="CI163" t="e">
            <v>#REF!</v>
          </cell>
          <cell r="CK163" t="e">
            <v>#REF!</v>
          </cell>
        </row>
        <row r="164">
          <cell r="BT164">
            <v>1762.5099999999998</v>
          </cell>
          <cell r="BY164">
            <v>0</v>
          </cell>
          <cell r="CE164" t="e">
            <v>#REF!</v>
          </cell>
          <cell r="CG164" t="e">
            <v>#REF!</v>
          </cell>
          <cell r="CI164" t="e">
            <v>#REF!</v>
          </cell>
          <cell r="CK164" t="e">
            <v>#REF!</v>
          </cell>
        </row>
        <row r="165">
          <cell r="BT165">
            <v>0</v>
          </cell>
          <cell r="BY165">
            <v>0</v>
          </cell>
          <cell r="CE165" t="e">
            <v>#REF!</v>
          </cell>
          <cell r="CG165" t="e">
            <v>#REF!</v>
          </cell>
          <cell r="CI165" t="e">
            <v>#REF!</v>
          </cell>
          <cell r="CK165" t="e">
            <v>#REF!</v>
          </cell>
        </row>
        <row r="166">
          <cell r="BT166">
            <v>665.75100000000009</v>
          </cell>
          <cell r="BY166">
            <v>0</v>
          </cell>
          <cell r="CE166" t="e">
            <v>#REF!</v>
          </cell>
          <cell r="CG166" t="e">
            <v>#REF!</v>
          </cell>
          <cell r="CI166" t="e">
            <v>#REF!</v>
          </cell>
          <cell r="CK166" t="e">
            <v>#REF!</v>
          </cell>
        </row>
        <row r="167">
          <cell r="BT167">
            <v>1663.42</v>
          </cell>
          <cell r="BY167">
            <v>0</v>
          </cell>
          <cell r="CE167" t="e">
            <v>#REF!</v>
          </cell>
          <cell r="CG167" t="e">
            <v>#REF!</v>
          </cell>
          <cell r="CI167" t="e">
            <v>#REF!</v>
          </cell>
          <cell r="CK167" t="e">
            <v>#REF!</v>
          </cell>
        </row>
        <row r="168">
          <cell r="BT168">
            <v>1479.518</v>
          </cell>
          <cell r="BY168">
            <v>0</v>
          </cell>
          <cell r="CE168" t="e">
            <v>#REF!</v>
          </cell>
          <cell r="CG168" t="e">
            <v>#REF!</v>
          </cell>
          <cell r="CI168" t="e">
            <v>#REF!</v>
          </cell>
          <cell r="CK168" t="e">
            <v>#REF!</v>
          </cell>
        </row>
        <row r="169">
          <cell r="BT169">
            <v>6117.7759999999998</v>
          </cell>
          <cell r="BY169">
            <v>0</v>
          </cell>
          <cell r="CE169" t="e">
            <v>#REF!</v>
          </cell>
          <cell r="CG169" t="e">
            <v>#REF!</v>
          </cell>
          <cell r="CI169" t="e">
            <v>#REF!</v>
          </cell>
          <cell r="CK169" t="e">
            <v>#REF!</v>
          </cell>
        </row>
        <row r="170">
          <cell r="BT170">
            <v>1292.1240000000003</v>
          </cell>
          <cell r="BY170">
            <v>0</v>
          </cell>
          <cell r="CE170" t="e">
            <v>#REF!</v>
          </cell>
          <cell r="CG170" t="e">
            <v>#REF!</v>
          </cell>
          <cell r="CI170" t="e">
            <v>#REF!</v>
          </cell>
          <cell r="CK170" t="e">
            <v>#REF!</v>
          </cell>
        </row>
        <row r="171">
          <cell r="BT171">
            <v>0</v>
          </cell>
          <cell r="BY171">
            <v>0</v>
          </cell>
          <cell r="CE171" t="e">
            <v>#REF!</v>
          </cell>
          <cell r="CG171" t="e">
            <v>#REF!</v>
          </cell>
          <cell r="CI171" t="e">
            <v>#REF!</v>
          </cell>
          <cell r="CK171" t="e">
            <v>#REF!</v>
          </cell>
        </row>
        <row r="172">
          <cell r="BY172">
            <v>0</v>
          </cell>
          <cell r="CE172" t="e">
            <v>#REF!</v>
          </cell>
          <cell r="CG172" t="e">
            <v>#REF!</v>
          </cell>
          <cell r="CI172" t="e">
            <v>#REF!</v>
          </cell>
          <cell r="CK172" t="e">
            <v>#REF!</v>
          </cell>
        </row>
        <row r="173">
          <cell r="BY173">
            <v>0</v>
          </cell>
          <cell r="CE173" t="e">
            <v>#REF!</v>
          </cell>
          <cell r="CG173" t="e">
            <v>#REF!</v>
          </cell>
          <cell r="CI173" t="e">
            <v>#REF!</v>
          </cell>
          <cell r="CK173" t="e">
            <v>#REF!</v>
          </cell>
        </row>
        <row r="174">
          <cell r="BY174">
            <v>0</v>
          </cell>
          <cell r="CE174" t="e">
            <v>#REF!</v>
          </cell>
          <cell r="CG174" t="e">
            <v>#REF!</v>
          </cell>
          <cell r="CI174" t="e">
            <v>#REF!</v>
          </cell>
          <cell r="CK174" t="e">
            <v>#REF!</v>
          </cell>
        </row>
        <row r="175">
          <cell r="BY175">
            <v>0</v>
          </cell>
          <cell r="CE175" t="e">
            <v>#REF!</v>
          </cell>
          <cell r="CG175" t="e">
            <v>#REF!</v>
          </cell>
          <cell r="CI175" t="e">
            <v>#REF!</v>
          </cell>
          <cell r="CK175" t="e">
            <v>#REF!</v>
          </cell>
        </row>
        <row r="176">
          <cell r="BT176">
            <v>653.30700000000002</v>
          </cell>
          <cell r="BY176">
            <v>0</v>
          </cell>
          <cell r="CE176" t="e">
            <v>#REF!</v>
          </cell>
          <cell r="CG176" t="e">
            <v>#REF!</v>
          </cell>
          <cell r="CI176" t="e">
            <v>#REF!</v>
          </cell>
          <cell r="CK176" t="e">
            <v>#REF!</v>
          </cell>
        </row>
        <row r="177">
          <cell r="BT177">
            <v>649.34</v>
          </cell>
          <cell r="BY177">
            <v>0</v>
          </cell>
          <cell r="CE177" t="e">
            <v>#REF!</v>
          </cell>
          <cell r="CG177" t="e">
            <v>#REF!</v>
          </cell>
          <cell r="CI177" t="e">
            <v>#REF!</v>
          </cell>
          <cell r="CK177" t="e">
            <v>#REF!</v>
          </cell>
        </row>
        <row r="178">
          <cell r="BT178">
            <v>3.6019999999999999</v>
          </cell>
          <cell r="BY178">
            <v>0</v>
          </cell>
          <cell r="CE178" t="e">
            <v>#REF!</v>
          </cell>
          <cell r="CG178" t="e">
            <v>#REF!</v>
          </cell>
          <cell r="CI178" t="e">
            <v>#REF!</v>
          </cell>
          <cell r="CK178" t="e">
            <v>#REF!</v>
          </cell>
        </row>
        <row r="179">
          <cell r="BY179">
            <v>0</v>
          </cell>
          <cell r="CE179" t="e">
            <v>#REF!</v>
          </cell>
          <cell r="CG179" t="e">
            <v>#REF!</v>
          </cell>
          <cell r="CI179" t="e">
            <v>#REF!</v>
          </cell>
          <cell r="CK179" t="e">
            <v>#REF!</v>
          </cell>
        </row>
        <row r="180">
          <cell r="BT180">
            <v>164.24266</v>
          </cell>
          <cell r="BY180">
            <v>0</v>
          </cell>
          <cell r="CE180" t="e">
            <v>#REF!</v>
          </cell>
          <cell r="CG180" t="e">
            <v>#REF!</v>
          </cell>
          <cell r="CI180" t="e">
            <v>#REF!</v>
          </cell>
          <cell r="CK180" t="e">
            <v>#REF!</v>
          </cell>
        </row>
        <row r="181">
          <cell r="BT181">
            <v>227.16300000000001</v>
          </cell>
          <cell r="BY181">
            <v>0</v>
          </cell>
          <cell r="CE181" t="e">
            <v>#REF!</v>
          </cell>
          <cell r="CG181" t="e">
            <v>#REF!</v>
          </cell>
          <cell r="CI181" t="e">
            <v>#REF!</v>
          </cell>
          <cell r="CK181" t="e">
            <v>#REF!</v>
          </cell>
        </row>
        <row r="182">
          <cell r="BT182">
            <v>0</v>
          </cell>
          <cell r="BY182">
            <v>0</v>
          </cell>
          <cell r="CE182" t="e">
            <v>#REF!</v>
          </cell>
          <cell r="CG182" t="e">
            <v>#REF!</v>
          </cell>
          <cell r="CI182" t="e">
            <v>#REF!</v>
          </cell>
          <cell r="CK182" t="e">
            <v>#REF!</v>
          </cell>
        </row>
        <row r="183">
          <cell r="BY183">
            <v>0</v>
          </cell>
          <cell r="CE183">
            <v>0</v>
          </cell>
          <cell r="CG183">
            <v>0</v>
          </cell>
          <cell r="CI183">
            <v>0</v>
          </cell>
          <cell r="CK183">
            <v>0</v>
          </cell>
        </row>
        <row r="184">
          <cell r="BT184">
            <v>0</v>
          </cell>
          <cell r="BY184">
            <v>0</v>
          </cell>
          <cell r="CE184" t="e">
            <v>#REF!</v>
          </cell>
          <cell r="CG184" t="e">
            <v>#REF!</v>
          </cell>
          <cell r="CI184" t="e">
            <v>#REF!</v>
          </cell>
          <cell r="CK184" t="e">
            <v>#REF!</v>
          </cell>
        </row>
        <row r="185">
          <cell r="BT185">
            <v>0</v>
          </cell>
          <cell r="BY185">
            <v>0</v>
          </cell>
          <cell r="CE185" t="e">
            <v>#REF!</v>
          </cell>
          <cell r="CG185" t="e">
            <v>#REF!</v>
          </cell>
          <cell r="CI185" t="e">
            <v>#REF!</v>
          </cell>
          <cell r="CK185" t="e">
            <v>#REF!</v>
          </cell>
        </row>
        <row r="186">
          <cell r="BT186">
            <v>0</v>
          </cell>
          <cell r="BY186">
            <v>0</v>
          </cell>
          <cell r="CE186">
            <v>0</v>
          </cell>
          <cell r="CG186">
            <v>0</v>
          </cell>
          <cell r="CI186">
            <v>0</v>
          </cell>
          <cell r="CK186">
            <v>0</v>
          </cell>
        </row>
        <row r="187">
          <cell r="BY187">
            <v>0</v>
          </cell>
          <cell r="CE187">
            <v>0</v>
          </cell>
          <cell r="CG187">
            <v>0</v>
          </cell>
          <cell r="CI187">
            <v>0</v>
          </cell>
          <cell r="CK187">
            <v>0</v>
          </cell>
        </row>
        <row r="188">
          <cell r="BY188">
            <v>0</v>
          </cell>
          <cell r="CE188">
            <v>0</v>
          </cell>
          <cell r="CG188">
            <v>0</v>
          </cell>
          <cell r="CI188">
            <v>0</v>
          </cell>
          <cell r="CK188">
            <v>0</v>
          </cell>
        </row>
        <row r="189">
          <cell r="BY189">
            <v>0</v>
          </cell>
          <cell r="CE189">
            <v>0</v>
          </cell>
          <cell r="CG189">
            <v>0</v>
          </cell>
          <cell r="CI189">
            <v>0</v>
          </cell>
          <cell r="CK189">
            <v>0</v>
          </cell>
        </row>
        <row r="190">
          <cell r="BY190">
            <v>0</v>
          </cell>
          <cell r="CE190">
            <v>0</v>
          </cell>
          <cell r="CG190">
            <v>0</v>
          </cell>
          <cell r="CI190">
            <v>0</v>
          </cell>
          <cell r="CK190">
            <v>0</v>
          </cell>
        </row>
        <row r="191">
          <cell r="BY191">
            <v>0</v>
          </cell>
          <cell r="CE191" t="e">
            <v>#REF!</v>
          </cell>
          <cell r="CG191" t="e">
            <v>#REF!</v>
          </cell>
          <cell r="CI191" t="e">
            <v>#REF!</v>
          </cell>
          <cell r="CK191" t="e">
            <v>#REF!</v>
          </cell>
        </row>
        <row r="192">
          <cell r="BT192">
            <v>9086.6530000000002</v>
          </cell>
          <cell r="BY192">
            <v>0</v>
          </cell>
          <cell r="CE192" t="e">
            <v>#REF!</v>
          </cell>
          <cell r="CG192" t="e">
            <v>#REF!</v>
          </cell>
          <cell r="CI192" t="e">
            <v>#REF!</v>
          </cell>
          <cell r="CK192" t="e">
            <v>#REF!</v>
          </cell>
        </row>
        <row r="193">
          <cell r="BY193">
            <v>0</v>
          </cell>
          <cell r="CE193">
            <v>0</v>
          </cell>
          <cell r="CG193">
            <v>0</v>
          </cell>
          <cell r="CI193">
            <v>0</v>
          </cell>
          <cell r="CK193">
            <v>0</v>
          </cell>
        </row>
        <row r="194">
          <cell r="BY194">
            <v>0</v>
          </cell>
          <cell r="CE194">
            <v>0</v>
          </cell>
          <cell r="CG194">
            <v>0</v>
          </cell>
          <cell r="CI194">
            <v>0</v>
          </cell>
          <cell r="CK194">
            <v>0</v>
          </cell>
        </row>
        <row r="195">
          <cell r="BY195">
            <v>0</v>
          </cell>
          <cell r="CE195">
            <v>0</v>
          </cell>
          <cell r="CG195">
            <v>0</v>
          </cell>
          <cell r="CI195">
            <v>0</v>
          </cell>
          <cell r="CK195">
            <v>0</v>
          </cell>
        </row>
        <row r="196">
          <cell r="BY196">
            <v>0</v>
          </cell>
          <cell r="CE196" t="e">
            <v>#REF!</v>
          </cell>
          <cell r="CG196" t="e">
            <v>#REF!</v>
          </cell>
          <cell r="CI196" t="e">
            <v>#REF!</v>
          </cell>
          <cell r="CK196" t="e">
            <v>#REF!</v>
          </cell>
        </row>
        <row r="197">
          <cell r="BY197">
            <v>0</v>
          </cell>
          <cell r="CE197" t="e">
            <v>#REF!</v>
          </cell>
          <cell r="CG197" t="e">
            <v>#REF!</v>
          </cell>
          <cell r="CI197" t="e">
            <v>#REF!</v>
          </cell>
          <cell r="CK197" t="e">
            <v>#REF!</v>
          </cell>
        </row>
        <row r="198">
          <cell r="BT198">
            <v>0</v>
          </cell>
          <cell r="BY198">
            <v>0</v>
          </cell>
          <cell r="CE198">
            <v>0</v>
          </cell>
          <cell r="CG198">
            <v>0</v>
          </cell>
          <cell r="CI198">
            <v>0</v>
          </cell>
          <cell r="CK198">
            <v>0</v>
          </cell>
        </row>
        <row r="199">
          <cell r="BT199">
            <v>0</v>
          </cell>
          <cell r="BY199">
            <v>0</v>
          </cell>
          <cell r="CE199">
            <v>0</v>
          </cell>
          <cell r="CG199">
            <v>0</v>
          </cell>
          <cell r="CI199">
            <v>0</v>
          </cell>
          <cell r="CK199">
            <v>0</v>
          </cell>
        </row>
        <row r="200">
          <cell r="BT200">
            <v>0</v>
          </cell>
          <cell r="BY200">
            <v>0</v>
          </cell>
          <cell r="CE200">
            <v>0</v>
          </cell>
          <cell r="CG200">
            <v>0</v>
          </cell>
          <cell r="CI200">
            <v>0</v>
          </cell>
          <cell r="CK200">
            <v>0</v>
          </cell>
        </row>
        <row r="201">
          <cell r="BY201">
            <v>0</v>
          </cell>
          <cell r="CE201" t="e">
            <v>#REF!</v>
          </cell>
          <cell r="CG201" t="e">
            <v>#REF!</v>
          </cell>
          <cell r="CI201" t="e">
            <v>#REF!</v>
          </cell>
          <cell r="CK201" t="e">
            <v>#REF!</v>
          </cell>
        </row>
      </sheetData>
      <sheetData sheetId="54"/>
      <sheetData sheetId="55"/>
      <sheetData sheetId="56"/>
      <sheetData sheetId="57"/>
      <sheetData sheetId="58">
        <row r="168">
          <cell r="BG168">
            <v>0</v>
          </cell>
          <cell r="BH168">
            <v>0</v>
          </cell>
          <cell r="BT168">
            <v>28727.88</v>
          </cell>
        </row>
        <row r="173">
          <cell r="BA173">
            <v>0</v>
          </cell>
        </row>
        <row r="264">
          <cell r="BG264">
            <v>0</v>
          </cell>
          <cell r="BH264">
            <v>0</v>
          </cell>
          <cell r="BT264">
            <v>0</v>
          </cell>
        </row>
        <row r="267">
          <cell r="BA267">
            <v>0</v>
          </cell>
        </row>
      </sheetData>
      <sheetData sheetId="59">
        <row r="116">
          <cell r="BP116">
            <v>9661.8050000000003</v>
          </cell>
        </row>
        <row r="151">
          <cell r="BP151">
            <v>0</v>
          </cell>
        </row>
      </sheetData>
      <sheetData sheetId="60">
        <row r="2">
          <cell r="K2" t="str">
            <v>D0528 Версия данных</v>
          </cell>
          <cell r="L2" t="str">
            <v>D0041 Год</v>
          </cell>
          <cell r="M2" t="str">
            <v>D0004 План / факт</v>
          </cell>
          <cell r="N2" t="str">
            <v>D0462 Период</v>
          </cell>
          <cell r="P2" t="str">
            <v>D0528 Версия данных</v>
          </cell>
          <cell r="Q2" t="str">
            <v>D0041 Год</v>
          </cell>
          <cell r="R2" t="str">
            <v>D0004 План / факт</v>
          </cell>
          <cell r="S2" t="str">
            <v>D0462 Период</v>
          </cell>
        </row>
        <row r="3">
          <cell r="A3" t="str">
            <v>Версия организации2020фактгод</v>
          </cell>
          <cell r="B3" t="str">
            <v>Версия организации2020факт</v>
          </cell>
          <cell r="H3" t="b">
            <v>1</v>
          </cell>
          <cell r="I3" t="b">
            <v>1</v>
          </cell>
          <cell r="K3" t="str">
            <v>Версия организации</v>
          </cell>
          <cell r="L3">
            <v>2020</v>
          </cell>
          <cell r="M3" t="str">
            <v>Факт</v>
          </cell>
          <cell r="N3" t="str">
            <v>Год</v>
          </cell>
          <cell r="P3" t="str">
            <v>Версия организации</v>
          </cell>
          <cell r="Q3">
            <v>2020</v>
          </cell>
          <cell r="R3" t="str">
            <v>Факт</v>
          </cell>
          <cell r="S3" t="str">
            <v>Год</v>
          </cell>
        </row>
        <row r="4">
          <cell r="A4" t="str">
            <v>Версия организации2020фактI полугодие</v>
          </cell>
          <cell r="B4" t="str">
            <v>Версия организации2020факт</v>
          </cell>
          <cell r="H4" t="b">
            <v>1</v>
          </cell>
          <cell r="I4" t="b">
            <v>1</v>
          </cell>
          <cell r="K4" t="str">
            <v>Версия организации</v>
          </cell>
          <cell r="L4">
            <v>2020</v>
          </cell>
          <cell r="M4" t="str">
            <v>Факт</v>
          </cell>
          <cell r="N4" t="str">
            <v>I</v>
          </cell>
          <cell r="P4" t="str">
            <v>Версия организации</v>
          </cell>
          <cell r="Q4">
            <v>2020</v>
          </cell>
          <cell r="R4" t="str">
            <v>Факт</v>
          </cell>
          <cell r="S4" t="str">
            <v>I</v>
          </cell>
        </row>
        <row r="5">
          <cell r="A5" t="str">
            <v>Версия организации2020фактII полугодие</v>
          </cell>
          <cell r="B5" t="str">
            <v>Версия организации2020факт</v>
          </cell>
          <cell r="H5" t="b">
            <v>1</v>
          </cell>
          <cell r="I5" t="b">
            <v>1</v>
          </cell>
          <cell r="K5" t="str">
            <v>Версия организации</v>
          </cell>
          <cell r="L5">
            <v>2020</v>
          </cell>
          <cell r="M5" t="str">
            <v>Факт</v>
          </cell>
          <cell r="N5" t="str">
            <v>II</v>
          </cell>
          <cell r="P5" t="str">
            <v>Версия организации</v>
          </cell>
          <cell r="Q5">
            <v>2020</v>
          </cell>
          <cell r="R5" t="str">
            <v>Факт</v>
          </cell>
          <cell r="S5" t="str">
            <v>II</v>
          </cell>
        </row>
        <row r="6">
          <cell r="A6" t="str">
            <v>Версия регулятора2020фактгод</v>
          </cell>
          <cell r="B6" t="str">
            <v>Версия регулятора2020факт</v>
          </cell>
          <cell r="H6" t="b">
            <v>1</v>
          </cell>
          <cell r="I6" t="b">
            <v>0</v>
          </cell>
          <cell r="K6" t="str">
            <v>Версия регулятора</v>
          </cell>
          <cell r="L6">
            <v>2020</v>
          </cell>
          <cell r="M6" t="str">
            <v>Факт</v>
          </cell>
          <cell r="N6" t="str">
            <v>Год</v>
          </cell>
          <cell r="P6" t="str">
            <v>Не определено</v>
          </cell>
          <cell r="Q6" t="str">
            <v>Не определено</v>
          </cell>
          <cell r="R6" t="str">
            <v>Не определено</v>
          </cell>
          <cell r="S6" t="str">
            <v>Не определено</v>
          </cell>
        </row>
        <row r="7">
          <cell r="A7" t="str">
            <v>Версия регулятора2020фактI полугодие</v>
          </cell>
          <cell r="B7" t="str">
            <v>Версия регулятора2020факт</v>
          </cell>
          <cell r="H7" t="b">
            <v>1</v>
          </cell>
          <cell r="I7" t="b">
            <v>0</v>
          </cell>
          <cell r="K7" t="str">
            <v>Версия регулятора</v>
          </cell>
          <cell r="L7">
            <v>2020</v>
          </cell>
          <cell r="M7" t="str">
            <v>Факт</v>
          </cell>
          <cell r="N7" t="str">
            <v>I</v>
          </cell>
          <cell r="P7" t="str">
            <v>Не определено</v>
          </cell>
          <cell r="Q7" t="str">
            <v>Не определено</v>
          </cell>
          <cell r="R7" t="str">
            <v>Не определено</v>
          </cell>
          <cell r="S7" t="str">
            <v>Не определено</v>
          </cell>
        </row>
        <row r="8">
          <cell r="A8" t="str">
            <v>Версия регулятора2020фактII полугодие</v>
          </cell>
          <cell r="B8" t="str">
            <v>Версия регулятора2020факт</v>
          </cell>
          <cell r="H8" t="b">
            <v>1</v>
          </cell>
          <cell r="I8" t="b">
            <v>0</v>
          </cell>
          <cell r="K8" t="str">
            <v>Версия регулятора</v>
          </cell>
          <cell r="L8">
            <v>2020</v>
          </cell>
          <cell r="M8" t="str">
            <v>Факт</v>
          </cell>
          <cell r="N8" t="str">
            <v>II</v>
          </cell>
          <cell r="P8" t="str">
            <v>Не определено</v>
          </cell>
          <cell r="Q8" t="str">
            <v>Не определено</v>
          </cell>
          <cell r="R8" t="str">
            <v>Не определено</v>
          </cell>
          <cell r="S8" t="str">
            <v>Не определено</v>
          </cell>
        </row>
        <row r="9">
          <cell r="A9" t="str">
            <v>Версия организации2021план Органа регулированиягод</v>
          </cell>
          <cell r="B9" t="str">
            <v>Версия организации2021план Органа регулирования</v>
          </cell>
          <cell r="H9" t="b">
            <v>1</v>
          </cell>
          <cell r="I9" t="b">
            <v>0</v>
          </cell>
          <cell r="K9" t="str">
            <v>Версия организации</v>
          </cell>
          <cell r="L9">
            <v>2021</v>
          </cell>
          <cell r="M9" t="str">
            <v>План</v>
          </cell>
          <cell r="N9" t="str">
            <v>Год</v>
          </cell>
          <cell r="P9" t="str">
            <v>Версия организации</v>
          </cell>
          <cell r="Q9">
            <v>2021</v>
          </cell>
          <cell r="R9" t="str">
            <v>План</v>
          </cell>
          <cell r="S9" t="str">
            <v>Год</v>
          </cell>
        </row>
        <row r="10">
          <cell r="A10" t="str">
            <v>Версия организации2021план Органа регулированияI полугодие</v>
          </cell>
          <cell r="B10" t="str">
            <v>Версия организации2021план Органа регулирования</v>
          </cell>
          <cell r="H10" t="b">
            <v>1</v>
          </cell>
          <cell r="I10" t="b">
            <v>0</v>
          </cell>
          <cell r="K10" t="str">
            <v>Версия организации</v>
          </cell>
          <cell r="L10">
            <v>2021</v>
          </cell>
          <cell r="M10" t="str">
            <v>План</v>
          </cell>
          <cell r="N10" t="str">
            <v>I</v>
          </cell>
          <cell r="P10" t="str">
            <v>Версия организации</v>
          </cell>
          <cell r="Q10">
            <v>2021</v>
          </cell>
          <cell r="R10" t="str">
            <v>План</v>
          </cell>
          <cell r="S10" t="str">
            <v>I</v>
          </cell>
        </row>
        <row r="11">
          <cell r="A11" t="str">
            <v>Версия организации2021план Органа регулированияII полугодие</v>
          </cell>
          <cell r="B11" t="str">
            <v>Версия организации2021план Органа регулирования</v>
          </cell>
          <cell r="H11" t="b">
            <v>1</v>
          </cell>
          <cell r="I11" t="b">
            <v>0</v>
          </cell>
          <cell r="K11" t="str">
            <v>Версия организации</v>
          </cell>
          <cell r="L11">
            <v>2021</v>
          </cell>
          <cell r="M11" t="str">
            <v>План</v>
          </cell>
          <cell r="N11" t="str">
            <v>II</v>
          </cell>
          <cell r="P11" t="str">
            <v>Версия организации</v>
          </cell>
          <cell r="Q11">
            <v>2021</v>
          </cell>
          <cell r="R11" t="str">
            <v>План</v>
          </cell>
          <cell r="S11" t="str">
            <v>II</v>
          </cell>
        </row>
        <row r="12">
          <cell r="A12" t="str">
            <v>Версия регулятора2021план Органа регулированиягод</v>
          </cell>
          <cell r="B12" t="str">
            <v>Версия регулятора2021план Органа регулирования</v>
          </cell>
          <cell r="H12" t="b">
            <v>1</v>
          </cell>
          <cell r="I12" t="b">
            <v>0</v>
          </cell>
          <cell r="K12" t="str">
            <v>Версия регулятора</v>
          </cell>
          <cell r="L12">
            <v>2021</v>
          </cell>
          <cell r="M12" t="str">
            <v>План</v>
          </cell>
          <cell r="N12" t="str">
            <v>Год</v>
          </cell>
          <cell r="P12" t="str">
            <v>Не определено</v>
          </cell>
          <cell r="Q12" t="str">
            <v>Не определено</v>
          </cell>
          <cell r="R12" t="str">
            <v>Не определено</v>
          </cell>
          <cell r="S12" t="str">
            <v>Не определено</v>
          </cell>
        </row>
        <row r="13">
          <cell r="A13" t="str">
            <v>Версия регулятора2021план Органа регулированияI полугодие</v>
          </cell>
          <cell r="B13" t="str">
            <v>Версия регулятора2021план Органа регулирования</v>
          </cell>
          <cell r="H13" t="b">
            <v>1</v>
          </cell>
          <cell r="I13" t="b">
            <v>0</v>
          </cell>
          <cell r="K13" t="str">
            <v>Версия регулятора</v>
          </cell>
          <cell r="L13">
            <v>2021</v>
          </cell>
          <cell r="M13" t="str">
            <v>План</v>
          </cell>
          <cell r="N13" t="str">
            <v>I</v>
          </cell>
          <cell r="P13" t="str">
            <v>Не определено</v>
          </cell>
          <cell r="Q13" t="str">
            <v>Не определено</v>
          </cell>
          <cell r="R13" t="str">
            <v>Не определено</v>
          </cell>
          <cell r="S13" t="str">
            <v>Не определено</v>
          </cell>
        </row>
        <row r="14">
          <cell r="A14" t="str">
            <v>Версия регулятора2021план Органа регулированияII полугодие</v>
          </cell>
          <cell r="B14" t="str">
            <v>Версия регулятора2021план Органа регулирования</v>
          </cell>
          <cell r="H14" t="b">
            <v>1</v>
          </cell>
          <cell r="I14" t="b">
            <v>0</v>
          </cell>
          <cell r="K14" t="str">
            <v>Версия регулятора</v>
          </cell>
          <cell r="L14">
            <v>2021</v>
          </cell>
          <cell r="M14" t="str">
            <v>План</v>
          </cell>
          <cell r="N14" t="str">
            <v>II</v>
          </cell>
          <cell r="P14" t="str">
            <v>Не определено</v>
          </cell>
          <cell r="Q14" t="str">
            <v>Не определено</v>
          </cell>
          <cell r="R14" t="str">
            <v>Не определено</v>
          </cell>
          <cell r="S14" t="str">
            <v>Не определено</v>
          </cell>
        </row>
        <row r="15">
          <cell r="A15" t="str">
            <v>Версия организации2021фактгод</v>
          </cell>
          <cell r="B15" t="str">
            <v>Версия организации2021факт</v>
          </cell>
          <cell r="H15" t="b">
            <v>1</v>
          </cell>
          <cell r="I15" t="b">
            <v>1</v>
          </cell>
          <cell r="K15" t="str">
            <v>Версия организации</v>
          </cell>
          <cell r="L15">
            <v>2021</v>
          </cell>
          <cell r="M15" t="str">
            <v>Факт</v>
          </cell>
          <cell r="N15" t="str">
            <v>Год</v>
          </cell>
          <cell r="P15" t="str">
            <v>Версия организации</v>
          </cell>
          <cell r="Q15">
            <v>2021</v>
          </cell>
          <cell r="R15" t="str">
            <v>Факт</v>
          </cell>
          <cell r="S15" t="str">
            <v>Год</v>
          </cell>
        </row>
        <row r="16">
          <cell r="A16" t="str">
            <v>Версия организации2021фактI полугодие</v>
          </cell>
          <cell r="B16" t="str">
            <v>Версия организации2021факт</v>
          </cell>
          <cell r="H16" t="b">
            <v>1</v>
          </cell>
          <cell r="I16" t="b">
            <v>1</v>
          </cell>
          <cell r="K16" t="str">
            <v>Версия организации</v>
          </cell>
          <cell r="L16">
            <v>2021</v>
          </cell>
          <cell r="M16" t="str">
            <v>Факт</v>
          </cell>
          <cell r="N16" t="str">
            <v>I</v>
          </cell>
          <cell r="P16" t="str">
            <v>Версия организации</v>
          </cell>
          <cell r="Q16">
            <v>2021</v>
          </cell>
          <cell r="R16" t="str">
            <v>Факт</v>
          </cell>
          <cell r="S16" t="str">
            <v>I</v>
          </cell>
        </row>
        <row r="17">
          <cell r="A17" t="str">
            <v>Версия организации2021фактII полугодие</v>
          </cell>
          <cell r="B17" t="str">
            <v>Версия организации2021факт</v>
          </cell>
          <cell r="H17" t="b">
            <v>1</v>
          </cell>
          <cell r="I17" t="b">
            <v>1</v>
          </cell>
          <cell r="K17" t="str">
            <v>Версия организации</v>
          </cell>
          <cell r="L17">
            <v>2021</v>
          </cell>
          <cell r="M17" t="str">
            <v>Факт</v>
          </cell>
          <cell r="N17" t="str">
            <v>II</v>
          </cell>
          <cell r="P17" t="str">
            <v>Версия организации</v>
          </cell>
          <cell r="Q17">
            <v>2021</v>
          </cell>
          <cell r="R17" t="str">
            <v>Факт</v>
          </cell>
          <cell r="S17" t="str">
            <v>II</v>
          </cell>
        </row>
        <row r="18">
          <cell r="A18" t="str">
            <v>Версия регулятора2021фактгод</v>
          </cell>
          <cell r="B18" t="str">
            <v>Версия регулятора2021факт</v>
          </cell>
          <cell r="H18" t="b">
            <v>1</v>
          </cell>
          <cell r="I18" t="b">
            <v>0</v>
          </cell>
          <cell r="K18" t="str">
            <v>Версия регулятора</v>
          </cell>
          <cell r="L18">
            <v>2021</v>
          </cell>
          <cell r="M18" t="str">
            <v>Факт</v>
          </cell>
          <cell r="N18" t="str">
            <v>Год</v>
          </cell>
          <cell r="P18" t="str">
            <v>Не определено</v>
          </cell>
          <cell r="Q18" t="str">
            <v>Не определено</v>
          </cell>
          <cell r="R18" t="str">
            <v>Не определено</v>
          </cell>
          <cell r="S18" t="str">
            <v>Не определено</v>
          </cell>
        </row>
        <row r="19">
          <cell r="A19" t="str">
            <v>Версия регулятора2021фактI полугодие</v>
          </cell>
          <cell r="B19" t="str">
            <v>Версия регулятора2021факт</v>
          </cell>
          <cell r="H19" t="b">
            <v>1</v>
          </cell>
          <cell r="I19" t="b">
            <v>0</v>
          </cell>
          <cell r="K19" t="str">
            <v>Версия регулятора</v>
          </cell>
          <cell r="L19">
            <v>2021</v>
          </cell>
          <cell r="M19" t="str">
            <v>Факт</v>
          </cell>
          <cell r="N19" t="str">
            <v>I</v>
          </cell>
          <cell r="P19" t="str">
            <v>Не определено</v>
          </cell>
          <cell r="Q19" t="str">
            <v>Не определено</v>
          </cell>
          <cell r="R19" t="str">
            <v>Не определено</v>
          </cell>
          <cell r="S19" t="str">
            <v>Не определено</v>
          </cell>
        </row>
        <row r="20">
          <cell r="A20" t="str">
            <v>Версия регулятора2021фактII полугодие</v>
          </cell>
          <cell r="B20" t="str">
            <v>Версия регулятора2021факт</v>
          </cell>
          <cell r="H20" t="b">
            <v>1</v>
          </cell>
          <cell r="I20" t="b">
            <v>0</v>
          </cell>
          <cell r="K20" t="str">
            <v>Версия регулятора</v>
          </cell>
          <cell r="L20">
            <v>2021</v>
          </cell>
          <cell r="M20" t="str">
            <v>Факт</v>
          </cell>
          <cell r="N20" t="str">
            <v>II</v>
          </cell>
          <cell r="P20" t="str">
            <v>Не определено</v>
          </cell>
          <cell r="Q20" t="str">
            <v>Не определено</v>
          </cell>
          <cell r="R20" t="str">
            <v>Не определено</v>
          </cell>
          <cell r="S20" t="str">
            <v>Не определено</v>
          </cell>
        </row>
        <row r="21">
          <cell r="A21" t="str">
            <v>Версия организации2022план Органа регулированиягод</v>
          </cell>
          <cell r="B21" t="str">
            <v>Версия организации2022план Органа регулирования</v>
          </cell>
          <cell r="H21" t="b">
            <v>1</v>
          </cell>
          <cell r="I21" t="b">
            <v>0</v>
          </cell>
          <cell r="K21" t="str">
            <v>Версия организации</v>
          </cell>
          <cell r="L21">
            <v>2022</v>
          </cell>
          <cell r="M21" t="str">
            <v>План</v>
          </cell>
          <cell r="N21" t="str">
            <v>Год</v>
          </cell>
          <cell r="P21" t="str">
            <v>Версия организации</v>
          </cell>
          <cell r="Q21">
            <v>2022</v>
          </cell>
          <cell r="R21" t="str">
            <v>План</v>
          </cell>
          <cell r="S21" t="str">
            <v>Год</v>
          </cell>
        </row>
        <row r="22">
          <cell r="A22" t="str">
            <v>Версия организации2022план Органа регулированияI полугодие</v>
          </cell>
          <cell r="B22" t="str">
            <v>Версия организации2022план Органа регулирования</v>
          </cell>
          <cell r="H22" t="b">
            <v>1</v>
          </cell>
          <cell r="I22" t="b">
            <v>0</v>
          </cell>
          <cell r="K22" t="str">
            <v>Версия организации</v>
          </cell>
          <cell r="L22">
            <v>2022</v>
          </cell>
          <cell r="M22" t="str">
            <v>План</v>
          </cell>
          <cell r="N22" t="str">
            <v>I</v>
          </cell>
          <cell r="P22" t="str">
            <v>Версия организации</v>
          </cell>
          <cell r="Q22">
            <v>2022</v>
          </cell>
          <cell r="R22" t="str">
            <v>План</v>
          </cell>
          <cell r="S22" t="str">
            <v>I</v>
          </cell>
        </row>
        <row r="23">
          <cell r="A23" t="str">
            <v>Версия организации2022план Органа регулированияII полугодие</v>
          </cell>
          <cell r="B23" t="str">
            <v>Версия организации2022план Органа регулирования</v>
          </cell>
          <cell r="H23" t="b">
            <v>1</v>
          </cell>
          <cell r="I23" t="b">
            <v>0</v>
          </cell>
          <cell r="K23" t="str">
            <v>Версия организации</v>
          </cell>
          <cell r="L23">
            <v>2022</v>
          </cell>
          <cell r="M23" t="str">
            <v>План</v>
          </cell>
          <cell r="N23" t="str">
            <v>II</v>
          </cell>
          <cell r="P23" t="str">
            <v>Версия организации</v>
          </cell>
          <cell r="Q23">
            <v>2022</v>
          </cell>
          <cell r="R23" t="str">
            <v>План</v>
          </cell>
          <cell r="S23" t="str">
            <v>II</v>
          </cell>
        </row>
        <row r="24">
          <cell r="A24" t="str">
            <v>Версия регулятора2022план Органа регулированиягод</v>
          </cell>
          <cell r="B24" t="str">
            <v>Версия регулятора2022план Органа регулирования</v>
          </cell>
          <cell r="H24" t="b">
            <v>1</v>
          </cell>
          <cell r="I24" t="b">
            <v>0</v>
          </cell>
          <cell r="K24" t="str">
            <v>Версия регулятора</v>
          </cell>
          <cell r="L24">
            <v>2022</v>
          </cell>
          <cell r="M24" t="str">
            <v>План</v>
          </cell>
          <cell r="N24" t="str">
            <v>Год</v>
          </cell>
          <cell r="P24" t="str">
            <v>Не определено</v>
          </cell>
          <cell r="Q24" t="str">
            <v>Не определено</v>
          </cell>
          <cell r="R24" t="str">
            <v>Не определено</v>
          </cell>
          <cell r="S24" t="str">
            <v>Не определено</v>
          </cell>
        </row>
        <row r="25">
          <cell r="A25" t="str">
            <v>Версия регулятора2022план Органа регулированияI полугодие</v>
          </cell>
          <cell r="B25" t="str">
            <v>Версия регулятора2022план Органа регулирования</v>
          </cell>
          <cell r="H25" t="b">
            <v>1</v>
          </cell>
          <cell r="I25" t="b">
            <v>0</v>
          </cell>
          <cell r="K25" t="str">
            <v>Версия регулятора</v>
          </cell>
          <cell r="L25">
            <v>2022</v>
          </cell>
          <cell r="M25" t="str">
            <v>План</v>
          </cell>
          <cell r="N25" t="str">
            <v>I</v>
          </cell>
          <cell r="P25" t="str">
            <v>Не определено</v>
          </cell>
          <cell r="Q25" t="str">
            <v>Не определено</v>
          </cell>
          <cell r="R25" t="str">
            <v>Не определено</v>
          </cell>
          <cell r="S25" t="str">
            <v>Не определено</v>
          </cell>
        </row>
        <row r="26">
          <cell r="A26" t="str">
            <v>Версия регулятора2022план Органа регулированияII полугодие</v>
          </cell>
          <cell r="B26" t="str">
            <v>Версия регулятора2022план Органа регулирования</v>
          </cell>
          <cell r="H26" t="b">
            <v>1</v>
          </cell>
          <cell r="I26" t="b">
            <v>0</v>
          </cell>
          <cell r="K26" t="str">
            <v>Версия регулятора</v>
          </cell>
          <cell r="L26">
            <v>2022</v>
          </cell>
          <cell r="M26" t="str">
            <v>План</v>
          </cell>
          <cell r="N26" t="str">
            <v>II</v>
          </cell>
          <cell r="P26" t="str">
            <v>Не определено</v>
          </cell>
          <cell r="Q26" t="str">
            <v>Не определено</v>
          </cell>
          <cell r="R26" t="str">
            <v>Не определено</v>
          </cell>
          <cell r="S26" t="str">
            <v>Не определено</v>
          </cell>
        </row>
        <row r="27">
          <cell r="A27" t="str">
            <v>Версия организации2022фактгод</v>
          </cell>
          <cell r="B27" t="str">
            <v>Версия организации2022факт</v>
          </cell>
          <cell r="H27" t="b">
            <v>1</v>
          </cell>
          <cell r="I27" t="b">
            <v>1</v>
          </cell>
          <cell r="K27" t="str">
            <v>Версия организации</v>
          </cell>
          <cell r="L27">
            <v>2022</v>
          </cell>
          <cell r="M27" t="str">
            <v>Факт</v>
          </cell>
          <cell r="N27" t="str">
            <v>Год</v>
          </cell>
          <cell r="P27" t="str">
            <v>Версия организации</v>
          </cell>
          <cell r="Q27">
            <v>2022</v>
          </cell>
          <cell r="R27" t="str">
            <v>Факт</v>
          </cell>
          <cell r="S27" t="str">
            <v>Год</v>
          </cell>
        </row>
        <row r="28">
          <cell r="A28" t="str">
            <v>Версия организации2022фактI полугодие</v>
          </cell>
          <cell r="B28" t="str">
            <v>Версия организации2022факт</v>
          </cell>
          <cell r="H28" t="b">
            <v>1</v>
          </cell>
          <cell r="I28" t="b">
            <v>1</v>
          </cell>
          <cell r="K28" t="str">
            <v>Версия организации</v>
          </cell>
          <cell r="L28">
            <v>2022</v>
          </cell>
          <cell r="M28" t="str">
            <v>Факт</v>
          </cell>
          <cell r="N28" t="str">
            <v>I</v>
          </cell>
          <cell r="P28" t="str">
            <v>Версия организации</v>
          </cell>
          <cell r="Q28">
            <v>2022</v>
          </cell>
          <cell r="R28" t="str">
            <v>Факт</v>
          </cell>
          <cell r="S28" t="str">
            <v>I</v>
          </cell>
        </row>
        <row r="29">
          <cell r="A29" t="str">
            <v>Версия организации2022фактII полугодие</v>
          </cell>
          <cell r="B29" t="str">
            <v>Версия организации2022факт</v>
          </cell>
          <cell r="H29" t="b">
            <v>1</v>
          </cell>
          <cell r="I29" t="b">
            <v>1</v>
          </cell>
          <cell r="K29" t="str">
            <v>Версия организации</v>
          </cell>
          <cell r="L29">
            <v>2022</v>
          </cell>
          <cell r="M29" t="str">
            <v>Факт</v>
          </cell>
          <cell r="N29" t="str">
            <v>II</v>
          </cell>
          <cell r="P29" t="str">
            <v>Версия организации</v>
          </cell>
          <cell r="Q29">
            <v>2022</v>
          </cell>
          <cell r="R29" t="str">
            <v>Факт</v>
          </cell>
          <cell r="S29" t="str">
            <v>II</v>
          </cell>
        </row>
        <row r="30">
          <cell r="A30" t="str">
            <v>Версия регулятора2022фактгод</v>
          </cell>
          <cell r="B30" t="str">
            <v>Версия регулятора2022факт</v>
          </cell>
          <cell r="H30" t="b">
            <v>1</v>
          </cell>
          <cell r="I30" t="b">
            <v>0</v>
          </cell>
          <cell r="K30" t="str">
            <v>Версия регулятора</v>
          </cell>
          <cell r="L30">
            <v>2022</v>
          </cell>
          <cell r="M30" t="str">
            <v>Факт</v>
          </cell>
          <cell r="N30" t="str">
            <v>Год</v>
          </cell>
          <cell r="P30" t="str">
            <v>Не определено</v>
          </cell>
          <cell r="Q30" t="str">
            <v>Не определено</v>
          </cell>
          <cell r="R30" t="str">
            <v>Не определено</v>
          </cell>
          <cell r="S30" t="str">
            <v>Не определено</v>
          </cell>
        </row>
        <row r="31">
          <cell r="A31" t="str">
            <v>Версия регулятора2022фактI полугодие</v>
          </cell>
          <cell r="B31" t="str">
            <v>Версия регулятора2022факт</v>
          </cell>
          <cell r="H31" t="b">
            <v>1</v>
          </cell>
          <cell r="I31" t="b">
            <v>0</v>
          </cell>
          <cell r="K31" t="str">
            <v>Версия регулятора</v>
          </cell>
          <cell r="L31">
            <v>2022</v>
          </cell>
          <cell r="M31" t="str">
            <v>Факт</v>
          </cell>
          <cell r="N31" t="str">
            <v>I</v>
          </cell>
          <cell r="P31" t="str">
            <v>Не определено</v>
          </cell>
          <cell r="Q31" t="str">
            <v>Не определено</v>
          </cell>
          <cell r="R31" t="str">
            <v>Не определено</v>
          </cell>
          <cell r="S31" t="str">
            <v>Не определено</v>
          </cell>
        </row>
        <row r="32">
          <cell r="A32" t="str">
            <v>Версия регулятора2022фактII полугодие</v>
          </cell>
          <cell r="B32" t="str">
            <v>Версия регулятора2022факт</v>
          </cell>
          <cell r="H32" t="b">
            <v>1</v>
          </cell>
          <cell r="I32" t="b">
            <v>0</v>
          </cell>
          <cell r="K32" t="str">
            <v>Версия регулятора</v>
          </cell>
          <cell r="L32">
            <v>2022</v>
          </cell>
          <cell r="M32" t="str">
            <v>Факт</v>
          </cell>
          <cell r="N32" t="str">
            <v>II</v>
          </cell>
          <cell r="P32" t="str">
            <v>Не определено</v>
          </cell>
          <cell r="Q32" t="str">
            <v>Не определено</v>
          </cell>
          <cell r="R32" t="str">
            <v>Не определено</v>
          </cell>
          <cell r="S32" t="str">
            <v>Не определено</v>
          </cell>
        </row>
        <row r="33">
          <cell r="A33" t="str">
            <v>Версия организации2023план Органа регулированиягод</v>
          </cell>
          <cell r="B33" t="str">
            <v>Версия организации2023план Органа регулирования</v>
          </cell>
          <cell r="H33" t="b">
            <v>1</v>
          </cell>
          <cell r="I33" t="b">
            <v>1</v>
          </cell>
          <cell r="K33" t="str">
            <v>Версия организации</v>
          </cell>
          <cell r="L33">
            <v>2023</v>
          </cell>
          <cell r="M33" t="str">
            <v>План</v>
          </cell>
          <cell r="N33" t="str">
            <v>Год</v>
          </cell>
          <cell r="P33" t="str">
            <v>Версия организации</v>
          </cell>
          <cell r="Q33">
            <v>2023</v>
          </cell>
          <cell r="R33" t="str">
            <v>План</v>
          </cell>
          <cell r="S33" t="str">
            <v>Год</v>
          </cell>
        </row>
        <row r="34">
          <cell r="A34" t="str">
            <v>Версия организации2023план Органа регулированияI полугодие</v>
          </cell>
          <cell r="B34" t="str">
            <v>Версия организации2023план Органа регулирования</v>
          </cell>
          <cell r="H34" t="b">
            <v>1</v>
          </cell>
          <cell r="I34" t="b">
            <v>1</v>
          </cell>
          <cell r="K34" t="str">
            <v>Версия организации</v>
          </cell>
          <cell r="L34">
            <v>2023</v>
          </cell>
          <cell r="M34" t="str">
            <v>План</v>
          </cell>
          <cell r="N34" t="str">
            <v>I</v>
          </cell>
          <cell r="P34" t="str">
            <v>Версия организации</v>
          </cell>
          <cell r="Q34">
            <v>2023</v>
          </cell>
          <cell r="R34" t="str">
            <v>План</v>
          </cell>
          <cell r="S34" t="str">
            <v>I</v>
          </cell>
        </row>
        <row r="35">
          <cell r="A35" t="str">
            <v>Версия организации2023план Органа регулированияII полугодие</v>
          </cell>
          <cell r="B35" t="str">
            <v>Версия организации2023план Органа регулирования</v>
          </cell>
          <cell r="H35" t="b">
            <v>1</v>
          </cell>
          <cell r="I35" t="b">
            <v>1</v>
          </cell>
          <cell r="K35" t="str">
            <v>Версия организации</v>
          </cell>
          <cell r="L35">
            <v>2023</v>
          </cell>
          <cell r="M35" t="str">
            <v>План</v>
          </cell>
          <cell r="N35" t="str">
            <v>II</v>
          </cell>
          <cell r="P35" t="str">
            <v>Версия организации</v>
          </cell>
          <cell r="Q35">
            <v>2023</v>
          </cell>
          <cell r="R35" t="str">
            <v>План</v>
          </cell>
          <cell r="S35" t="str">
            <v>II</v>
          </cell>
        </row>
        <row r="36">
          <cell r="A36" t="str">
            <v>Версия регулятора2023план Органа регулированиягод</v>
          </cell>
          <cell r="B36" t="str">
            <v>Версия регулятора2023план Органа регулирования</v>
          </cell>
          <cell r="H36" t="b">
            <v>1</v>
          </cell>
          <cell r="I36" t="b">
            <v>0</v>
          </cell>
          <cell r="K36" t="str">
            <v>Версия регулятора</v>
          </cell>
          <cell r="L36">
            <v>2023</v>
          </cell>
          <cell r="M36" t="str">
            <v>План</v>
          </cell>
          <cell r="N36" t="str">
            <v>Год</v>
          </cell>
          <cell r="P36" t="str">
            <v>Не определено</v>
          </cell>
          <cell r="Q36" t="str">
            <v>Не определено</v>
          </cell>
          <cell r="R36" t="str">
            <v>Не определено</v>
          </cell>
          <cell r="S36" t="str">
            <v>Не определено</v>
          </cell>
        </row>
        <row r="37">
          <cell r="A37" t="str">
            <v>Версия регулятора2023план Органа регулированияI полугодие</v>
          </cell>
          <cell r="B37" t="str">
            <v>Версия регулятора2023план Органа регулирования</v>
          </cell>
          <cell r="H37" t="b">
            <v>1</v>
          </cell>
          <cell r="I37" t="b">
            <v>0</v>
          </cell>
          <cell r="K37" t="str">
            <v>Версия регулятора</v>
          </cell>
          <cell r="L37">
            <v>2023</v>
          </cell>
          <cell r="M37" t="str">
            <v>План</v>
          </cell>
          <cell r="N37" t="str">
            <v>I</v>
          </cell>
          <cell r="P37" t="str">
            <v>Не определено</v>
          </cell>
          <cell r="Q37" t="str">
            <v>Не определено</v>
          </cell>
          <cell r="R37" t="str">
            <v>Не определено</v>
          </cell>
          <cell r="S37" t="str">
            <v>Не определено</v>
          </cell>
        </row>
        <row r="38">
          <cell r="A38" t="str">
            <v>Версия регулятора2023план Органа регулированияII полугодие</v>
          </cell>
          <cell r="B38" t="str">
            <v>Версия регулятора2023план Органа регулирования</v>
          </cell>
          <cell r="H38" t="b">
            <v>1</v>
          </cell>
          <cell r="I38" t="b">
            <v>0</v>
          </cell>
          <cell r="K38" t="str">
            <v>Версия регулятора</v>
          </cell>
          <cell r="L38">
            <v>2023</v>
          </cell>
          <cell r="M38" t="str">
            <v>План</v>
          </cell>
          <cell r="N38" t="str">
            <v>II</v>
          </cell>
          <cell r="P38" t="str">
            <v>Не определено</v>
          </cell>
          <cell r="Q38" t="str">
            <v>Не определено</v>
          </cell>
          <cell r="R38" t="str">
            <v>Не определено</v>
          </cell>
          <cell r="S38" t="str">
            <v>Не определено</v>
          </cell>
        </row>
        <row r="39">
          <cell r="A39" t="str">
            <v>Версия организации2023фактгод</v>
          </cell>
          <cell r="B39" t="str">
            <v>Версия организации2023факт</v>
          </cell>
          <cell r="H39" t="b">
            <v>1</v>
          </cell>
          <cell r="I39" t="b">
            <v>1</v>
          </cell>
          <cell r="K39" t="str">
            <v>Версия организации</v>
          </cell>
          <cell r="L39">
            <v>2023</v>
          </cell>
          <cell r="M39" t="str">
            <v>Факт</v>
          </cell>
          <cell r="N39" t="str">
            <v>Год</v>
          </cell>
          <cell r="P39" t="str">
            <v>Не определено</v>
          </cell>
          <cell r="Q39" t="str">
            <v>Не определено</v>
          </cell>
          <cell r="R39" t="str">
            <v>Не определено</v>
          </cell>
          <cell r="S39" t="str">
            <v>Не определено</v>
          </cell>
        </row>
        <row r="40">
          <cell r="A40" t="str">
            <v>Версия организации2023фактI полугодие</v>
          </cell>
          <cell r="B40" t="str">
            <v>Версия организации2023факт</v>
          </cell>
          <cell r="H40" t="b">
            <v>1</v>
          </cell>
          <cell r="I40" t="b">
            <v>1</v>
          </cell>
          <cell r="K40" t="str">
            <v>Версия организации</v>
          </cell>
          <cell r="L40">
            <v>2023</v>
          </cell>
          <cell r="M40" t="str">
            <v>Факт</v>
          </cell>
          <cell r="N40" t="str">
            <v>I</v>
          </cell>
          <cell r="P40" t="str">
            <v>Не определено</v>
          </cell>
          <cell r="Q40" t="str">
            <v>Не определено</v>
          </cell>
          <cell r="R40" t="str">
            <v>Не определено</v>
          </cell>
          <cell r="S40" t="str">
            <v>Не определено</v>
          </cell>
        </row>
        <row r="41">
          <cell r="A41" t="str">
            <v>Версия организации2023фактII полугодие</v>
          </cell>
          <cell r="B41" t="str">
            <v>Версия организации2023факт</v>
          </cell>
          <cell r="H41" t="b">
            <v>1</v>
          </cell>
          <cell r="I41" t="b">
            <v>1</v>
          </cell>
          <cell r="K41" t="str">
            <v>Версия организации</v>
          </cell>
          <cell r="L41">
            <v>2023</v>
          </cell>
          <cell r="M41" t="str">
            <v>Факт</v>
          </cell>
          <cell r="N41" t="str">
            <v>II</v>
          </cell>
          <cell r="P41" t="str">
            <v>Не определено</v>
          </cell>
          <cell r="Q41" t="str">
            <v>Не определено</v>
          </cell>
          <cell r="R41" t="str">
            <v>Не определено</v>
          </cell>
          <cell r="S41" t="str">
            <v>Не определено</v>
          </cell>
        </row>
        <row r="42">
          <cell r="A42" t="str">
            <v>Версия регулятора2023фактгод</v>
          </cell>
          <cell r="B42" t="str">
            <v>Версия регулятора2023факт</v>
          </cell>
          <cell r="H42" t="b">
            <v>1</v>
          </cell>
          <cell r="I42" t="b">
            <v>0</v>
          </cell>
          <cell r="K42" t="str">
            <v>Версия регулятора</v>
          </cell>
          <cell r="L42">
            <v>2023</v>
          </cell>
          <cell r="M42" t="str">
            <v>Факт</v>
          </cell>
          <cell r="N42" t="str">
            <v>Год</v>
          </cell>
          <cell r="P42" t="str">
            <v>Не определено</v>
          </cell>
          <cell r="Q42" t="str">
            <v>Не определено</v>
          </cell>
          <cell r="R42" t="str">
            <v>Не определено</v>
          </cell>
          <cell r="S42" t="str">
            <v>Не определено</v>
          </cell>
        </row>
        <row r="43">
          <cell r="A43" t="str">
            <v>Версия регулятора2023фактI полугодие</v>
          </cell>
          <cell r="B43" t="str">
            <v>Версия регулятора2023факт</v>
          </cell>
          <cell r="H43" t="b">
            <v>1</v>
          </cell>
          <cell r="I43" t="b">
            <v>0</v>
          </cell>
          <cell r="K43" t="str">
            <v>Версия регулятора</v>
          </cell>
          <cell r="L43">
            <v>2023</v>
          </cell>
          <cell r="M43" t="str">
            <v>Факт</v>
          </cell>
          <cell r="N43" t="str">
            <v>I</v>
          </cell>
          <cell r="P43" t="str">
            <v>Не определено</v>
          </cell>
          <cell r="Q43" t="str">
            <v>Не определено</v>
          </cell>
          <cell r="R43" t="str">
            <v>Не определено</v>
          </cell>
          <cell r="S43" t="str">
            <v>Не определено</v>
          </cell>
        </row>
        <row r="44">
          <cell r="A44" t="str">
            <v>Версия регулятора2023фактII полугодие</v>
          </cell>
          <cell r="B44" t="str">
            <v>Версия регулятора2023факт</v>
          </cell>
          <cell r="H44" t="b">
            <v>1</v>
          </cell>
          <cell r="I44" t="b">
            <v>0</v>
          </cell>
          <cell r="K44" t="str">
            <v>Версия регулятора</v>
          </cell>
          <cell r="L44">
            <v>2023</v>
          </cell>
          <cell r="M44" t="str">
            <v>Факт</v>
          </cell>
          <cell r="N44" t="str">
            <v>II</v>
          </cell>
          <cell r="P44" t="str">
            <v>Не определено</v>
          </cell>
          <cell r="Q44" t="str">
            <v>Не определено</v>
          </cell>
          <cell r="R44" t="str">
            <v>Не определено</v>
          </cell>
          <cell r="S44" t="str">
            <v>Не определено</v>
          </cell>
        </row>
        <row r="45">
          <cell r="A45" t="str">
            <v>Версия организации2024план Органа регулированиягод</v>
          </cell>
          <cell r="B45" t="str">
            <v>Версия организации2024план Органа регулирования</v>
          </cell>
          <cell r="H45" t="b">
            <v>1</v>
          </cell>
          <cell r="I45" t="b">
            <v>1</v>
          </cell>
          <cell r="K45" t="str">
            <v>Версия организации</v>
          </cell>
          <cell r="L45">
            <v>2024</v>
          </cell>
          <cell r="M45" t="str">
            <v>План</v>
          </cell>
          <cell r="N45" t="str">
            <v>Год</v>
          </cell>
          <cell r="P45" t="str">
            <v>Версия организации</v>
          </cell>
          <cell r="Q45">
            <v>2024</v>
          </cell>
          <cell r="R45" t="str">
            <v>План</v>
          </cell>
          <cell r="S45" t="str">
            <v>Год</v>
          </cell>
        </row>
        <row r="46">
          <cell r="A46" t="str">
            <v>Версия организации2024план Органа регулированияI полугодие</v>
          </cell>
          <cell r="B46" t="str">
            <v>Версия организации2024план Органа регулирования</v>
          </cell>
          <cell r="H46" t="b">
            <v>1</v>
          </cell>
          <cell r="I46" t="b">
            <v>1</v>
          </cell>
          <cell r="K46" t="str">
            <v>Версия организации</v>
          </cell>
          <cell r="L46">
            <v>2024</v>
          </cell>
          <cell r="M46" t="str">
            <v>План</v>
          </cell>
          <cell r="N46" t="str">
            <v>I</v>
          </cell>
          <cell r="P46" t="str">
            <v>Версия организации</v>
          </cell>
          <cell r="Q46">
            <v>2024</v>
          </cell>
          <cell r="R46" t="str">
            <v>План</v>
          </cell>
          <cell r="S46" t="str">
            <v>I</v>
          </cell>
        </row>
        <row r="47">
          <cell r="A47" t="str">
            <v>Версия организации2024план Органа регулированияII полугодие</v>
          </cell>
          <cell r="B47" t="str">
            <v>Версия организации2024план Органа регулирования</v>
          </cell>
          <cell r="H47" t="b">
            <v>1</v>
          </cell>
          <cell r="I47" t="b">
            <v>1</v>
          </cell>
          <cell r="K47" t="str">
            <v>Версия организации</v>
          </cell>
          <cell r="L47">
            <v>2024</v>
          </cell>
          <cell r="M47" t="str">
            <v>План</v>
          </cell>
          <cell r="N47" t="str">
            <v>II</v>
          </cell>
          <cell r="P47" t="str">
            <v>Версия организации</v>
          </cell>
          <cell r="Q47">
            <v>2024</v>
          </cell>
          <cell r="R47" t="str">
            <v>План</v>
          </cell>
          <cell r="S47" t="str">
            <v>II</v>
          </cell>
        </row>
        <row r="48">
          <cell r="A48" t="str">
            <v>Версия регулятора2024план Органа регулированиягод</v>
          </cell>
          <cell r="B48" t="str">
            <v>Версия регулятора2024план Органа регулирования</v>
          </cell>
          <cell r="H48" t="b">
            <v>1</v>
          </cell>
          <cell r="I48" t="b">
            <v>0</v>
          </cell>
          <cell r="K48" t="str">
            <v>Версия регулятора</v>
          </cell>
          <cell r="L48">
            <v>2024</v>
          </cell>
          <cell r="M48" t="str">
            <v>План</v>
          </cell>
          <cell r="N48" t="str">
            <v>Год</v>
          </cell>
          <cell r="P48" t="str">
            <v>Не определено</v>
          </cell>
          <cell r="Q48" t="str">
            <v>Не определено</v>
          </cell>
          <cell r="R48" t="str">
            <v>Не определено</v>
          </cell>
          <cell r="S48" t="str">
            <v>Не определено</v>
          </cell>
        </row>
        <row r="49">
          <cell r="A49" t="str">
            <v>Версия регулятора2024план Органа регулированияI полугодие</v>
          </cell>
          <cell r="B49" t="str">
            <v>Версия регулятора2024план Органа регулирования</v>
          </cell>
          <cell r="H49" t="b">
            <v>1</v>
          </cell>
          <cell r="I49" t="b">
            <v>0</v>
          </cell>
          <cell r="K49" t="str">
            <v>Версия регулятора</v>
          </cell>
          <cell r="L49">
            <v>2024</v>
          </cell>
          <cell r="M49" t="str">
            <v>План</v>
          </cell>
          <cell r="N49" t="str">
            <v>I</v>
          </cell>
          <cell r="P49" t="str">
            <v>Не определено</v>
          </cell>
          <cell r="Q49" t="str">
            <v>Не определено</v>
          </cell>
          <cell r="R49" t="str">
            <v>Не определено</v>
          </cell>
          <cell r="S49" t="str">
            <v>Не определено</v>
          </cell>
        </row>
        <row r="50">
          <cell r="A50" t="str">
            <v>Версия регулятора2024план Органа регулированияII полугодие</v>
          </cell>
          <cell r="B50" t="str">
            <v>Версия регулятора2024план Органа регулирования</v>
          </cell>
          <cell r="H50" t="b">
            <v>1</v>
          </cell>
          <cell r="I50" t="b">
            <v>0</v>
          </cell>
          <cell r="K50" t="str">
            <v>Версия регулятора</v>
          </cell>
          <cell r="L50">
            <v>2024</v>
          </cell>
          <cell r="M50" t="str">
            <v>План</v>
          </cell>
          <cell r="N50" t="str">
            <v>II</v>
          </cell>
          <cell r="P50" t="str">
            <v>Не определено</v>
          </cell>
          <cell r="Q50" t="str">
            <v>Не определено</v>
          </cell>
          <cell r="R50" t="str">
            <v>Не определено</v>
          </cell>
          <cell r="S50" t="str">
            <v>Не определено</v>
          </cell>
        </row>
        <row r="51">
          <cell r="A51" t="str">
            <v>Версия организации2024факт за  месяцев</v>
          </cell>
          <cell r="B51" t="str">
            <v>Версия организации2024факт за  месяцев</v>
          </cell>
          <cell r="H51" t="b">
            <v>1</v>
          </cell>
          <cell r="I51" t="b">
            <v>1</v>
          </cell>
          <cell r="K51" t="str">
            <v>Версия организации</v>
          </cell>
          <cell r="L51">
            <v>2024</v>
          </cell>
          <cell r="M51" t="str">
            <v>Факт</v>
          </cell>
          <cell r="N51" t="str">
            <v>Год</v>
          </cell>
          <cell r="P51" t="str">
            <v>Не определено</v>
          </cell>
          <cell r="Q51" t="str">
            <v>Не определено</v>
          </cell>
          <cell r="R51" t="str">
            <v>Не определено</v>
          </cell>
          <cell r="S51" t="str">
            <v>Не определено</v>
          </cell>
        </row>
        <row r="52">
          <cell r="A52" t="str">
            <v>Версия организации2024ожидаемоегод</v>
          </cell>
          <cell r="B52" t="str">
            <v>Версия организации2024ожидаемое</v>
          </cell>
          <cell r="H52" t="b">
            <v>1</v>
          </cell>
          <cell r="I52" t="b">
            <v>1</v>
          </cell>
          <cell r="K52" t="str">
            <v>Версия организации</v>
          </cell>
          <cell r="L52">
            <v>2024</v>
          </cell>
          <cell r="M52" t="str">
            <v>Ожидаемо</v>
          </cell>
          <cell r="N52" t="str">
            <v>Год</v>
          </cell>
          <cell r="P52" t="str">
            <v>Не определено</v>
          </cell>
          <cell r="Q52" t="str">
            <v>Не определено</v>
          </cell>
          <cell r="R52" t="str">
            <v>Не определено</v>
          </cell>
          <cell r="S52" t="str">
            <v>Не определено</v>
          </cell>
        </row>
        <row r="53">
          <cell r="A53" t="str">
            <v>Версия организации2024ожидаемоеI полугодие</v>
          </cell>
          <cell r="B53" t="str">
            <v>Версия организации2024ожидаемое</v>
          </cell>
          <cell r="H53" t="b">
            <v>1</v>
          </cell>
          <cell r="I53" t="b">
            <v>1</v>
          </cell>
          <cell r="K53" t="str">
            <v>Версия организации</v>
          </cell>
          <cell r="L53">
            <v>2024</v>
          </cell>
          <cell r="M53" t="str">
            <v>Ожидаемо</v>
          </cell>
          <cell r="N53" t="str">
            <v>I</v>
          </cell>
          <cell r="P53" t="str">
            <v>Не определено</v>
          </cell>
          <cell r="Q53" t="str">
            <v>Не определено</v>
          </cell>
          <cell r="R53" t="str">
            <v>Не определено</v>
          </cell>
          <cell r="S53" t="str">
            <v>Не определено</v>
          </cell>
        </row>
        <row r="54">
          <cell r="A54" t="str">
            <v>Версия организации2024ожидаемоеII полугодие</v>
          </cell>
          <cell r="B54" t="str">
            <v>Версия организации2024ожидаемое</v>
          </cell>
          <cell r="H54" t="b">
            <v>1</v>
          </cell>
          <cell r="I54" t="b">
            <v>1</v>
          </cell>
          <cell r="K54" t="str">
            <v>Версия организации</v>
          </cell>
          <cell r="L54">
            <v>2024</v>
          </cell>
          <cell r="M54" t="str">
            <v>Ожидаемо</v>
          </cell>
          <cell r="N54" t="str">
            <v>II</v>
          </cell>
          <cell r="P54" t="str">
            <v>Не определено</v>
          </cell>
          <cell r="Q54" t="str">
            <v>Не определено</v>
          </cell>
          <cell r="R54" t="str">
            <v>Не определено</v>
          </cell>
          <cell r="S54" t="str">
            <v>Не определено</v>
          </cell>
        </row>
        <row r="55">
          <cell r="A55" t="str">
            <v>Версия регулятора2024ожидаемоегод</v>
          </cell>
          <cell r="B55" t="str">
            <v>Версия регулятора2024ожидаемое</v>
          </cell>
          <cell r="H55" t="b">
            <v>1</v>
          </cell>
          <cell r="I55" t="b">
            <v>0</v>
          </cell>
          <cell r="K55" t="str">
            <v>Версия регулятора</v>
          </cell>
          <cell r="L55">
            <v>2024</v>
          </cell>
          <cell r="M55" t="str">
            <v>Ожидаемо</v>
          </cell>
          <cell r="N55" t="str">
            <v>Год</v>
          </cell>
          <cell r="P55" t="str">
            <v>Не определено</v>
          </cell>
          <cell r="Q55" t="str">
            <v>Не определено</v>
          </cell>
          <cell r="R55" t="str">
            <v>Не определено</v>
          </cell>
          <cell r="S55" t="str">
            <v>Не определено</v>
          </cell>
        </row>
        <row r="56">
          <cell r="A56" t="str">
            <v>Версия регулятора2024ожидаемоеI полугодие</v>
          </cell>
          <cell r="B56" t="str">
            <v>Версия регулятора2024ожидаемое</v>
          </cell>
          <cell r="H56" t="b">
            <v>1</v>
          </cell>
          <cell r="I56" t="b">
            <v>0</v>
          </cell>
          <cell r="K56" t="str">
            <v>Версия регулятора</v>
          </cell>
          <cell r="L56">
            <v>2024</v>
          </cell>
          <cell r="M56" t="str">
            <v>Ожидаемо</v>
          </cell>
          <cell r="N56" t="str">
            <v>I</v>
          </cell>
          <cell r="P56" t="str">
            <v>Не определено</v>
          </cell>
          <cell r="Q56" t="str">
            <v>Не определено</v>
          </cell>
          <cell r="R56" t="str">
            <v>Не определено</v>
          </cell>
          <cell r="S56" t="str">
            <v>Не определено</v>
          </cell>
        </row>
        <row r="57">
          <cell r="A57" t="str">
            <v>Версия регулятора2024ожидаемоеII полугодие</v>
          </cell>
          <cell r="B57" t="str">
            <v>Версия регулятора2024ожидаемое</v>
          </cell>
          <cell r="H57" t="b">
            <v>1</v>
          </cell>
          <cell r="I57" t="b">
            <v>0</v>
          </cell>
          <cell r="K57" t="str">
            <v>Версия регулятора</v>
          </cell>
          <cell r="L57">
            <v>2024</v>
          </cell>
          <cell r="M57" t="str">
            <v>Ожидаемо</v>
          </cell>
          <cell r="N57" t="str">
            <v>II</v>
          </cell>
          <cell r="P57" t="str">
            <v>Не определено</v>
          </cell>
          <cell r="Q57" t="str">
            <v>Не определено</v>
          </cell>
          <cell r="R57" t="str">
            <v>Не определено</v>
          </cell>
          <cell r="S57" t="str">
            <v>Не определено</v>
          </cell>
        </row>
        <row r="58">
          <cell r="A58" t="str">
            <v>Версия организации2025утвержденный план Органа регулированиягод</v>
          </cell>
          <cell r="B58" t="str">
            <v>Версия организации2025утвержденный план Органа регулирования</v>
          </cell>
          <cell r="H58" t="b">
            <v>1</v>
          </cell>
          <cell r="I58" t="b">
            <v>1</v>
          </cell>
          <cell r="K58" t="str">
            <v>Версия организации</v>
          </cell>
          <cell r="L58">
            <v>2025</v>
          </cell>
          <cell r="M58" t="str">
            <v>Утверждено</v>
          </cell>
          <cell r="N58" t="str">
            <v>Год</v>
          </cell>
          <cell r="P58" t="str">
            <v>Версия организации</v>
          </cell>
          <cell r="Q58">
            <v>2025</v>
          </cell>
          <cell r="R58" t="str">
            <v>План</v>
          </cell>
          <cell r="S58" t="str">
            <v>Год</v>
          </cell>
        </row>
        <row r="59">
          <cell r="A59" t="str">
            <v>Версия организации2025утвержденный план Органа регулированияI полугодие</v>
          </cell>
          <cell r="B59" t="str">
            <v>Версия организации2025утвержденный план Органа регулирования</v>
          </cell>
          <cell r="H59" t="b">
            <v>1</v>
          </cell>
          <cell r="I59" t="b">
            <v>1</v>
          </cell>
          <cell r="K59" t="str">
            <v>Версия организации</v>
          </cell>
          <cell r="L59">
            <v>2025</v>
          </cell>
          <cell r="M59" t="str">
            <v>Утверждено</v>
          </cell>
          <cell r="N59" t="str">
            <v>I</v>
          </cell>
          <cell r="P59" t="str">
            <v>Версия организации</v>
          </cell>
          <cell r="Q59">
            <v>2025</v>
          </cell>
          <cell r="R59" t="str">
            <v>План</v>
          </cell>
          <cell r="S59" t="str">
            <v>I</v>
          </cell>
        </row>
        <row r="60">
          <cell r="A60" t="str">
            <v>Версия организации2025утвержденный план Органа регулированияII полугодие</v>
          </cell>
          <cell r="B60" t="str">
            <v>Версия организации2025утвержденный план Органа регулирования</v>
          </cell>
          <cell r="H60" t="b">
            <v>1</v>
          </cell>
          <cell r="I60" t="b">
            <v>1</v>
          </cell>
          <cell r="K60" t="str">
            <v>Версия организации</v>
          </cell>
          <cell r="L60">
            <v>2025</v>
          </cell>
          <cell r="M60" t="str">
            <v>Утверждено</v>
          </cell>
          <cell r="N60" t="str">
            <v>II</v>
          </cell>
          <cell r="P60" t="str">
            <v>Версия организации</v>
          </cell>
          <cell r="Q60">
            <v>2025</v>
          </cell>
          <cell r="R60" t="str">
            <v>План</v>
          </cell>
          <cell r="S60" t="str">
            <v>II</v>
          </cell>
        </row>
        <row r="61">
          <cell r="A61" t="str">
            <v>Версия регулятора2025утвержденный план Органа регулированиягод</v>
          </cell>
          <cell r="B61" t="str">
            <v>Версия регулятора2025утвержденный план Органа регулирования</v>
          </cell>
          <cell r="H61" t="b">
            <v>1</v>
          </cell>
          <cell r="I61" t="b">
            <v>0</v>
          </cell>
          <cell r="K61" t="str">
            <v>Версия регулятора</v>
          </cell>
          <cell r="L61">
            <v>2025</v>
          </cell>
          <cell r="M61" t="str">
            <v>Утверждено</v>
          </cell>
          <cell r="N61" t="str">
            <v>Год</v>
          </cell>
          <cell r="P61" t="str">
            <v>Не определено</v>
          </cell>
          <cell r="Q61" t="str">
            <v>Не определено</v>
          </cell>
          <cell r="R61" t="str">
            <v>Не определено</v>
          </cell>
          <cell r="S61" t="str">
            <v>Не определено</v>
          </cell>
        </row>
        <row r="62">
          <cell r="A62" t="str">
            <v>Версия регулятора2025утвержденный план Органа регулированияI полугодие</v>
          </cell>
          <cell r="B62" t="str">
            <v>Версия регулятора2025утвержденный план Органа регулирования</v>
          </cell>
          <cell r="H62" t="b">
            <v>1</v>
          </cell>
          <cell r="I62" t="b">
            <v>0</v>
          </cell>
          <cell r="K62" t="str">
            <v>Версия регулятора</v>
          </cell>
          <cell r="L62">
            <v>2025</v>
          </cell>
          <cell r="M62" t="str">
            <v>Утверждено</v>
          </cell>
          <cell r="N62" t="str">
            <v>I</v>
          </cell>
          <cell r="P62" t="str">
            <v>Не определено</v>
          </cell>
          <cell r="Q62" t="str">
            <v>Не определено</v>
          </cell>
          <cell r="R62" t="str">
            <v>Не определено</v>
          </cell>
          <cell r="S62" t="str">
            <v>Не определено</v>
          </cell>
        </row>
        <row r="63">
          <cell r="A63" t="str">
            <v>Версия регулятора2025утвержденный план Органа регулированияII полугодие</v>
          </cell>
          <cell r="B63" t="str">
            <v>Версия регулятора2025утвержденный план Органа регулирования</v>
          </cell>
          <cell r="H63" t="b">
            <v>1</v>
          </cell>
          <cell r="I63" t="b">
            <v>0</v>
          </cell>
          <cell r="K63" t="str">
            <v>Версия регулятора</v>
          </cell>
          <cell r="L63">
            <v>2025</v>
          </cell>
          <cell r="M63" t="str">
            <v>Утверждено</v>
          </cell>
          <cell r="N63" t="str">
            <v>II</v>
          </cell>
          <cell r="P63" t="str">
            <v>Не определено</v>
          </cell>
          <cell r="Q63" t="str">
            <v>Не определено</v>
          </cell>
          <cell r="R63" t="str">
            <v>Не определено</v>
          </cell>
          <cell r="S63" t="str">
            <v>Не определено</v>
          </cell>
        </row>
        <row r="64">
          <cell r="A64" t="str">
            <v>Версия организации2025план организации (корректировка)год</v>
          </cell>
          <cell r="B64" t="str">
            <v>Версия организации2025план организации (корректировка)</v>
          </cell>
          <cell r="H64" t="b">
            <v>1</v>
          </cell>
          <cell r="I64" t="b">
            <v>1</v>
          </cell>
          <cell r="K64" t="str">
            <v>Версия организации</v>
          </cell>
          <cell r="L64">
            <v>2025</v>
          </cell>
          <cell r="M64" t="str">
            <v>План</v>
          </cell>
          <cell r="N64" t="str">
            <v>Год</v>
          </cell>
          <cell r="P64" t="str">
            <v>Не определено</v>
          </cell>
          <cell r="Q64" t="str">
            <v>Не определено</v>
          </cell>
          <cell r="R64" t="str">
            <v>Не определено</v>
          </cell>
          <cell r="S64" t="str">
            <v>Не определено</v>
          </cell>
        </row>
        <row r="65">
          <cell r="A65" t="str">
            <v>Версия организации2025план организации (корректировка)I полугодие</v>
          </cell>
          <cell r="B65" t="str">
            <v>Версия организации2025план организации (корректировка)</v>
          </cell>
          <cell r="H65" t="b">
            <v>1</v>
          </cell>
          <cell r="I65" t="b">
            <v>1</v>
          </cell>
          <cell r="K65" t="str">
            <v>Версия организации</v>
          </cell>
          <cell r="L65">
            <v>2025</v>
          </cell>
          <cell r="M65" t="str">
            <v>План</v>
          </cell>
          <cell r="N65" t="str">
            <v>I</v>
          </cell>
          <cell r="P65" t="str">
            <v>Не определено</v>
          </cell>
          <cell r="Q65" t="str">
            <v>Не определено</v>
          </cell>
          <cell r="R65" t="str">
            <v>Не определено</v>
          </cell>
          <cell r="S65" t="str">
            <v>Не определено</v>
          </cell>
        </row>
        <row r="66">
          <cell r="A66" t="str">
            <v>Версия организации2025план организации (корректировка)II полугодие</v>
          </cell>
          <cell r="B66" t="str">
            <v>Версия организации2025план организации (корректировка)</v>
          </cell>
          <cell r="H66" t="b">
            <v>1</v>
          </cell>
          <cell r="I66" t="b">
            <v>1</v>
          </cell>
          <cell r="K66" t="str">
            <v>Версия организации</v>
          </cell>
          <cell r="L66">
            <v>2025</v>
          </cell>
          <cell r="M66" t="str">
            <v>План</v>
          </cell>
          <cell r="N66" t="str">
            <v>II</v>
          </cell>
          <cell r="P66" t="str">
            <v>Не определено</v>
          </cell>
          <cell r="Q66" t="str">
            <v>Не определено</v>
          </cell>
          <cell r="R66" t="str">
            <v>Не определено</v>
          </cell>
          <cell r="S66" t="str">
            <v>Не определено</v>
          </cell>
        </row>
        <row r="67">
          <cell r="A67" t="str">
            <v>Версия организации2026план организации (корректировка)год</v>
          </cell>
          <cell r="B67" t="str">
            <v>Версия организации2026план организации (корректировка)</v>
          </cell>
          <cell r="H67" t="b">
            <v>1</v>
          </cell>
          <cell r="I67" t="b">
            <v>0</v>
          </cell>
          <cell r="K67" t="str">
            <v>Версия организации</v>
          </cell>
          <cell r="L67">
            <v>2026</v>
          </cell>
          <cell r="M67" t="str">
            <v>План</v>
          </cell>
          <cell r="N67" t="str">
            <v>Год</v>
          </cell>
          <cell r="P67" t="str">
            <v>Не определено</v>
          </cell>
          <cell r="Q67" t="str">
            <v>Не определено</v>
          </cell>
          <cell r="R67" t="str">
            <v>Не определено</v>
          </cell>
          <cell r="S67" t="str">
            <v>Не определено</v>
          </cell>
        </row>
        <row r="68">
          <cell r="A68" t="str">
            <v>Версия организации2026план организации (корректировка)I полугодие</v>
          </cell>
          <cell r="B68" t="str">
            <v>Версия организации2026план организации (корректировка)</v>
          </cell>
          <cell r="H68" t="b">
            <v>1</v>
          </cell>
          <cell r="I68" t="b">
            <v>0</v>
          </cell>
          <cell r="K68" t="str">
            <v>Версия организации</v>
          </cell>
          <cell r="L68">
            <v>2026</v>
          </cell>
          <cell r="M68" t="str">
            <v>План</v>
          </cell>
          <cell r="N68" t="str">
            <v>I</v>
          </cell>
          <cell r="P68" t="str">
            <v>Не определено</v>
          </cell>
          <cell r="Q68" t="str">
            <v>Не определено</v>
          </cell>
          <cell r="R68" t="str">
            <v>Не определено</v>
          </cell>
          <cell r="S68" t="str">
            <v>Не определено</v>
          </cell>
        </row>
        <row r="69">
          <cell r="A69" t="str">
            <v>Версия организации2026план организации (корректировка)II полугодие</v>
          </cell>
          <cell r="B69" t="str">
            <v>Версия организации2026план организации (корректировка)</v>
          </cell>
          <cell r="H69" t="b">
            <v>1</v>
          </cell>
          <cell r="I69" t="b">
            <v>0</v>
          </cell>
          <cell r="K69" t="str">
            <v>Версия организации</v>
          </cell>
          <cell r="L69">
            <v>2026</v>
          </cell>
          <cell r="M69" t="str">
            <v>План</v>
          </cell>
          <cell r="N69" t="str">
            <v>II</v>
          </cell>
          <cell r="P69" t="str">
            <v>Не определено</v>
          </cell>
          <cell r="Q69" t="str">
            <v>Не определено</v>
          </cell>
          <cell r="R69" t="str">
            <v>Не определено</v>
          </cell>
          <cell r="S69" t="str">
            <v>Не определено</v>
          </cell>
        </row>
        <row r="70">
          <cell r="A70" t="str">
            <v>Версия организации2027план организации (корректировка)год</v>
          </cell>
          <cell r="B70" t="str">
            <v>Версия организации2027план организации (корректировка)</v>
          </cell>
          <cell r="H70" t="b">
            <v>1</v>
          </cell>
          <cell r="I70" t="b">
            <v>0</v>
          </cell>
          <cell r="K70" t="str">
            <v>Версия организации</v>
          </cell>
          <cell r="L70">
            <v>2027</v>
          </cell>
          <cell r="M70" t="str">
            <v>План</v>
          </cell>
          <cell r="N70" t="str">
            <v>Год</v>
          </cell>
          <cell r="P70" t="str">
            <v>Не определено</v>
          </cell>
          <cell r="Q70" t="str">
            <v>Не определено</v>
          </cell>
          <cell r="R70" t="str">
            <v>Не определено</v>
          </cell>
          <cell r="S70" t="str">
            <v>Не определено</v>
          </cell>
        </row>
        <row r="71">
          <cell r="A71" t="str">
            <v>Версия организации2027план организации (корректировка)I полугодие</v>
          </cell>
          <cell r="B71" t="str">
            <v>Версия организации2027план организации (корректировка)</v>
          </cell>
          <cell r="H71" t="b">
            <v>1</v>
          </cell>
          <cell r="I71" t="b">
            <v>0</v>
          </cell>
          <cell r="K71" t="str">
            <v>Версия организации</v>
          </cell>
          <cell r="L71">
            <v>2027</v>
          </cell>
          <cell r="M71" t="str">
            <v>План</v>
          </cell>
          <cell r="N71" t="str">
            <v>I</v>
          </cell>
          <cell r="P71" t="str">
            <v>Не определено</v>
          </cell>
          <cell r="Q71" t="str">
            <v>Не определено</v>
          </cell>
          <cell r="R71" t="str">
            <v>Не определено</v>
          </cell>
          <cell r="S71" t="str">
            <v>Не определено</v>
          </cell>
        </row>
        <row r="72">
          <cell r="A72" t="str">
            <v>Версия организации2027план организации (корректировка)II полугодие</v>
          </cell>
          <cell r="B72" t="str">
            <v>Версия организации2027план организации (корректировка)</v>
          </cell>
          <cell r="H72" t="b">
            <v>1</v>
          </cell>
          <cell r="I72" t="b">
            <v>0</v>
          </cell>
          <cell r="K72" t="str">
            <v>Версия организации</v>
          </cell>
          <cell r="L72">
            <v>2027</v>
          </cell>
          <cell r="M72" t="str">
            <v>План</v>
          </cell>
          <cell r="N72" t="str">
            <v>II</v>
          </cell>
          <cell r="P72" t="str">
            <v>Не определено</v>
          </cell>
          <cell r="Q72" t="str">
            <v>Не определено</v>
          </cell>
          <cell r="R72" t="str">
            <v>Не определено</v>
          </cell>
          <cell r="S72" t="str">
            <v>Не определено</v>
          </cell>
        </row>
        <row r="73">
          <cell r="A73" t="str">
            <v>Версия организации2028план организации (корректировка)год</v>
          </cell>
          <cell r="B73" t="str">
            <v>Версия организации2028план организации (корректировка)</v>
          </cell>
          <cell r="H73" t="b">
            <v>1</v>
          </cell>
          <cell r="I73" t="b">
            <v>0</v>
          </cell>
          <cell r="K73" t="str">
            <v>Версия организации</v>
          </cell>
          <cell r="L73">
            <v>2028</v>
          </cell>
          <cell r="M73" t="str">
            <v>План</v>
          </cell>
          <cell r="N73" t="str">
            <v>Год</v>
          </cell>
          <cell r="P73" t="str">
            <v>Не определено</v>
          </cell>
          <cell r="Q73" t="str">
            <v>Не определено</v>
          </cell>
          <cell r="R73" t="str">
            <v>Не определено</v>
          </cell>
          <cell r="S73" t="str">
            <v>Не определено</v>
          </cell>
        </row>
        <row r="74">
          <cell r="A74" t="str">
            <v>Версия организации2028план организации (корректировка)I полугодие</v>
          </cell>
          <cell r="B74" t="str">
            <v>Версия организации2028план организации (корректировка)</v>
          </cell>
          <cell r="H74" t="b">
            <v>1</v>
          </cell>
          <cell r="I74" t="b">
            <v>0</v>
          </cell>
          <cell r="K74" t="str">
            <v>Версия организации</v>
          </cell>
          <cell r="L74">
            <v>2028</v>
          </cell>
          <cell r="M74" t="str">
            <v>План</v>
          </cell>
          <cell r="N74" t="str">
            <v>I</v>
          </cell>
          <cell r="P74" t="str">
            <v>Не определено</v>
          </cell>
          <cell r="Q74" t="str">
            <v>Не определено</v>
          </cell>
          <cell r="R74" t="str">
            <v>Не определено</v>
          </cell>
          <cell r="S74" t="str">
            <v>Не определено</v>
          </cell>
        </row>
        <row r="75">
          <cell r="A75" t="str">
            <v>Версия организации2028план организации (корректировка)II полугодие</v>
          </cell>
          <cell r="B75" t="str">
            <v>Версия организации2028план организации (корректировка)</v>
          </cell>
          <cell r="H75" t="b">
            <v>1</v>
          </cell>
          <cell r="I75" t="b">
            <v>0</v>
          </cell>
          <cell r="K75" t="str">
            <v>Версия организации</v>
          </cell>
          <cell r="L75">
            <v>2028</v>
          </cell>
          <cell r="M75" t="str">
            <v>План</v>
          </cell>
          <cell r="N75" t="str">
            <v>II</v>
          </cell>
          <cell r="P75" t="str">
            <v>Не определено</v>
          </cell>
          <cell r="Q75" t="str">
            <v>Не определено</v>
          </cell>
          <cell r="R75" t="str">
            <v>Не определено</v>
          </cell>
          <cell r="S75" t="str">
            <v>Не определено</v>
          </cell>
        </row>
        <row r="76">
          <cell r="A76" t="str">
            <v>Версия организации2029план организации (корректировка)год</v>
          </cell>
          <cell r="B76" t="str">
            <v>Версия организации2029план организации (корректировка)</v>
          </cell>
          <cell r="H76" t="b">
            <v>1</v>
          </cell>
          <cell r="I76" t="b">
            <v>0</v>
          </cell>
          <cell r="K76" t="str">
            <v>Версия организации</v>
          </cell>
          <cell r="L76">
            <v>2029</v>
          </cell>
          <cell r="M76" t="str">
            <v>План</v>
          </cell>
          <cell r="N76" t="str">
            <v>Год</v>
          </cell>
          <cell r="P76" t="str">
            <v>Не определено</v>
          </cell>
          <cell r="Q76" t="str">
            <v>Не определено</v>
          </cell>
          <cell r="R76" t="str">
            <v>Не определено</v>
          </cell>
          <cell r="S76" t="str">
            <v>Не определено</v>
          </cell>
        </row>
        <row r="77">
          <cell r="A77" t="str">
            <v>Версия организации2029план организации (корректировка)I полугодие</v>
          </cell>
          <cell r="B77" t="str">
            <v>Версия организации2029план организации (корректировка)</v>
          </cell>
          <cell r="H77" t="b">
            <v>1</v>
          </cell>
          <cell r="I77" t="b">
            <v>0</v>
          </cell>
          <cell r="K77" t="str">
            <v>Версия организации</v>
          </cell>
          <cell r="L77">
            <v>2029</v>
          </cell>
          <cell r="M77" t="str">
            <v>План</v>
          </cell>
          <cell r="N77" t="str">
            <v>I</v>
          </cell>
          <cell r="P77" t="str">
            <v>Не определено</v>
          </cell>
          <cell r="Q77" t="str">
            <v>Не определено</v>
          </cell>
          <cell r="R77" t="str">
            <v>Не определено</v>
          </cell>
          <cell r="S77" t="str">
            <v>Не определено</v>
          </cell>
        </row>
        <row r="78">
          <cell r="A78" t="str">
            <v>Версия организации2029план организации (корректировка)II полугодие</v>
          </cell>
          <cell r="B78" t="str">
            <v>Версия организации2029план организации (корректировка)</v>
          </cell>
          <cell r="H78" t="b">
            <v>1</v>
          </cell>
          <cell r="I78" t="b">
            <v>0</v>
          </cell>
          <cell r="K78" t="str">
            <v>Версия организации</v>
          </cell>
          <cell r="L78">
            <v>2029</v>
          </cell>
          <cell r="M78" t="str">
            <v>План</v>
          </cell>
          <cell r="N78" t="str">
            <v>II</v>
          </cell>
          <cell r="P78" t="str">
            <v>Не определено</v>
          </cell>
          <cell r="Q78" t="str">
            <v>Не определено</v>
          </cell>
          <cell r="R78" t="str">
            <v>Не определено</v>
          </cell>
          <cell r="S78" t="str">
            <v>Не определено</v>
          </cell>
        </row>
        <row r="79">
          <cell r="A79" t="str">
            <v>Комментарий</v>
          </cell>
          <cell r="B79" t="str">
            <v>Комментарий</v>
          </cell>
          <cell r="H79" t="b">
            <v>1</v>
          </cell>
          <cell r="I79" t="b">
            <v>1</v>
          </cell>
          <cell r="K79" t="str">
            <v>Версия организации</v>
          </cell>
          <cell r="L79" t="str">
            <v>Не определено</v>
          </cell>
          <cell r="M79" t="str">
            <v>Не определено</v>
          </cell>
          <cell r="N79" t="str">
            <v>Не определено</v>
          </cell>
          <cell r="P79" t="str">
            <v>Не определено</v>
          </cell>
          <cell r="Q79" t="str">
            <v>Не определено</v>
          </cell>
          <cell r="R79" t="str">
            <v>Не определено</v>
          </cell>
          <cell r="S79" t="str">
            <v>Не определено</v>
          </cell>
        </row>
        <row r="80">
          <cell r="A80" t="str">
            <v>Версия регулятора2025план Органа регулирования (корректировка)год</v>
          </cell>
          <cell r="B80" t="str">
            <v>Версия регулятора2025план Органа регулирования (корректировка)</v>
          </cell>
          <cell r="H80" t="b">
            <v>1</v>
          </cell>
          <cell r="I80" t="b">
            <v>0</v>
          </cell>
          <cell r="K80" t="str">
            <v>Версия регулятора</v>
          </cell>
          <cell r="L80">
            <v>2025</v>
          </cell>
          <cell r="M80" t="str">
            <v>План</v>
          </cell>
          <cell r="N80" t="str">
            <v>Год</v>
          </cell>
          <cell r="P80" t="str">
            <v>Не определено</v>
          </cell>
          <cell r="Q80" t="str">
            <v>Не определено</v>
          </cell>
          <cell r="R80" t="str">
            <v>Не определено</v>
          </cell>
          <cell r="S80" t="str">
            <v>Не определено</v>
          </cell>
        </row>
        <row r="81">
          <cell r="A81" t="str">
            <v>Версия регулятора2025план Органа регулирования (корректировка)I полугодие</v>
          </cell>
          <cell r="B81" t="str">
            <v>Версия регулятора2025план Органа регулирования (корректировка)</v>
          </cell>
          <cell r="H81" t="b">
            <v>1</v>
          </cell>
          <cell r="I81" t="b">
            <v>0</v>
          </cell>
          <cell r="K81" t="str">
            <v>Версия регулятора</v>
          </cell>
          <cell r="L81">
            <v>2025</v>
          </cell>
          <cell r="M81" t="str">
            <v>План</v>
          </cell>
          <cell r="N81" t="str">
            <v>I</v>
          </cell>
          <cell r="P81" t="str">
            <v>Не определено</v>
          </cell>
          <cell r="Q81" t="str">
            <v>Не определено</v>
          </cell>
          <cell r="R81" t="str">
            <v>Не определено</v>
          </cell>
          <cell r="S81" t="str">
            <v>Не определено</v>
          </cell>
        </row>
        <row r="82">
          <cell r="A82" t="str">
            <v>Версия регулятора2025план Органа регулирования (корректировка)II полугодие</v>
          </cell>
          <cell r="B82" t="str">
            <v>Версия регулятора2025план Органа регулирования (корректировка)</v>
          </cell>
          <cell r="H82" t="b">
            <v>1</v>
          </cell>
          <cell r="I82" t="b">
            <v>0</v>
          </cell>
          <cell r="K82" t="str">
            <v>Версия регулятора</v>
          </cell>
          <cell r="L82">
            <v>2025</v>
          </cell>
          <cell r="M82" t="str">
            <v>План</v>
          </cell>
          <cell r="N82" t="str">
            <v>II</v>
          </cell>
          <cell r="P82" t="str">
            <v>Не определено</v>
          </cell>
          <cell r="Q82" t="str">
            <v>Не определено</v>
          </cell>
          <cell r="R82" t="str">
            <v>Не определено</v>
          </cell>
          <cell r="S82" t="str">
            <v>Не определено</v>
          </cell>
        </row>
        <row r="83">
          <cell r="A83" t="str">
            <v>Версия регулятора2026план Органа регулирования (корректировка)год</v>
          </cell>
          <cell r="B83" t="str">
            <v>Версия регулятора2026план Органа регулирования (корректировка)</v>
          </cell>
          <cell r="H83" t="b">
            <v>1</v>
          </cell>
          <cell r="I83" t="b">
            <v>0</v>
          </cell>
          <cell r="K83" t="str">
            <v>Версия регулятора</v>
          </cell>
          <cell r="L83">
            <v>2026</v>
          </cell>
          <cell r="M83" t="str">
            <v>План</v>
          </cell>
          <cell r="N83" t="str">
            <v>Год</v>
          </cell>
          <cell r="P83" t="str">
            <v>Не определено</v>
          </cell>
          <cell r="Q83" t="str">
            <v>Не определено</v>
          </cell>
          <cell r="R83" t="str">
            <v>Не определено</v>
          </cell>
          <cell r="S83" t="str">
            <v>Не определено</v>
          </cell>
        </row>
        <row r="84">
          <cell r="A84" t="str">
            <v>Версия регулятора2026план Органа регулирования (корректировка)I полугодие</v>
          </cell>
          <cell r="B84" t="str">
            <v>Версия регулятора2026план Органа регулирования (корректировка)</v>
          </cell>
          <cell r="H84" t="b">
            <v>1</v>
          </cell>
          <cell r="I84" t="b">
            <v>0</v>
          </cell>
          <cell r="K84" t="str">
            <v>Версия регулятора</v>
          </cell>
          <cell r="L84">
            <v>2026</v>
          </cell>
          <cell r="M84" t="str">
            <v>План</v>
          </cell>
          <cell r="N84" t="str">
            <v>I</v>
          </cell>
          <cell r="P84" t="str">
            <v>Не определено</v>
          </cell>
          <cell r="Q84" t="str">
            <v>Не определено</v>
          </cell>
          <cell r="R84" t="str">
            <v>Не определено</v>
          </cell>
          <cell r="S84" t="str">
            <v>Не определено</v>
          </cell>
        </row>
        <row r="85">
          <cell r="A85" t="str">
            <v>Версия регулятора2026план Органа регулирования (корректировка)II полугодие</v>
          </cell>
          <cell r="B85" t="str">
            <v>Версия регулятора2026план Органа регулирования (корректировка)</v>
          </cell>
          <cell r="H85" t="b">
            <v>1</v>
          </cell>
          <cell r="I85" t="b">
            <v>0</v>
          </cell>
          <cell r="K85" t="str">
            <v>Версия регулятора</v>
          </cell>
          <cell r="L85">
            <v>2026</v>
          </cell>
          <cell r="M85" t="str">
            <v>План</v>
          </cell>
          <cell r="N85" t="str">
            <v>II</v>
          </cell>
          <cell r="P85" t="str">
            <v>Не определено</v>
          </cell>
          <cell r="Q85" t="str">
            <v>Не определено</v>
          </cell>
          <cell r="R85" t="str">
            <v>Не определено</v>
          </cell>
          <cell r="S85" t="str">
            <v>Не определено</v>
          </cell>
        </row>
        <row r="86">
          <cell r="A86" t="str">
            <v>Версия регулятора2027план Органа регулирования (корректировка)год</v>
          </cell>
          <cell r="B86" t="str">
            <v>Версия регулятора2027план Органа регулирования (корректировка)</v>
          </cell>
          <cell r="H86" t="b">
            <v>1</v>
          </cell>
          <cell r="I86" t="b">
            <v>0</v>
          </cell>
          <cell r="K86" t="str">
            <v>Версия регулятора</v>
          </cell>
          <cell r="L86">
            <v>2027</v>
          </cell>
          <cell r="M86" t="str">
            <v>План</v>
          </cell>
          <cell r="N86" t="str">
            <v>Год</v>
          </cell>
          <cell r="P86" t="str">
            <v>Не определено</v>
          </cell>
          <cell r="Q86" t="str">
            <v>Не определено</v>
          </cell>
          <cell r="R86" t="str">
            <v>Не определено</v>
          </cell>
          <cell r="S86" t="str">
            <v>Не определено</v>
          </cell>
        </row>
        <row r="87">
          <cell r="A87" t="str">
            <v>Версия регулятора2027план Органа регулирования (корректировка)I полугодие</v>
          </cell>
          <cell r="B87" t="str">
            <v>Версия регулятора2027план Органа регулирования (корректировка)</v>
          </cell>
          <cell r="H87" t="b">
            <v>1</v>
          </cell>
          <cell r="I87" t="b">
            <v>0</v>
          </cell>
          <cell r="K87" t="str">
            <v>Версия регулятора</v>
          </cell>
          <cell r="L87">
            <v>2027</v>
          </cell>
          <cell r="M87" t="str">
            <v>План</v>
          </cell>
          <cell r="N87" t="str">
            <v>I</v>
          </cell>
          <cell r="P87" t="str">
            <v>Не определено</v>
          </cell>
          <cell r="Q87" t="str">
            <v>Не определено</v>
          </cell>
          <cell r="R87" t="str">
            <v>Не определено</v>
          </cell>
          <cell r="S87" t="str">
            <v>Не определено</v>
          </cell>
        </row>
        <row r="88">
          <cell r="A88" t="str">
            <v>Версия регулятора2027план Органа регулирования (корректировка)II полугодие</v>
          </cell>
          <cell r="B88" t="str">
            <v>Версия регулятора2027план Органа регулирования (корректировка)</v>
          </cell>
          <cell r="H88" t="b">
            <v>1</v>
          </cell>
          <cell r="I88" t="b">
            <v>0</v>
          </cell>
          <cell r="K88" t="str">
            <v>Версия регулятора</v>
          </cell>
          <cell r="L88">
            <v>2027</v>
          </cell>
          <cell r="M88" t="str">
            <v>План</v>
          </cell>
          <cell r="N88" t="str">
            <v>II</v>
          </cell>
          <cell r="P88" t="str">
            <v>Не определено</v>
          </cell>
          <cell r="Q88" t="str">
            <v>Не определено</v>
          </cell>
          <cell r="R88" t="str">
            <v>Не определено</v>
          </cell>
          <cell r="S88" t="str">
            <v>Не определено</v>
          </cell>
        </row>
        <row r="89">
          <cell r="A89" t="str">
            <v>Версия регулятора2028план Органа регулирования (корректировка)год</v>
          </cell>
          <cell r="B89" t="str">
            <v>Версия регулятора2028план Органа регулирования (корректировка)</v>
          </cell>
          <cell r="H89" t="b">
            <v>1</v>
          </cell>
          <cell r="I89" t="b">
            <v>0</v>
          </cell>
          <cell r="K89" t="str">
            <v>Версия регулятора</v>
          </cell>
          <cell r="L89">
            <v>2028</v>
          </cell>
          <cell r="M89" t="str">
            <v>План</v>
          </cell>
          <cell r="N89" t="str">
            <v>Год</v>
          </cell>
          <cell r="P89" t="str">
            <v>Не определено</v>
          </cell>
          <cell r="Q89" t="str">
            <v>Не определено</v>
          </cell>
          <cell r="R89" t="str">
            <v>Не определено</v>
          </cell>
          <cell r="S89" t="str">
            <v>Не определено</v>
          </cell>
        </row>
        <row r="90">
          <cell r="A90" t="str">
            <v>Версия регулятора2028план Органа регулирования (корректировка)I полугодие</v>
          </cell>
          <cell r="B90" t="str">
            <v>Версия регулятора2028план Органа регулирования (корректировка)</v>
          </cell>
          <cell r="H90" t="b">
            <v>1</v>
          </cell>
          <cell r="I90" t="b">
            <v>0</v>
          </cell>
          <cell r="K90" t="str">
            <v>Версия регулятора</v>
          </cell>
          <cell r="L90">
            <v>2028</v>
          </cell>
          <cell r="M90" t="str">
            <v>План</v>
          </cell>
          <cell r="N90" t="str">
            <v>I</v>
          </cell>
          <cell r="P90" t="str">
            <v>Не определено</v>
          </cell>
          <cell r="Q90" t="str">
            <v>Не определено</v>
          </cell>
          <cell r="R90" t="str">
            <v>Не определено</v>
          </cell>
          <cell r="S90" t="str">
            <v>Не определено</v>
          </cell>
        </row>
        <row r="91">
          <cell r="A91" t="str">
            <v>Версия регулятора2028план Органа регулирования (корректировка)II полугодие</v>
          </cell>
          <cell r="B91" t="str">
            <v>Версия регулятора2028план Органа регулирования (корректировка)</v>
          </cell>
          <cell r="H91" t="b">
            <v>1</v>
          </cell>
          <cell r="I91" t="b">
            <v>0</v>
          </cell>
          <cell r="K91" t="str">
            <v>Версия регулятора</v>
          </cell>
          <cell r="L91">
            <v>2028</v>
          </cell>
          <cell r="M91" t="str">
            <v>План</v>
          </cell>
          <cell r="N91" t="str">
            <v>II</v>
          </cell>
          <cell r="P91" t="str">
            <v>Не определено</v>
          </cell>
          <cell r="Q91" t="str">
            <v>Не определено</v>
          </cell>
          <cell r="R91" t="str">
            <v>Не определено</v>
          </cell>
          <cell r="S91" t="str">
            <v>Не определено</v>
          </cell>
        </row>
        <row r="92">
          <cell r="A92" t="str">
            <v>Версия регулятора2029план Органа регулирования (корректировка)год</v>
          </cell>
          <cell r="B92" t="str">
            <v>Версия регулятора2029план Органа регулирования (корректировка)</v>
          </cell>
          <cell r="H92" t="b">
            <v>1</v>
          </cell>
          <cell r="I92" t="b">
            <v>0</v>
          </cell>
          <cell r="K92" t="str">
            <v>Версия регулятора</v>
          </cell>
          <cell r="L92">
            <v>2029</v>
          </cell>
          <cell r="M92" t="str">
            <v>План</v>
          </cell>
          <cell r="N92" t="str">
            <v>Год</v>
          </cell>
          <cell r="P92" t="str">
            <v>Не определено</v>
          </cell>
          <cell r="Q92" t="str">
            <v>Не определено</v>
          </cell>
          <cell r="R92" t="str">
            <v>Не определено</v>
          </cell>
          <cell r="S92" t="str">
            <v>Не определено</v>
          </cell>
        </row>
        <row r="93">
          <cell r="A93" t="str">
            <v>Версия регулятора2029план Органа регулирования (корректировка)I полугодие</v>
          </cell>
          <cell r="B93" t="str">
            <v>Версия регулятора2029план Органа регулирования (корректировка)</v>
          </cell>
          <cell r="H93" t="b">
            <v>1</v>
          </cell>
          <cell r="I93" t="b">
            <v>0</v>
          </cell>
          <cell r="K93" t="str">
            <v>Версия регулятора</v>
          </cell>
          <cell r="L93">
            <v>2029</v>
          </cell>
          <cell r="M93" t="str">
            <v>План</v>
          </cell>
          <cell r="N93" t="str">
            <v>I</v>
          </cell>
          <cell r="P93" t="str">
            <v>Не определено</v>
          </cell>
          <cell r="Q93" t="str">
            <v>Не определено</v>
          </cell>
          <cell r="R93" t="str">
            <v>Не определено</v>
          </cell>
          <cell r="S93" t="str">
            <v>Не определено</v>
          </cell>
        </row>
        <row r="94">
          <cell r="A94" t="str">
            <v>Версия регулятора2029план Органа регулирования (корректировка)II полугодие</v>
          </cell>
          <cell r="B94" t="str">
            <v>Версия регулятора2029план Органа регулирования (корректировка)</v>
          </cell>
          <cell r="H94" t="b">
            <v>1</v>
          </cell>
          <cell r="I94" t="b">
            <v>0</v>
          </cell>
          <cell r="K94" t="str">
            <v>Версия регулятора</v>
          </cell>
          <cell r="L94">
            <v>2029</v>
          </cell>
          <cell r="M94" t="str">
            <v>План</v>
          </cell>
          <cell r="N94" t="str">
            <v>II</v>
          </cell>
          <cell r="P94" t="str">
            <v>Не определено</v>
          </cell>
          <cell r="Q94" t="str">
            <v>Не определено</v>
          </cell>
          <cell r="R94" t="str">
            <v>Не определено</v>
          </cell>
          <cell r="S94" t="str">
            <v>Не определено</v>
          </cell>
        </row>
        <row r="95">
          <cell r="A95" t="str">
            <v>Обоснование причины отклонения (комментарий регулятора)</v>
          </cell>
          <cell r="B95" t="str">
            <v>Обоснование причины отклонения (комментарий регулятора)</v>
          </cell>
          <cell r="H95" t="b">
            <v>1</v>
          </cell>
          <cell r="I95" t="b">
            <v>0</v>
          </cell>
          <cell r="K95" t="str">
            <v>Версия регулятора</v>
          </cell>
          <cell r="L95" t="str">
            <v>Не определено</v>
          </cell>
          <cell r="M95" t="str">
            <v>Не определено</v>
          </cell>
          <cell r="N95" t="str">
            <v>Не определено</v>
          </cell>
          <cell r="P95" t="str">
            <v>Не определено</v>
          </cell>
          <cell r="Q95" t="str">
            <v>Не определено</v>
          </cell>
          <cell r="R95" t="str">
            <v>Не определено</v>
          </cell>
          <cell r="S95" t="str">
            <v>Не определено</v>
          </cell>
        </row>
        <row r="96">
          <cell r="A96" t="str">
            <v>Рабочее пространство для комментариев и дополнительных расчетов (не будет загружено в БД)</v>
          </cell>
          <cell r="B96" t="str">
            <v>Рабочее пространство для комментариев и дополнительных расчетов (не будет загружено в БД)</v>
          </cell>
          <cell r="H96" t="b">
            <v>1</v>
          </cell>
          <cell r="I96" t="b">
            <v>0</v>
          </cell>
          <cell r="K96" t="str">
            <v>Не определено</v>
          </cell>
          <cell r="L96" t="str">
            <v>Не определено</v>
          </cell>
          <cell r="M96" t="str">
            <v>Не определено</v>
          </cell>
          <cell r="N96" t="str">
            <v>Не определено</v>
          </cell>
          <cell r="P96" t="str">
            <v>Не определено</v>
          </cell>
          <cell r="Q96" t="str">
            <v>Не определено</v>
          </cell>
          <cell r="R96" t="str">
            <v>Не определено</v>
          </cell>
          <cell r="S96" t="str">
            <v>Не определено</v>
          </cell>
        </row>
        <row r="97">
          <cell r="A97" t="str">
            <v>Рабочее пространство для комментариев и дополнительных расчетов (не будет загружено в БД)</v>
          </cell>
          <cell r="B97" t="str">
            <v>Рабочее пространство для комментариев и дополнительных расчетов (не будет загружено в БД)</v>
          </cell>
          <cell r="H97" t="b">
            <v>1</v>
          </cell>
          <cell r="I97" t="b">
            <v>0</v>
          </cell>
          <cell r="K97" t="str">
            <v>Не определено</v>
          </cell>
          <cell r="L97" t="str">
            <v>Не определено</v>
          </cell>
          <cell r="M97" t="str">
            <v>Не определено</v>
          </cell>
          <cell r="N97" t="str">
            <v>Не определено</v>
          </cell>
          <cell r="P97" t="str">
            <v>Не определено</v>
          </cell>
          <cell r="Q97" t="str">
            <v>Не определено</v>
          </cell>
          <cell r="R97" t="str">
            <v>Не определено</v>
          </cell>
          <cell r="S97" t="str">
            <v>Не определено</v>
          </cell>
        </row>
        <row r="98">
          <cell r="A98" t="str">
            <v>Рабочее пространство для комментариев и дополнительных расчетов (не будет загружено в БД)</v>
          </cell>
          <cell r="B98" t="str">
            <v>Рабочее пространство для комментариев и дополнительных расчетов (не будет загружено в БД)</v>
          </cell>
          <cell r="H98" t="b">
            <v>1</v>
          </cell>
          <cell r="I98" t="b">
            <v>0</v>
          </cell>
          <cell r="K98" t="str">
            <v>Не определено</v>
          </cell>
          <cell r="L98" t="str">
            <v>Не определено</v>
          </cell>
          <cell r="M98" t="str">
            <v>Не определено</v>
          </cell>
          <cell r="N98" t="str">
            <v>Не определено</v>
          </cell>
          <cell r="P98" t="str">
            <v>Не определено</v>
          </cell>
          <cell r="Q98" t="str">
            <v>Не определено</v>
          </cell>
          <cell r="R98" t="str">
            <v>Не определено</v>
          </cell>
          <cell r="S98" t="str">
            <v>Не определено</v>
          </cell>
        </row>
        <row r="99">
          <cell r="A99" t="str">
            <v>Рабочее пространство для комментариев и дополнительных расчетов (не будет загружено в БД)</v>
          </cell>
          <cell r="B99" t="str">
            <v>Рабочее пространство для комментариев и дополнительных расчетов (не будет загружено в БД)</v>
          </cell>
          <cell r="H99" t="b">
            <v>1</v>
          </cell>
          <cell r="I99" t="b">
            <v>0</v>
          </cell>
          <cell r="K99" t="str">
            <v>Не определено</v>
          </cell>
          <cell r="L99" t="str">
            <v>Не определено</v>
          </cell>
          <cell r="M99" t="str">
            <v>Не определено</v>
          </cell>
          <cell r="N99" t="str">
            <v>Не определено</v>
          </cell>
          <cell r="P99" t="str">
            <v>Не определено</v>
          </cell>
          <cell r="Q99" t="str">
            <v>Не определено</v>
          </cell>
          <cell r="R99" t="str">
            <v>Не определено</v>
          </cell>
          <cell r="S99" t="str">
            <v>Не определено</v>
          </cell>
        </row>
        <row r="100">
          <cell r="A100" t="str">
            <v>Рабочее пространство для комментариев и дополнительных расчетов (не будет загружено в БД)</v>
          </cell>
          <cell r="B100" t="str">
            <v>Рабочее пространство для комментариев и дополнительных расчетов (не будет загружено в БД)</v>
          </cell>
          <cell r="H100" t="b">
            <v>1</v>
          </cell>
          <cell r="I100" t="b">
            <v>0</v>
          </cell>
          <cell r="K100" t="str">
            <v>Не определено</v>
          </cell>
          <cell r="L100" t="str">
            <v>Не определено</v>
          </cell>
          <cell r="M100" t="str">
            <v>Не определено</v>
          </cell>
          <cell r="N100" t="str">
            <v>Не определено</v>
          </cell>
          <cell r="P100" t="str">
            <v>Не определено</v>
          </cell>
          <cell r="Q100" t="str">
            <v>Не определено</v>
          </cell>
          <cell r="R100" t="str">
            <v>Не определено</v>
          </cell>
          <cell r="S100" t="str">
            <v>Не определено</v>
          </cell>
        </row>
        <row r="101">
          <cell r="A101" t="str">
            <v>Рабочее пространство для комментариев и дополнительных расчетов (не будет загружено в БД)</v>
          </cell>
          <cell r="B101" t="str">
            <v>Рабочее пространство для комментариев и дополнительных расчетов (не будет загружено в БД)</v>
          </cell>
          <cell r="H101" t="b">
            <v>1</v>
          </cell>
          <cell r="I101" t="b">
            <v>0</v>
          </cell>
          <cell r="K101" t="str">
            <v>Не определено</v>
          </cell>
          <cell r="L101" t="str">
            <v>Не определено</v>
          </cell>
          <cell r="M101" t="str">
            <v>Не определено</v>
          </cell>
          <cell r="N101" t="str">
            <v>Не определено</v>
          </cell>
          <cell r="P101" t="str">
            <v>Не определено</v>
          </cell>
          <cell r="Q101" t="str">
            <v>Не определено</v>
          </cell>
          <cell r="R101" t="str">
            <v>Не определено</v>
          </cell>
          <cell r="S101" t="str">
            <v>Не определено</v>
          </cell>
        </row>
        <row r="102">
          <cell r="A102" t="str">
            <v>Рабочее пространство для комментариев и дополнительных расчетов (не будет загружено в БД)</v>
          </cell>
          <cell r="B102" t="str">
            <v>Рабочее пространство для комментариев и дополнительных расчетов (не будет загружено в БД)</v>
          </cell>
          <cell r="H102" t="b">
            <v>1</v>
          </cell>
          <cell r="I102" t="b">
            <v>0</v>
          </cell>
          <cell r="K102" t="str">
            <v>Не определено</v>
          </cell>
          <cell r="L102" t="str">
            <v>Не определено</v>
          </cell>
          <cell r="M102" t="str">
            <v>Не определено</v>
          </cell>
          <cell r="N102" t="str">
            <v>Не определено</v>
          </cell>
          <cell r="P102" t="str">
            <v>Не определено</v>
          </cell>
          <cell r="Q102" t="str">
            <v>Не определено</v>
          </cell>
          <cell r="R102" t="str">
            <v>Не определено</v>
          </cell>
          <cell r="S102" t="str">
            <v>Не определено</v>
          </cell>
        </row>
        <row r="103">
          <cell r="A103" t="str">
            <v>Рабочее пространство для комментариев и дополнительных расчетов (не будет загружено в БД)</v>
          </cell>
          <cell r="B103" t="str">
            <v>Рабочее пространство для комментариев и дополнительных расчетов (не будет загружено в БД)</v>
          </cell>
          <cell r="H103" t="b">
            <v>1</v>
          </cell>
          <cell r="I103" t="b">
            <v>0</v>
          </cell>
          <cell r="K103" t="str">
            <v>Не определено</v>
          </cell>
          <cell r="L103" t="str">
            <v>Не определено</v>
          </cell>
          <cell r="M103" t="str">
            <v>Не определено</v>
          </cell>
          <cell r="N103" t="str">
            <v>Не определено</v>
          </cell>
          <cell r="P103" t="str">
            <v>Не определено</v>
          </cell>
          <cell r="Q103" t="str">
            <v>Не определено</v>
          </cell>
          <cell r="R103" t="str">
            <v>Не определено</v>
          </cell>
          <cell r="S103" t="str">
            <v>Не определено</v>
          </cell>
        </row>
        <row r="104">
          <cell r="A104" t="str">
            <v>Рабочее пространство для комментариев и дополнительных расчетов (не будет загружено в БД)</v>
          </cell>
          <cell r="B104" t="str">
            <v>Рабочее пространство для комментариев и дополнительных расчетов (не будет загружено в БД)</v>
          </cell>
          <cell r="H104" t="b">
            <v>1</v>
          </cell>
          <cell r="I104" t="b">
            <v>0</v>
          </cell>
          <cell r="K104" t="str">
            <v>Не определено</v>
          </cell>
          <cell r="L104" t="str">
            <v>Не определено</v>
          </cell>
          <cell r="M104" t="str">
            <v>Не определено</v>
          </cell>
          <cell r="N104" t="str">
            <v>Не определено</v>
          </cell>
          <cell r="P104" t="str">
            <v>Не определено</v>
          </cell>
          <cell r="Q104" t="str">
            <v>Не определено</v>
          </cell>
          <cell r="R104" t="str">
            <v>Не определено</v>
          </cell>
          <cell r="S104" t="str">
            <v>Не определено</v>
          </cell>
        </row>
      </sheetData>
      <sheetData sheetId="61"/>
      <sheetData sheetId="62">
        <row r="93">
          <cell r="AG93">
            <v>6010.7759999999998</v>
          </cell>
          <cell r="AL93">
            <v>13158.379431447283</v>
          </cell>
        </row>
        <row r="95">
          <cell r="AU95" t="str">
            <v>Калининградская область</v>
          </cell>
        </row>
        <row r="96">
          <cell r="AU96" t="str">
            <v>Прочие реки и озера</v>
          </cell>
        </row>
        <row r="121">
          <cell r="AG121">
            <v>500.49299999999999</v>
          </cell>
          <cell r="AL121">
            <v>0</v>
          </cell>
        </row>
        <row r="131">
          <cell r="AG131">
            <v>0</v>
          </cell>
          <cell r="AL131">
            <v>0</v>
          </cell>
        </row>
        <row r="135">
          <cell r="AG135">
            <v>0</v>
          </cell>
          <cell r="AL135">
            <v>0</v>
          </cell>
        </row>
        <row r="136">
          <cell r="AB136">
            <v>0</v>
          </cell>
        </row>
        <row r="139">
          <cell r="AG139" t="e">
            <v>#REF!</v>
          </cell>
          <cell r="AL139" t="e">
            <v>#REF!</v>
          </cell>
        </row>
        <row r="149">
          <cell r="AG149" t="e">
            <v>#REF!</v>
          </cell>
          <cell r="AL149" t="e">
            <v>#REF!</v>
          </cell>
        </row>
        <row r="159">
          <cell r="AG159">
            <v>0</v>
          </cell>
          <cell r="AL159">
            <v>0</v>
          </cell>
        </row>
        <row r="163">
          <cell r="AG163">
            <v>0</v>
          </cell>
          <cell r="AL163">
            <v>0</v>
          </cell>
        </row>
        <row r="164">
          <cell r="AG164">
            <v>2.2429999999999999</v>
          </cell>
          <cell r="AL164">
            <v>0</v>
          </cell>
        </row>
      </sheetData>
      <sheetData sheetId="63">
        <row r="91">
          <cell r="AH91">
            <v>52913.848000000005</v>
          </cell>
          <cell r="AM91">
            <v>59354.309904000002</v>
          </cell>
        </row>
        <row r="94">
          <cell r="AH94">
            <v>0</v>
          </cell>
          <cell r="AM94">
            <v>0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92">
          <cell r="AN92">
            <v>0</v>
          </cell>
          <cell r="AP92">
            <v>0</v>
          </cell>
          <cell r="AT92">
            <v>0</v>
          </cell>
          <cell r="AW92">
            <v>0</v>
          </cell>
        </row>
        <row r="93">
          <cell r="AN93">
            <v>0</v>
          </cell>
          <cell r="AP93">
            <v>0</v>
          </cell>
          <cell r="AT93">
            <v>0</v>
          </cell>
          <cell r="AW93">
            <v>0</v>
          </cell>
        </row>
        <row r="94">
          <cell r="AN94">
            <v>0</v>
          </cell>
          <cell r="AP94">
            <v>0</v>
          </cell>
          <cell r="AT94">
            <v>0</v>
          </cell>
          <cell r="AW94">
            <v>0</v>
          </cell>
        </row>
        <row r="95">
          <cell r="AN95">
            <v>0</v>
          </cell>
          <cell r="AP95">
            <v>0</v>
          </cell>
          <cell r="AT95">
            <v>0</v>
          </cell>
          <cell r="AW95">
            <v>0</v>
          </cell>
        </row>
        <row r="96">
          <cell r="AN96">
            <v>7.2000000000000064</v>
          </cell>
          <cell r="AP96">
            <v>4.2000000000000037</v>
          </cell>
          <cell r="AT96">
            <v>4.0000000000000036</v>
          </cell>
          <cell r="AW96">
            <v>4.0000000000000036</v>
          </cell>
        </row>
        <row r="97">
          <cell r="AN97">
            <v>0</v>
          </cell>
          <cell r="AP97">
            <v>0</v>
          </cell>
          <cell r="AT97">
            <v>0</v>
          </cell>
          <cell r="AW97">
            <v>0</v>
          </cell>
        </row>
        <row r="98">
          <cell r="AN98">
            <v>659.24228599999992</v>
          </cell>
          <cell r="AP98">
            <v>659.24228599999992</v>
          </cell>
          <cell r="AT98">
            <v>659.24228599999992</v>
          </cell>
          <cell r="AW98">
            <v>659.24228599999992</v>
          </cell>
        </row>
        <row r="99">
          <cell r="AN99">
            <v>1117.9009999999998</v>
          </cell>
          <cell r="AP99">
            <v>1117.9009999999998</v>
          </cell>
          <cell r="AT99">
            <v>1117.9009999999998</v>
          </cell>
          <cell r="AW99">
            <v>1117.9009999999998</v>
          </cell>
        </row>
        <row r="100">
          <cell r="AN100">
            <v>0</v>
          </cell>
          <cell r="AP100">
            <v>0</v>
          </cell>
          <cell r="AT100">
            <v>0</v>
          </cell>
          <cell r="AW100">
            <v>0</v>
          </cell>
        </row>
        <row r="101">
          <cell r="AN101">
            <v>0</v>
          </cell>
          <cell r="AP101">
            <v>0</v>
          </cell>
          <cell r="AT101">
            <v>0</v>
          </cell>
          <cell r="AW101">
            <v>0</v>
          </cell>
        </row>
        <row r="102">
          <cell r="AN102">
            <v>0</v>
          </cell>
          <cell r="AP102">
            <v>0</v>
          </cell>
          <cell r="AT102">
            <v>0</v>
          </cell>
          <cell r="AW102">
            <v>0</v>
          </cell>
        </row>
        <row r="103">
          <cell r="AN103">
            <v>28998.230000000003</v>
          </cell>
          <cell r="AP103">
            <v>408.56800000000004</v>
          </cell>
          <cell r="AT103">
            <v>408.56800000000004</v>
          </cell>
          <cell r="AW103">
            <v>408.56800000000004</v>
          </cell>
        </row>
        <row r="104">
          <cell r="AN104">
            <v>14499.115000000002</v>
          </cell>
          <cell r="AP104">
            <v>204.28400000000002</v>
          </cell>
          <cell r="AT104">
            <v>204.28400000000002</v>
          </cell>
          <cell r="AW104">
            <v>204.28400000000002</v>
          </cell>
        </row>
        <row r="105">
          <cell r="AN105">
            <v>14499.115000000002</v>
          </cell>
          <cell r="AP105">
            <v>204.28400000000002</v>
          </cell>
          <cell r="AT105">
            <v>204.28400000000002</v>
          </cell>
          <cell r="AW105">
            <v>204.28400000000002</v>
          </cell>
        </row>
        <row r="106">
          <cell r="AN106">
            <v>0</v>
          </cell>
          <cell r="AP106">
            <v>0</v>
          </cell>
          <cell r="AT106">
            <v>0</v>
          </cell>
          <cell r="AW106">
            <v>0</v>
          </cell>
        </row>
        <row r="107">
          <cell r="AN107">
            <v>0</v>
          </cell>
          <cell r="AP107">
            <v>0</v>
          </cell>
          <cell r="AT107">
            <v>0</v>
          </cell>
          <cell r="AW107">
            <v>0</v>
          </cell>
        </row>
        <row r="108">
          <cell r="AN108">
            <v>0</v>
          </cell>
          <cell r="AP108">
            <v>0</v>
          </cell>
          <cell r="AT108">
            <v>0</v>
          </cell>
          <cell r="AW108">
            <v>0</v>
          </cell>
        </row>
        <row r="109">
          <cell r="AN109">
            <v>0</v>
          </cell>
          <cell r="AP109">
            <v>0</v>
          </cell>
          <cell r="AT109">
            <v>0</v>
          </cell>
          <cell r="AW109">
            <v>0</v>
          </cell>
        </row>
        <row r="110">
          <cell r="AN110">
            <v>0</v>
          </cell>
          <cell r="AP110">
            <v>0</v>
          </cell>
          <cell r="AT110">
            <v>0</v>
          </cell>
          <cell r="AW110">
            <v>0</v>
          </cell>
        </row>
        <row r="111">
          <cell r="AN111">
            <v>0</v>
          </cell>
          <cell r="AP111">
            <v>0</v>
          </cell>
          <cell r="AT111">
            <v>0</v>
          </cell>
          <cell r="AW111">
            <v>0</v>
          </cell>
        </row>
        <row r="112">
          <cell r="AN112">
            <v>0</v>
          </cell>
          <cell r="AP112">
            <v>0</v>
          </cell>
          <cell r="AT112">
            <v>0</v>
          </cell>
          <cell r="AW112">
            <v>0</v>
          </cell>
        </row>
      </sheetData>
      <sheetData sheetId="78">
        <row r="94">
          <cell r="K94" t="e">
            <v>#REF!</v>
          </cell>
          <cell r="O94" t="e">
            <v>#REF!</v>
          </cell>
          <cell r="P94" t="e">
            <v>#REF!</v>
          </cell>
        </row>
        <row r="108">
          <cell r="K108" t="e">
            <v>#REF!</v>
          </cell>
          <cell r="O108" t="e">
            <v>#REF!</v>
          </cell>
          <cell r="P108" t="e">
            <v>#REF!</v>
          </cell>
        </row>
        <row r="119">
          <cell r="K119" t="e">
            <v>#REF!</v>
          </cell>
          <cell r="O119" t="e">
            <v>#REF!</v>
          </cell>
          <cell r="P119" t="e">
            <v>#REF!</v>
          </cell>
        </row>
        <row r="120">
          <cell r="K120" t="e">
            <v>#REF!</v>
          </cell>
          <cell r="O120" t="e">
            <v>#REF!</v>
          </cell>
          <cell r="P120" t="e">
            <v>#REF!</v>
          </cell>
        </row>
        <row r="121">
          <cell r="K121" t="e">
            <v>#REF!</v>
          </cell>
          <cell r="O121" t="e">
            <v>#REF!</v>
          </cell>
          <cell r="P121" t="e">
            <v>#REF!</v>
          </cell>
        </row>
        <row r="122">
          <cell r="K122" t="e">
            <v>#REF!</v>
          </cell>
          <cell r="O122" t="e">
            <v>#REF!</v>
          </cell>
          <cell r="P122" t="e">
            <v>#REF!</v>
          </cell>
        </row>
        <row r="125">
          <cell r="K125" t="e">
            <v>#REF!</v>
          </cell>
          <cell r="O125" t="e">
            <v>#REF!</v>
          </cell>
          <cell r="P125" t="e">
            <v>#REF!</v>
          </cell>
        </row>
        <row r="131">
          <cell r="K131" t="e">
            <v>#REF!</v>
          </cell>
          <cell r="O131" t="e">
            <v>#REF!</v>
          </cell>
          <cell r="P131" t="e">
            <v>#REF!</v>
          </cell>
        </row>
        <row r="132">
          <cell r="K132" t="e">
            <v>#REF!</v>
          </cell>
          <cell r="O132" t="e">
            <v>#REF!</v>
          </cell>
          <cell r="P132" t="e">
            <v>#REF!</v>
          </cell>
        </row>
        <row r="137">
          <cell r="K137" t="e">
            <v>#REF!</v>
          </cell>
          <cell r="O137" t="e">
            <v>#REF!</v>
          </cell>
          <cell r="P137" t="e">
            <v>#REF!</v>
          </cell>
        </row>
        <row r="138">
          <cell r="K138" t="e">
            <v>#REF!</v>
          </cell>
          <cell r="O138" t="e">
            <v>#REF!</v>
          </cell>
          <cell r="P138" t="e">
            <v>#REF!</v>
          </cell>
        </row>
        <row r="139">
          <cell r="K139" t="e">
            <v>#REF!</v>
          </cell>
          <cell r="O139" t="e">
            <v>#REF!</v>
          </cell>
          <cell r="P139" t="e">
            <v>#REF!</v>
          </cell>
        </row>
        <row r="140">
          <cell r="K140" t="e">
            <v>#REF!</v>
          </cell>
          <cell r="O140" t="e">
            <v>#REF!</v>
          </cell>
          <cell r="P140" t="e">
            <v>#REF!</v>
          </cell>
        </row>
        <row r="141">
          <cell r="K141" t="e">
            <v>#REF!</v>
          </cell>
          <cell r="O141" t="e">
            <v>#REF!</v>
          </cell>
          <cell r="P141" t="e">
            <v>#REF!</v>
          </cell>
        </row>
        <row r="142">
          <cell r="K142" t="e">
            <v>#REF!</v>
          </cell>
          <cell r="O142" t="e">
            <v>#REF!</v>
          </cell>
          <cell r="P142" t="e">
            <v>#REF!</v>
          </cell>
        </row>
        <row r="143">
          <cell r="K143" t="e">
            <v>#REF!</v>
          </cell>
          <cell r="O143" t="e">
            <v>#REF!</v>
          </cell>
          <cell r="P143" t="e">
            <v>#REF!</v>
          </cell>
        </row>
        <row r="144">
          <cell r="K144" t="e">
            <v>#REF!</v>
          </cell>
          <cell r="O144" t="e">
            <v>#REF!</v>
          </cell>
          <cell r="P144" t="e">
            <v>#REF!</v>
          </cell>
        </row>
        <row r="145">
          <cell r="K145" t="e">
            <v>#REF!</v>
          </cell>
          <cell r="O145" t="e">
            <v>#REF!</v>
          </cell>
          <cell r="P145" t="e">
            <v>#REF!</v>
          </cell>
        </row>
        <row r="146">
          <cell r="K146" t="e">
            <v>#REF!</v>
          </cell>
          <cell r="O146" t="e">
            <v>#REF!</v>
          </cell>
          <cell r="P146" t="e">
            <v>#REF!</v>
          </cell>
        </row>
        <row r="147">
          <cell r="K147" t="e">
            <v>#REF!</v>
          </cell>
          <cell r="O147" t="e">
            <v>#REF!</v>
          </cell>
          <cell r="P147" t="e">
            <v>#REF!</v>
          </cell>
        </row>
        <row r="148">
          <cell r="K148" t="e">
            <v>#REF!</v>
          </cell>
          <cell r="O148" t="e">
            <v>#REF!</v>
          </cell>
          <cell r="P148" t="e">
            <v>#REF!</v>
          </cell>
        </row>
        <row r="149">
          <cell r="K149" t="e">
            <v>#REF!</v>
          </cell>
          <cell r="O149" t="e">
            <v>#REF!</v>
          </cell>
          <cell r="P149" t="e">
            <v>#REF!</v>
          </cell>
        </row>
        <row r="150">
          <cell r="K150" t="e">
            <v>#REF!</v>
          </cell>
          <cell r="O150" t="e">
            <v>#REF!</v>
          </cell>
          <cell r="P150" t="e">
            <v>#REF!</v>
          </cell>
        </row>
        <row r="151">
          <cell r="K151" t="e">
            <v>#REF!</v>
          </cell>
          <cell r="O151" t="e">
            <v>#REF!</v>
          </cell>
          <cell r="P151" t="e">
            <v>#REF!</v>
          </cell>
        </row>
        <row r="152">
          <cell r="K152" t="e">
            <v>#REF!</v>
          </cell>
          <cell r="O152" t="e">
            <v>#REF!</v>
          </cell>
          <cell r="P152" t="e">
            <v>#REF!</v>
          </cell>
        </row>
        <row r="153">
          <cell r="K153" t="e">
            <v>#REF!</v>
          </cell>
          <cell r="O153" t="e">
            <v>#REF!</v>
          </cell>
          <cell r="P153" t="e">
            <v>#REF!</v>
          </cell>
        </row>
        <row r="154">
          <cell r="K154" t="e">
            <v>#REF!</v>
          </cell>
          <cell r="O154" t="e">
            <v>#REF!</v>
          </cell>
          <cell r="P154" t="e">
            <v>#REF!</v>
          </cell>
        </row>
        <row r="155">
          <cell r="K155" t="e">
            <v>#REF!</v>
          </cell>
          <cell r="O155" t="e">
            <v>#REF!</v>
          </cell>
          <cell r="P155" t="e">
            <v>#REF!</v>
          </cell>
        </row>
        <row r="156">
          <cell r="K156" t="e">
            <v>#REF!</v>
          </cell>
          <cell r="O156" t="e">
            <v>#REF!</v>
          </cell>
          <cell r="P156" t="e">
            <v>#REF!</v>
          </cell>
        </row>
        <row r="157">
          <cell r="K157" t="e">
            <v>#REF!</v>
          </cell>
          <cell r="O157" t="e">
            <v>#REF!</v>
          </cell>
          <cell r="P157" t="e">
            <v>#REF!</v>
          </cell>
        </row>
        <row r="158">
          <cell r="K158" t="e">
            <v>#REF!</v>
          </cell>
          <cell r="O158" t="e">
            <v>#REF!</v>
          </cell>
          <cell r="P158" t="e">
            <v>#REF!</v>
          </cell>
        </row>
        <row r="159">
          <cell r="K159" t="e">
            <v>#REF!</v>
          </cell>
          <cell r="O159" t="e">
            <v>#REF!</v>
          </cell>
          <cell r="P159" t="e">
            <v>#REF!</v>
          </cell>
        </row>
        <row r="160">
          <cell r="K160" t="e">
            <v>#REF!</v>
          </cell>
          <cell r="O160" t="e">
            <v>#REF!</v>
          </cell>
          <cell r="P160" t="e">
            <v>#REF!</v>
          </cell>
        </row>
        <row r="161">
          <cell r="K161" t="e">
            <v>#REF!</v>
          </cell>
          <cell r="O161" t="e">
            <v>#REF!</v>
          </cell>
          <cell r="P161" t="e">
            <v>#REF!</v>
          </cell>
        </row>
        <row r="162">
          <cell r="K162" t="e">
            <v>#REF!</v>
          </cell>
          <cell r="O162" t="e">
            <v>#REF!</v>
          </cell>
          <cell r="P162" t="e">
            <v>#REF!</v>
          </cell>
        </row>
        <row r="163">
          <cell r="K163" t="e">
            <v>#REF!</v>
          </cell>
          <cell r="O163" t="e">
            <v>#REF!</v>
          </cell>
          <cell r="P163" t="e">
            <v>#REF!</v>
          </cell>
        </row>
        <row r="164">
          <cell r="K164" t="e">
            <v>#REF!</v>
          </cell>
          <cell r="O164" t="e">
            <v>#REF!</v>
          </cell>
          <cell r="P164" t="e">
            <v>#REF!</v>
          </cell>
        </row>
        <row r="165">
          <cell r="K165" t="e">
            <v>#REF!</v>
          </cell>
          <cell r="O165" t="e">
            <v>#REF!</v>
          </cell>
          <cell r="P165" t="e">
            <v>#REF!</v>
          </cell>
        </row>
        <row r="166">
          <cell r="K166" t="e">
            <v>#REF!</v>
          </cell>
          <cell r="O166" t="e">
            <v>#REF!</v>
          </cell>
          <cell r="P166" t="e">
            <v>#REF!</v>
          </cell>
        </row>
        <row r="167">
          <cell r="K167" t="e">
            <v>#REF!</v>
          </cell>
          <cell r="O167" t="e">
            <v>#REF!</v>
          </cell>
          <cell r="P167" t="e">
            <v>#REF!</v>
          </cell>
        </row>
        <row r="168">
          <cell r="K168" t="e">
            <v>#REF!</v>
          </cell>
          <cell r="O168" t="e">
            <v>#REF!</v>
          </cell>
          <cell r="P168" t="e">
            <v>#REF!</v>
          </cell>
        </row>
        <row r="169">
          <cell r="K169" t="e">
            <v>#REF!</v>
          </cell>
          <cell r="O169" t="e">
            <v>#REF!</v>
          </cell>
          <cell r="P169" t="e">
            <v>#REF!</v>
          </cell>
        </row>
        <row r="170">
          <cell r="K170" t="e">
            <v>#REF!</v>
          </cell>
          <cell r="O170" t="e">
            <v>#REF!</v>
          </cell>
          <cell r="P170" t="e">
            <v>#REF!</v>
          </cell>
        </row>
      </sheetData>
      <sheetData sheetId="79"/>
      <sheetData sheetId="80"/>
      <sheetData sheetId="81">
        <row r="92">
          <cell r="W92" t="e">
            <v>#REF!</v>
          </cell>
          <cell r="AA92" t="e">
            <v>#REF!</v>
          </cell>
          <cell r="AC92" t="e">
            <v>#REF!</v>
          </cell>
          <cell r="AE92" t="e">
            <v>#REF!</v>
          </cell>
          <cell r="AG92" t="e">
            <v>#REF!</v>
          </cell>
          <cell r="AI92" t="e">
            <v>#REF!</v>
          </cell>
        </row>
        <row r="93">
          <cell r="W93">
            <v>2.2838930608693763E-3</v>
          </cell>
          <cell r="AA93" t="e">
            <v>#REF!</v>
          </cell>
          <cell r="AC93" t="e">
            <v>#REF!</v>
          </cell>
          <cell r="AE93" t="e">
            <v>#REF!</v>
          </cell>
          <cell r="AG93" t="e">
            <v>#REF!</v>
          </cell>
          <cell r="AI93" t="e">
            <v>#REF!</v>
          </cell>
        </row>
        <row r="94">
          <cell r="W94" t="e">
            <v>#REF!</v>
          </cell>
          <cell r="AA94" t="e">
            <v>#REF!</v>
          </cell>
          <cell r="AC94" t="e">
            <v>#REF!</v>
          </cell>
          <cell r="AE94" t="e">
            <v>#REF!</v>
          </cell>
          <cell r="AG94" t="e">
            <v>#REF!</v>
          </cell>
          <cell r="AI94" t="e">
            <v>#REF!</v>
          </cell>
        </row>
        <row r="95">
          <cell r="W95">
            <v>0.01</v>
          </cell>
          <cell r="AA95" t="e">
            <v>#REF!</v>
          </cell>
          <cell r="AC95" t="e">
            <v>#REF!</v>
          </cell>
          <cell r="AE95" t="e">
            <v>#REF!</v>
          </cell>
          <cell r="AG95" t="e">
            <v>#REF!</v>
          </cell>
          <cell r="AI95" t="e">
            <v>#REF!</v>
          </cell>
        </row>
        <row r="96">
          <cell r="W96">
            <v>7.2000000000000064E-2</v>
          </cell>
          <cell r="AA96" t="e">
            <v>#REF!</v>
          </cell>
          <cell r="AC96" t="e">
            <v>#REF!</v>
          </cell>
          <cell r="AE96" t="e">
            <v>#REF!</v>
          </cell>
          <cell r="AG96" t="e">
            <v>#REF!</v>
          </cell>
          <cell r="AI96" t="e">
            <v>#REF!</v>
          </cell>
        </row>
        <row r="97">
          <cell r="W97" t="e">
            <v>#REF!</v>
          </cell>
          <cell r="AA97" t="e">
            <v>#REF!</v>
          </cell>
          <cell r="AC97" t="e">
            <v>#REF!</v>
          </cell>
          <cell r="AE97" t="e">
            <v>#REF!</v>
          </cell>
          <cell r="AG97" t="e">
            <v>#REF!</v>
          </cell>
          <cell r="AI97" t="e">
            <v>#REF!</v>
          </cell>
        </row>
        <row r="98">
          <cell r="W98">
            <v>0</v>
          </cell>
          <cell r="AA98">
            <v>0</v>
          </cell>
          <cell r="AC98">
            <v>0</v>
          </cell>
          <cell r="AE98">
            <v>0</v>
          </cell>
          <cell r="AG98">
            <v>0</v>
          </cell>
          <cell r="AI98">
            <v>0</v>
          </cell>
        </row>
      </sheetData>
      <sheetData sheetId="82">
        <row r="92">
          <cell r="Z92">
            <v>0</v>
          </cell>
          <cell r="AD92">
            <v>0</v>
          </cell>
          <cell r="AH92">
            <v>0</v>
          </cell>
          <cell r="AL92">
            <v>0</v>
          </cell>
        </row>
        <row r="93">
          <cell r="Z93" t="e">
            <v>#REF!</v>
          </cell>
          <cell r="AD93" t="e">
            <v>#REF!</v>
          </cell>
          <cell r="AH93" t="e">
            <v>#REF!</v>
          </cell>
          <cell r="AL93" t="e">
            <v>#REF!</v>
          </cell>
        </row>
        <row r="94">
          <cell r="Z94" t="e">
            <v>#REF!</v>
          </cell>
          <cell r="AD94" t="e">
            <v>#REF!</v>
          </cell>
          <cell r="AH94" t="e">
            <v>#REF!</v>
          </cell>
          <cell r="AL94" t="e">
            <v>#REF!</v>
          </cell>
        </row>
        <row r="95">
          <cell r="Z95" t="e">
            <v>#REF!</v>
          </cell>
          <cell r="AD95" t="e">
            <v>#REF!</v>
          </cell>
          <cell r="AH95" t="e">
            <v>#REF!</v>
          </cell>
          <cell r="AL95" t="e">
            <v>#REF!</v>
          </cell>
        </row>
        <row r="96">
          <cell r="Z96" t="e">
            <v>#REF!</v>
          </cell>
          <cell r="AD96" t="e">
            <v>#REF!</v>
          </cell>
          <cell r="AH96" t="e">
            <v>#REF!</v>
          </cell>
          <cell r="AL96" t="e">
            <v>#REF!</v>
          </cell>
        </row>
        <row r="97">
          <cell r="Z97" t="e">
            <v>#REF!</v>
          </cell>
          <cell r="AD97" t="e">
            <v>#REF!</v>
          </cell>
          <cell r="AH97" t="e">
            <v>#REF!</v>
          </cell>
          <cell r="AL97" t="e">
            <v>#REF!</v>
          </cell>
        </row>
        <row r="98">
          <cell r="Z98" t="e">
            <v>#REF!</v>
          </cell>
          <cell r="AD98" t="e">
            <v>#REF!</v>
          </cell>
          <cell r="AH98" t="e">
            <v>#REF!</v>
          </cell>
          <cell r="AL98" t="e">
            <v>#REF!</v>
          </cell>
        </row>
        <row r="99">
          <cell r="Z99" t="e">
            <v>#REF!</v>
          </cell>
          <cell r="AD99" t="e">
            <v>#REF!</v>
          </cell>
          <cell r="AH99" t="e">
            <v>#REF!</v>
          </cell>
          <cell r="AL99" t="e">
            <v>#REF!</v>
          </cell>
        </row>
        <row r="100">
          <cell r="Z100">
            <v>0</v>
          </cell>
          <cell r="AD100">
            <v>0</v>
          </cell>
          <cell r="AH100">
            <v>0</v>
          </cell>
          <cell r="AL100">
            <v>0</v>
          </cell>
        </row>
        <row r="101">
          <cell r="Z101">
            <v>0</v>
          </cell>
          <cell r="AD101">
            <v>0</v>
          </cell>
          <cell r="AH101">
            <v>0</v>
          </cell>
          <cell r="AL101">
            <v>0</v>
          </cell>
        </row>
        <row r="102">
          <cell r="Z102">
            <v>0</v>
          </cell>
          <cell r="AD102">
            <v>0</v>
          </cell>
          <cell r="AH102">
            <v>0</v>
          </cell>
          <cell r="AL102">
            <v>0</v>
          </cell>
        </row>
        <row r="103">
          <cell r="Z103">
            <v>0</v>
          </cell>
          <cell r="AD103">
            <v>0</v>
          </cell>
          <cell r="AH103">
            <v>0</v>
          </cell>
          <cell r="AL103">
            <v>0</v>
          </cell>
        </row>
        <row r="104">
          <cell r="Z104">
            <v>0</v>
          </cell>
          <cell r="AD104">
            <v>0</v>
          </cell>
          <cell r="AH104">
            <v>0</v>
          </cell>
          <cell r="AL104">
            <v>0</v>
          </cell>
        </row>
        <row r="105">
          <cell r="Z105" t="e">
            <v>#REF!</v>
          </cell>
          <cell r="AD105" t="e">
            <v>#REF!</v>
          </cell>
          <cell r="AH105" t="e">
            <v>#REF!</v>
          </cell>
          <cell r="AL105" t="e">
            <v>#REF!</v>
          </cell>
        </row>
        <row r="106">
          <cell r="Z106">
            <v>0</v>
          </cell>
          <cell r="AD106">
            <v>0</v>
          </cell>
          <cell r="AH106">
            <v>0</v>
          </cell>
          <cell r="AL106">
            <v>0</v>
          </cell>
        </row>
        <row r="107">
          <cell r="Z107" t="e">
            <v>#REF!</v>
          </cell>
          <cell r="AD107" t="e">
            <v>#REF!</v>
          </cell>
          <cell r="AH107" t="e">
            <v>#REF!</v>
          </cell>
          <cell r="AL107" t="e">
            <v>#REF!</v>
          </cell>
        </row>
        <row r="108">
          <cell r="Z108" t="e">
            <v>#REF!</v>
          </cell>
          <cell r="AD108" t="e">
            <v>#REF!</v>
          </cell>
          <cell r="AH108" t="e">
            <v>#REF!</v>
          </cell>
          <cell r="AL108" t="e">
            <v>#REF!</v>
          </cell>
        </row>
        <row r="109">
          <cell r="Z109" t="e">
            <v>#REF!</v>
          </cell>
          <cell r="AD109" t="e">
            <v>#REF!</v>
          </cell>
          <cell r="AH109" t="e">
            <v>#REF!</v>
          </cell>
          <cell r="AL109" t="e">
            <v>#REF!</v>
          </cell>
        </row>
        <row r="110">
          <cell r="Z110" t="e">
            <v>#REF!</v>
          </cell>
          <cell r="AD110" t="e">
            <v>#REF!</v>
          </cell>
          <cell r="AH110" t="e">
            <v>#REF!</v>
          </cell>
          <cell r="AL110" t="e">
            <v>#REF!</v>
          </cell>
        </row>
        <row r="111">
          <cell r="Z111" t="e">
            <v>#REF!</v>
          </cell>
          <cell r="AD111" t="e">
            <v>#REF!</v>
          </cell>
          <cell r="AH111" t="e">
            <v>#REF!</v>
          </cell>
          <cell r="AL111" t="e">
            <v>#REF!</v>
          </cell>
        </row>
        <row r="112">
          <cell r="Z112" t="e">
            <v>#REF!</v>
          </cell>
          <cell r="AD112" t="e">
            <v>#REF!</v>
          </cell>
          <cell r="AH112" t="e">
            <v>#REF!</v>
          </cell>
          <cell r="AL112" t="e">
            <v>#REF!</v>
          </cell>
        </row>
        <row r="113">
          <cell r="Z113" t="e">
            <v>#REF!</v>
          </cell>
          <cell r="AD113" t="e">
            <v>#REF!</v>
          </cell>
          <cell r="AH113" t="e">
            <v>#REF!</v>
          </cell>
          <cell r="AL113" t="e">
            <v>#REF!</v>
          </cell>
        </row>
        <row r="114">
          <cell r="Z114" t="e">
            <v>#REF!</v>
          </cell>
          <cell r="AD114" t="e">
            <v>#REF!</v>
          </cell>
          <cell r="AH114" t="e">
            <v>#REF!</v>
          </cell>
          <cell r="AL114" t="e">
            <v>#REF!</v>
          </cell>
        </row>
        <row r="115">
          <cell r="Z115" t="e">
            <v>#REF!</v>
          </cell>
          <cell r="AD115" t="e">
            <v>#REF!</v>
          </cell>
          <cell r="AH115" t="e">
            <v>#REF!</v>
          </cell>
          <cell r="AL115" t="e">
            <v>#REF!</v>
          </cell>
        </row>
        <row r="116">
          <cell r="Z116" t="e">
            <v>#REF!</v>
          </cell>
          <cell r="AD116" t="e">
            <v>#REF!</v>
          </cell>
          <cell r="AH116" t="e">
            <v>#REF!</v>
          </cell>
          <cell r="AL116" t="e">
            <v>#REF!</v>
          </cell>
        </row>
        <row r="117">
          <cell r="Z117" t="e">
            <v>#REF!</v>
          </cell>
          <cell r="AD117" t="e">
            <v>#REF!</v>
          </cell>
          <cell r="AH117" t="e">
            <v>#REF!</v>
          </cell>
          <cell r="AL117" t="e">
            <v>#REF!</v>
          </cell>
        </row>
        <row r="118">
          <cell r="Z118" t="e">
            <v>#REF!</v>
          </cell>
          <cell r="AD118" t="e">
            <v>#REF!</v>
          </cell>
          <cell r="AH118" t="e">
            <v>#REF!</v>
          </cell>
          <cell r="AL118" t="e">
            <v>#REF!</v>
          </cell>
        </row>
        <row r="119">
          <cell r="Z119">
            <v>0</v>
          </cell>
          <cell r="AD119">
            <v>0</v>
          </cell>
          <cell r="AH119">
            <v>0</v>
          </cell>
          <cell r="AL119">
            <v>0</v>
          </cell>
        </row>
        <row r="120">
          <cell r="Z120" t="e">
            <v>#REF!</v>
          </cell>
          <cell r="AD120" t="e">
            <v>#REF!</v>
          </cell>
          <cell r="AH120" t="e">
            <v>#REF!</v>
          </cell>
          <cell r="AL120" t="e">
            <v>#REF!</v>
          </cell>
        </row>
        <row r="121">
          <cell r="Z121" t="e">
            <v>#REF!</v>
          </cell>
          <cell r="AD121" t="e">
            <v>#REF!</v>
          </cell>
          <cell r="AH121" t="e">
            <v>#REF!</v>
          </cell>
          <cell r="AL121" t="e">
            <v>#REF!</v>
          </cell>
        </row>
        <row r="122">
          <cell r="Z122" t="e">
            <v>#REF!</v>
          </cell>
          <cell r="AD122" t="e">
            <v>#REF!</v>
          </cell>
          <cell r="AH122" t="e">
            <v>#REF!</v>
          </cell>
          <cell r="AL122" t="e">
            <v>#REF!</v>
          </cell>
        </row>
        <row r="123">
          <cell r="Z123" t="e">
            <v>#REF!</v>
          </cell>
          <cell r="AD123" t="e">
            <v>#REF!</v>
          </cell>
          <cell r="AH123" t="e">
            <v>#REF!</v>
          </cell>
          <cell r="AL123" t="e">
            <v>#REF!</v>
          </cell>
        </row>
        <row r="124">
          <cell r="Z124" t="e">
            <v>#REF!</v>
          </cell>
          <cell r="AD124" t="e">
            <v>#REF!</v>
          </cell>
          <cell r="AH124" t="e">
            <v>#REF!</v>
          </cell>
          <cell r="AL124" t="e">
            <v>#REF!</v>
          </cell>
        </row>
        <row r="125">
          <cell r="Z125" t="e">
            <v>#REF!</v>
          </cell>
          <cell r="AD125" t="e">
            <v>#REF!</v>
          </cell>
          <cell r="AH125" t="e">
            <v>#REF!</v>
          </cell>
          <cell r="AL125" t="e">
            <v>#REF!</v>
          </cell>
        </row>
        <row r="126">
          <cell r="Z126" t="e">
            <v>#REF!</v>
          </cell>
          <cell r="AD126" t="e">
            <v>#REF!</v>
          </cell>
          <cell r="AH126" t="e">
            <v>#REF!</v>
          </cell>
          <cell r="AL126" t="e">
            <v>#REF!</v>
          </cell>
        </row>
        <row r="127">
          <cell r="Z127" t="e">
            <v>#REF!</v>
          </cell>
          <cell r="AD127" t="e">
            <v>#REF!</v>
          </cell>
          <cell r="AH127" t="e">
            <v>#REF!</v>
          </cell>
          <cell r="AL127" t="e">
            <v>#REF!</v>
          </cell>
        </row>
        <row r="128">
          <cell r="Z128" t="e">
            <v>#REF!</v>
          </cell>
          <cell r="AD128" t="e">
            <v>#REF!</v>
          </cell>
          <cell r="AH128" t="e">
            <v>#REF!</v>
          </cell>
          <cell r="AL128" t="e">
            <v>#REF!</v>
          </cell>
        </row>
        <row r="129">
          <cell r="Z129" t="e">
            <v>#REF!</v>
          </cell>
          <cell r="AD129" t="e">
            <v>#REF!</v>
          </cell>
          <cell r="AH129" t="e">
            <v>#REF!</v>
          </cell>
          <cell r="AL129" t="e">
            <v>#REF!</v>
          </cell>
        </row>
        <row r="130">
          <cell r="Z130" t="e">
            <v>#REF!</v>
          </cell>
          <cell r="AD130" t="e">
            <v>#REF!</v>
          </cell>
          <cell r="AH130" t="e">
            <v>#REF!</v>
          </cell>
          <cell r="AL130" t="e">
            <v>#REF!</v>
          </cell>
        </row>
        <row r="131">
          <cell r="Z131" t="e">
            <v>#REF!</v>
          </cell>
          <cell r="AD131" t="e">
            <v>#REF!</v>
          </cell>
          <cell r="AH131" t="e">
            <v>#REF!</v>
          </cell>
          <cell r="AL131" t="e">
            <v>#REF!</v>
          </cell>
        </row>
        <row r="132">
          <cell r="Z132">
            <v>0</v>
          </cell>
          <cell r="AD132">
            <v>0</v>
          </cell>
          <cell r="AH132">
            <v>0</v>
          </cell>
          <cell r="AL132">
            <v>0</v>
          </cell>
        </row>
      </sheetData>
      <sheetData sheetId="83">
        <row r="92">
          <cell r="U92">
            <v>1</v>
          </cell>
          <cell r="Y92">
            <v>1</v>
          </cell>
          <cell r="AD92">
            <v>0</v>
          </cell>
          <cell r="AH92">
            <v>0</v>
          </cell>
          <cell r="AL92">
            <v>0</v>
          </cell>
          <cell r="AP92">
            <v>0</v>
          </cell>
          <cell r="AT92">
            <v>0</v>
          </cell>
        </row>
        <row r="93">
          <cell r="U93">
            <v>0</v>
          </cell>
          <cell r="Y93">
            <v>0</v>
          </cell>
          <cell r="AD93">
            <v>0</v>
          </cell>
          <cell r="AH93">
            <v>0</v>
          </cell>
          <cell r="AL93">
            <v>0</v>
          </cell>
          <cell r="AP93">
            <v>0</v>
          </cell>
          <cell r="AT93">
            <v>0</v>
          </cell>
        </row>
        <row r="94">
          <cell r="U94" t="e">
            <v>#REF!</v>
          </cell>
          <cell r="Y94" t="e">
            <v>#REF!</v>
          </cell>
          <cell r="AD94" t="e">
            <v>#REF!</v>
          </cell>
          <cell r="AH94" t="e">
            <v>#REF!</v>
          </cell>
          <cell r="AL94" t="e">
            <v>#REF!</v>
          </cell>
          <cell r="AP94" t="e">
            <v>#REF!</v>
          </cell>
          <cell r="AT94">
            <v>0</v>
          </cell>
        </row>
        <row r="95">
          <cell r="U95" t="e">
            <v>#REF!</v>
          </cell>
          <cell r="Y95" t="e">
            <v>#REF!</v>
          </cell>
          <cell r="AD95" t="e">
            <v>#REF!</v>
          </cell>
          <cell r="AH95" t="e">
            <v>#REF!</v>
          </cell>
          <cell r="AL95" t="e">
            <v>#REF!</v>
          </cell>
          <cell r="AP95" t="e">
            <v>#REF!</v>
          </cell>
          <cell r="AT95">
            <v>0</v>
          </cell>
        </row>
        <row r="96">
          <cell r="U96">
            <v>0.01</v>
          </cell>
          <cell r="Y96" t="e">
            <v>#REF!</v>
          </cell>
          <cell r="AD96" t="e">
            <v>#REF!</v>
          </cell>
          <cell r="AH96" t="e">
            <v>#REF!</v>
          </cell>
          <cell r="AL96" t="e">
            <v>#REF!</v>
          </cell>
          <cell r="AP96" t="e">
            <v>#REF!</v>
          </cell>
          <cell r="AT96">
            <v>0</v>
          </cell>
        </row>
        <row r="97">
          <cell r="U97">
            <v>7.2000000000000064E-2</v>
          </cell>
          <cell r="Y97" t="e">
            <v>#REF!</v>
          </cell>
          <cell r="AD97" t="e">
            <v>#REF!</v>
          </cell>
          <cell r="AH97" t="e">
            <v>#REF!</v>
          </cell>
          <cell r="AL97" t="e">
            <v>#REF!</v>
          </cell>
          <cell r="AP97" t="e">
            <v>#REF!</v>
          </cell>
          <cell r="AT97">
            <v>0</v>
          </cell>
        </row>
        <row r="98">
          <cell r="U98" t="e">
            <v>#REF!</v>
          </cell>
          <cell r="Y98" t="e">
            <v>#REF!</v>
          </cell>
          <cell r="AD98" t="e">
            <v>#REF!</v>
          </cell>
          <cell r="AH98" t="e">
            <v>#REF!</v>
          </cell>
          <cell r="AL98" t="e">
            <v>#REF!</v>
          </cell>
          <cell r="AP98" t="e">
            <v>#REF!</v>
          </cell>
          <cell r="AT98">
            <v>0</v>
          </cell>
        </row>
        <row r="99">
          <cell r="U99">
            <v>1</v>
          </cell>
          <cell r="Y99" t="e">
            <v>#REF!</v>
          </cell>
          <cell r="AD99">
            <v>0</v>
          </cell>
          <cell r="AH99">
            <v>0</v>
          </cell>
          <cell r="AL99">
            <v>0</v>
          </cell>
          <cell r="AP99">
            <v>0</v>
          </cell>
          <cell r="AT99">
            <v>0</v>
          </cell>
        </row>
        <row r="100">
          <cell r="U100">
            <v>0</v>
          </cell>
          <cell r="Y100" t="e">
            <v>#REF!</v>
          </cell>
          <cell r="AD100" t="e">
            <v>#REF!</v>
          </cell>
          <cell r="AH100" t="e">
            <v>#REF!</v>
          </cell>
          <cell r="AL100" t="e">
            <v>#REF!</v>
          </cell>
          <cell r="AP100" t="e">
            <v>#REF!</v>
          </cell>
          <cell r="AT100">
            <v>0</v>
          </cell>
        </row>
        <row r="101">
          <cell r="U101" t="e">
            <v>#REF!</v>
          </cell>
          <cell r="Y101" t="e">
            <v>#REF!</v>
          </cell>
          <cell r="AD101" t="e">
            <v>#REF!</v>
          </cell>
          <cell r="AH101" t="e">
            <v>#REF!</v>
          </cell>
          <cell r="AL101" t="e">
            <v>#REF!</v>
          </cell>
          <cell r="AP101" t="e">
            <v>#REF!</v>
          </cell>
          <cell r="AT101">
            <v>0</v>
          </cell>
        </row>
        <row r="102">
          <cell r="U102" t="e">
            <v>#REF!</v>
          </cell>
          <cell r="Y102" t="e">
            <v>#REF!</v>
          </cell>
          <cell r="AD102" t="e">
            <v>#REF!</v>
          </cell>
          <cell r="AH102" t="e">
            <v>#REF!</v>
          </cell>
          <cell r="AL102" t="e">
            <v>#REF!</v>
          </cell>
          <cell r="AP102" t="e">
            <v>#REF!</v>
          </cell>
          <cell r="AT102">
            <v>0</v>
          </cell>
        </row>
        <row r="103">
          <cell r="U103" t="e">
            <v>#REF!</v>
          </cell>
          <cell r="Y103" t="e">
            <v>#REF!</v>
          </cell>
          <cell r="AD103" t="e">
            <v>#REF!</v>
          </cell>
          <cell r="AH103" t="e">
            <v>#REF!</v>
          </cell>
          <cell r="AL103" t="e">
            <v>#REF!</v>
          </cell>
          <cell r="AP103" t="e">
            <v>#REF!</v>
          </cell>
          <cell r="AT103">
            <v>0</v>
          </cell>
        </row>
        <row r="104">
          <cell r="U104">
            <v>0</v>
          </cell>
          <cell r="Y104" t="e">
            <v>#REF!</v>
          </cell>
          <cell r="AD104" t="e">
            <v>#REF!</v>
          </cell>
          <cell r="AH104" t="e">
            <v>#REF!</v>
          </cell>
          <cell r="AL104" t="e">
            <v>#REF!</v>
          </cell>
          <cell r="AP104" t="e">
            <v>#REF!</v>
          </cell>
          <cell r="AT104">
            <v>0</v>
          </cell>
        </row>
        <row r="105">
          <cell r="U105" t="e">
            <v>#REF!</v>
          </cell>
          <cell r="Y105" t="e">
            <v>#REF!</v>
          </cell>
          <cell r="AD105" t="e">
            <v>#REF!</v>
          </cell>
          <cell r="AH105" t="e">
            <v>#REF!</v>
          </cell>
          <cell r="AL105" t="e">
            <v>#REF!</v>
          </cell>
          <cell r="AP105" t="e">
            <v>#REF!</v>
          </cell>
          <cell r="AT105">
            <v>0</v>
          </cell>
        </row>
        <row r="106">
          <cell r="U106" t="e">
            <v>#REF!</v>
          </cell>
          <cell r="Y106" t="e">
            <v>#REF!</v>
          </cell>
          <cell r="AD106" t="e">
            <v>#REF!</v>
          </cell>
          <cell r="AH106" t="e">
            <v>#REF!</v>
          </cell>
          <cell r="AL106" t="e">
            <v>#REF!</v>
          </cell>
          <cell r="AP106" t="e">
            <v>#REF!</v>
          </cell>
          <cell r="AT106">
            <v>0</v>
          </cell>
        </row>
        <row r="107">
          <cell r="U107" t="e">
            <v>#REF!</v>
          </cell>
          <cell r="Y107" t="e">
            <v>#REF!</v>
          </cell>
          <cell r="AD107" t="e">
            <v>#REF!</v>
          </cell>
          <cell r="AH107" t="e">
            <v>#REF!</v>
          </cell>
          <cell r="AL107" t="e">
            <v>#REF!</v>
          </cell>
          <cell r="AP107" t="e">
            <v>#REF!</v>
          </cell>
          <cell r="AT107">
            <v>0</v>
          </cell>
        </row>
        <row r="108">
          <cell r="U108" t="e">
            <v>#REF!</v>
          </cell>
          <cell r="Y108" t="e">
            <v>#REF!</v>
          </cell>
          <cell r="AD108" t="e">
            <v>#REF!</v>
          </cell>
          <cell r="AH108" t="e">
            <v>#REF!</v>
          </cell>
          <cell r="AL108" t="e">
            <v>#REF!</v>
          </cell>
          <cell r="AP108" t="e">
            <v>#REF!</v>
          </cell>
          <cell r="AT108">
            <v>0</v>
          </cell>
        </row>
        <row r="109">
          <cell r="U109" t="e">
            <v>#REF!</v>
          </cell>
          <cell r="Y109" t="e">
            <v>#REF!</v>
          </cell>
          <cell r="AD109" t="e">
            <v>#REF!</v>
          </cell>
          <cell r="AH109" t="e">
            <v>#REF!</v>
          </cell>
          <cell r="AL109" t="e">
            <v>#REF!</v>
          </cell>
          <cell r="AP109" t="e">
            <v>#REF!</v>
          </cell>
          <cell r="AT109">
            <v>0</v>
          </cell>
        </row>
        <row r="110">
          <cell r="U110" t="e">
            <v>#REF!</v>
          </cell>
          <cell r="Y110" t="e">
            <v>#REF!</v>
          </cell>
          <cell r="AD110" t="e">
            <v>#REF!</v>
          </cell>
          <cell r="AH110" t="e">
            <v>#REF!</v>
          </cell>
          <cell r="AL110" t="e">
            <v>#REF!</v>
          </cell>
          <cell r="AP110" t="e">
            <v>#REF!</v>
          </cell>
          <cell r="AT110">
            <v>0</v>
          </cell>
        </row>
        <row r="111">
          <cell r="U111">
            <v>0</v>
          </cell>
          <cell r="Y111" t="e">
            <v>#REF!</v>
          </cell>
          <cell r="AD111">
            <v>0</v>
          </cell>
          <cell r="AH111">
            <v>0</v>
          </cell>
          <cell r="AL111">
            <v>0</v>
          </cell>
          <cell r="AP111">
            <v>0</v>
          </cell>
          <cell r="AT111">
            <v>0</v>
          </cell>
        </row>
        <row r="112">
          <cell r="U112">
            <v>0</v>
          </cell>
          <cell r="Y112" t="e">
            <v>#REF!</v>
          </cell>
          <cell r="AD112">
            <v>0</v>
          </cell>
          <cell r="AH112">
            <v>0</v>
          </cell>
          <cell r="AL112">
            <v>0</v>
          </cell>
          <cell r="AP112">
            <v>0</v>
          </cell>
          <cell r="AT112">
            <v>0</v>
          </cell>
        </row>
        <row r="113">
          <cell r="U113" t="e">
            <v>#REF!</v>
          </cell>
          <cell r="Y113" t="e">
            <v>#REF!</v>
          </cell>
          <cell r="AD113" t="e">
            <v>#REF!</v>
          </cell>
          <cell r="AH113" t="e">
            <v>#REF!</v>
          </cell>
          <cell r="AL113" t="e">
            <v>#REF!</v>
          </cell>
          <cell r="AP113" t="e">
            <v>#REF!</v>
          </cell>
          <cell r="AT113">
            <v>0</v>
          </cell>
        </row>
        <row r="114">
          <cell r="U114" t="e">
            <v>#REF!</v>
          </cell>
          <cell r="Y114" t="e">
            <v>#REF!</v>
          </cell>
          <cell r="AD114" t="e">
            <v>#REF!</v>
          </cell>
          <cell r="AH114" t="e">
            <v>#REF!</v>
          </cell>
          <cell r="AL114" t="e">
            <v>#REF!</v>
          </cell>
          <cell r="AP114" t="e">
            <v>#REF!</v>
          </cell>
          <cell r="AT114">
            <v>0</v>
          </cell>
        </row>
        <row r="115">
          <cell r="U115">
            <v>0</v>
          </cell>
          <cell r="Y115" t="e">
            <v>#REF!</v>
          </cell>
          <cell r="AD115" t="e">
            <v>#REF!</v>
          </cell>
          <cell r="AH115" t="e">
            <v>#REF!</v>
          </cell>
          <cell r="AL115" t="e">
            <v>#REF!</v>
          </cell>
          <cell r="AP115" t="e">
            <v>#REF!</v>
          </cell>
          <cell r="AT115">
            <v>0</v>
          </cell>
        </row>
        <row r="116">
          <cell r="U116">
            <v>0</v>
          </cell>
          <cell r="Y116">
            <v>0</v>
          </cell>
          <cell r="AD116">
            <v>0</v>
          </cell>
          <cell r="AH116">
            <v>0</v>
          </cell>
          <cell r="AL116">
            <v>0</v>
          </cell>
          <cell r="AP116">
            <v>0</v>
          </cell>
          <cell r="AT116">
            <v>0</v>
          </cell>
        </row>
        <row r="117">
          <cell r="U117" t="e">
            <v>#REF!</v>
          </cell>
          <cell r="Y117" t="e">
            <v>#REF!</v>
          </cell>
          <cell r="AD117" t="e">
            <v>#REF!</v>
          </cell>
          <cell r="AH117" t="e">
            <v>#REF!</v>
          </cell>
          <cell r="AL117" t="e">
            <v>#REF!</v>
          </cell>
          <cell r="AP117" t="e">
            <v>#REF!</v>
          </cell>
          <cell r="AT117">
            <v>0</v>
          </cell>
        </row>
        <row r="118">
          <cell r="U118" t="e">
            <v>#REF!</v>
          </cell>
          <cell r="Y118" t="e">
            <v>#REF!</v>
          </cell>
          <cell r="AD118" t="e">
            <v>#REF!</v>
          </cell>
          <cell r="AH118" t="e">
            <v>#REF!</v>
          </cell>
          <cell r="AL118" t="e">
            <v>#REF!</v>
          </cell>
          <cell r="AP118" t="e">
            <v>#REF!</v>
          </cell>
          <cell r="AT118">
            <v>0</v>
          </cell>
        </row>
        <row r="119">
          <cell r="U119" t="e">
            <v>#REF!</v>
          </cell>
          <cell r="Y119" t="e">
            <v>#REF!</v>
          </cell>
          <cell r="AD119" t="e">
            <v>#REF!</v>
          </cell>
          <cell r="AH119" t="e">
            <v>#REF!</v>
          </cell>
          <cell r="AL119" t="e">
            <v>#REF!</v>
          </cell>
          <cell r="AP119" t="e">
            <v>#REF!</v>
          </cell>
          <cell r="AT119">
            <v>0</v>
          </cell>
        </row>
        <row r="120">
          <cell r="U120" t="e">
            <v>#REF!</v>
          </cell>
          <cell r="Y120" t="e">
            <v>#REF!</v>
          </cell>
          <cell r="AD120" t="e">
            <v>#REF!</v>
          </cell>
          <cell r="AH120" t="e">
            <v>#REF!</v>
          </cell>
          <cell r="AL120" t="e">
            <v>#REF!</v>
          </cell>
          <cell r="AP120" t="e">
            <v>#REF!</v>
          </cell>
          <cell r="AT120">
            <v>0</v>
          </cell>
        </row>
        <row r="121">
          <cell r="U121" t="e">
            <v>#REF!</v>
          </cell>
          <cell r="Y121" t="e">
            <v>#REF!</v>
          </cell>
          <cell r="AD121" t="e">
            <v>#REF!</v>
          </cell>
          <cell r="AH121" t="e">
            <v>#REF!</v>
          </cell>
          <cell r="AL121" t="e">
            <v>#REF!</v>
          </cell>
          <cell r="AP121" t="e">
            <v>#REF!</v>
          </cell>
          <cell r="AT121">
            <v>0</v>
          </cell>
        </row>
        <row r="122">
          <cell r="U122" t="e">
            <v>#REF!</v>
          </cell>
          <cell r="Y122" t="e">
            <v>#REF!</v>
          </cell>
          <cell r="AD122" t="e">
            <v>#REF!</v>
          </cell>
          <cell r="AH122" t="e">
            <v>#REF!</v>
          </cell>
          <cell r="AL122" t="e">
            <v>#REF!</v>
          </cell>
          <cell r="AP122" t="e">
            <v>#REF!</v>
          </cell>
          <cell r="AT122">
            <v>0</v>
          </cell>
        </row>
        <row r="123">
          <cell r="U123" t="e">
            <v>#REF!</v>
          </cell>
          <cell r="Y123" t="e">
            <v>#REF!</v>
          </cell>
          <cell r="AD123" t="e">
            <v>#REF!</v>
          </cell>
          <cell r="AH123" t="e">
            <v>#REF!</v>
          </cell>
          <cell r="AL123" t="e">
            <v>#REF!</v>
          </cell>
          <cell r="AP123" t="e">
            <v>#REF!</v>
          </cell>
          <cell r="AT123">
            <v>0</v>
          </cell>
        </row>
        <row r="124">
          <cell r="U124" t="e">
            <v>#REF!</v>
          </cell>
          <cell r="Y124" t="e">
            <v>#REF!</v>
          </cell>
          <cell r="AD124" t="e">
            <v>#REF!</v>
          </cell>
          <cell r="AH124" t="e">
            <v>#REF!</v>
          </cell>
          <cell r="AL124" t="e">
            <v>#REF!</v>
          </cell>
          <cell r="AP124" t="e">
            <v>#REF!</v>
          </cell>
          <cell r="AT124">
            <v>0</v>
          </cell>
        </row>
        <row r="125">
          <cell r="U125" t="e">
            <v>#REF!</v>
          </cell>
          <cell r="Y125" t="e">
            <v>#REF!</v>
          </cell>
          <cell r="AD125" t="e">
            <v>#REF!</v>
          </cell>
          <cell r="AH125" t="e">
            <v>#REF!</v>
          </cell>
          <cell r="AL125" t="e">
            <v>#REF!</v>
          </cell>
          <cell r="AP125" t="e">
            <v>#REF!</v>
          </cell>
          <cell r="AT125">
            <v>0</v>
          </cell>
        </row>
        <row r="126">
          <cell r="U126" t="e">
            <v>#REF!</v>
          </cell>
          <cell r="Y126" t="e">
            <v>#REF!</v>
          </cell>
          <cell r="AD126" t="e">
            <v>#REF!</v>
          </cell>
          <cell r="AH126" t="e">
            <v>#REF!</v>
          </cell>
          <cell r="AL126" t="e">
            <v>#REF!</v>
          </cell>
          <cell r="AP126" t="e">
            <v>#REF!</v>
          </cell>
          <cell r="AT126">
            <v>0</v>
          </cell>
        </row>
        <row r="127">
          <cell r="U127" t="e">
            <v>#REF!</v>
          </cell>
          <cell r="Y127" t="e">
            <v>#REF!</v>
          </cell>
          <cell r="AD127" t="e">
            <v>#REF!</v>
          </cell>
          <cell r="AH127" t="e">
            <v>#REF!</v>
          </cell>
          <cell r="AL127" t="e">
            <v>#REF!</v>
          </cell>
          <cell r="AP127" t="e">
            <v>#REF!</v>
          </cell>
          <cell r="AT127">
            <v>0</v>
          </cell>
        </row>
        <row r="128">
          <cell r="U128" t="e">
            <v>#REF!</v>
          </cell>
          <cell r="Y128" t="e">
            <v>#REF!</v>
          </cell>
          <cell r="AD128" t="e">
            <v>#REF!</v>
          </cell>
          <cell r="AH128" t="e">
            <v>#REF!</v>
          </cell>
          <cell r="AL128" t="e">
            <v>#REF!</v>
          </cell>
          <cell r="AP128" t="e">
            <v>#REF!</v>
          </cell>
          <cell r="AT128">
            <v>0</v>
          </cell>
        </row>
        <row r="129">
          <cell r="U129">
            <v>25.25</v>
          </cell>
          <cell r="Y129" t="e">
            <v>#REF!</v>
          </cell>
          <cell r="AD129" t="e">
            <v>#REF!</v>
          </cell>
          <cell r="AH129" t="e">
            <v>#REF!</v>
          </cell>
          <cell r="AL129" t="e">
            <v>#REF!</v>
          </cell>
          <cell r="AP129" t="e">
            <v>#REF!</v>
          </cell>
          <cell r="AT129">
            <v>0</v>
          </cell>
        </row>
        <row r="130">
          <cell r="U130">
            <v>30.22</v>
          </cell>
          <cell r="Y130" t="e">
            <v>#REF!</v>
          </cell>
          <cell r="AD130" t="e">
            <v>#REF!</v>
          </cell>
          <cell r="AH130" t="e">
            <v>#REF!</v>
          </cell>
          <cell r="AL130" t="e">
            <v>#REF!</v>
          </cell>
          <cell r="AP130" t="e">
            <v>#REF!</v>
          </cell>
          <cell r="AT130">
            <v>0</v>
          </cell>
        </row>
        <row r="131">
          <cell r="U131">
            <v>119.68316831683168</v>
          </cell>
          <cell r="Y131" t="e">
            <v>#REF!</v>
          </cell>
          <cell r="AD131" t="e">
            <v>#REF!</v>
          </cell>
          <cell r="AH131" t="e">
            <v>#REF!</v>
          </cell>
          <cell r="AL131" t="e">
            <v>#REF!</v>
          </cell>
          <cell r="AP131" t="e">
            <v>#REF!</v>
          </cell>
          <cell r="AT131">
            <v>0</v>
          </cell>
        </row>
        <row r="132">
          <cell r="U132" t="e">
            <v>#REF!</v>
          </cell>
          <cell r="Y132" t="e">
            <v>#REF!</v>
          </cell>
          <cell r="AD132" t="e">
            <v>#REF!</v>
          </cell>
          <cell r="AH132" t="e">
            <v>#REF!</v>
          </cell>
          <cell r="AL132" t="e">
            <v>#REF!</v>
          </cell>
          <cell r="AP132" t="e">
            <v>#REF!</v>
          </cell>
          <cell r="AT132">
            <v>0</v>
          </cell>
        </row>
        <row r="133">
          <cell r="U133">
            <v>30.3</v>
          </cell>
          <cell r="Y133" t="e">
            <v>#REF!</v>
          </cell>
          <cell r="AD133" t="e">
            <v>#REF!</v>
          </cell>
          <cell r="AH133" t="e">
            <v>#REF!</v>
          </cell>
          <cell r="AL133" t="e">
            <v>#REF!</v>
          </cell>
          <cell r="AP133" t="e">
            <v>#REF!</v>
          </cell>
          <cell r="AT133">
            <v>0</v>
          </cell>
        </row>
        <row r="134">
          <cell r="U134">
            <v>36.26</v>
          </cell>
          <cell r="Y134" t="e">
            <v>#REF!</v>
          </cell>
          <cell r="AD134" t="e">
            <v>#REF!</v>
          </cell>
          <cell r="AH134" t="e">
            <v>#REF!</v>
          </cell>
          <cell r="AL134" t="e">
            <v>#REF!</v>
          </cell>
          <cell r="AP134" t="e">
            <v>#REF!</v>
          </cell>
          <cell r="AT134">
            <v>0</v>
          </cell>
        </row>
        <row r="135">
          <cell r="U135">
            <v>119.66996699669966</v>
          </cell>
          <cell r="Y135" t="e">
            <v>#REF!</v>
          </cell>
          <cell r="AD135" t="e">
            <v>#REF!</v>
          </cell>
          <cell r="AH135" t="e">
            <v>#REF!</v>
          </cell>
          <cell r="AL135" t="e">
            <v>#REF!</v>
          </cell>
          <cell r="AP135" t="e">
            <v>#REF!</v>
          </cell>
          <cell r="AT135">
            <v>0</v>
          </cell>
        </row>
        <row r="136">
          <cell r="U136">
            <v>28998.230000000003</v>
          </cell>
          <cell r="Y136" t="e">
            <v>#REF!</v>
          </cell>
          <cell r="AD136" t="e">
            <v>#REF!</v>
          </cell>
          <cell r="AH136" t="e">
            <v>#REF!</v>
          </cell>
          <cell r="AL136" t="e">
            <v>#REF!</v>
          </cell>
          <cell r="AP136" t="e">
            <v>#REF!</v>
          </cell>
          <cell r="AT136">
            <v>0</v>
          </cell>
        </row>
        <row r="137">
          <cell r="U137">
            <v>14499.115000000002</v>
          </cell>
          <cell r="Y137" t="e">
            <v>#REF!</v>
          </cell>
          <cell r="AD137" t="e">
            <v>#REF!</v>
          </cell>
          <cell r="AH137" t="e">
            <v>#REF!</v>
          </cell>
          <cell r="AL137" t="e">
            <v>#REF!</v>
          </cell>
          <cell r="AP137" t="e">
            <v>#REF!</v>
          </cell>
          <cell r="AT137">
            <v>0</v>
          </cell>
        </row>
        <row r="138">
          <cell r="U138">
            <v>14499.115000000002</v>
          </cell>
          <cell r="Y138" t="e">
            <v>#REF!</v>
          </cell>
          <cell r="AD138" t="e">
            <v>#REF!</v>
          </cell>
          <cell r="AH138" t="e">
            <v>#REF!</v>
          </cell>
          <cell r="AL138" t="e">
            <v>#REF!</v>
          </cell>
          <cell r="AP138" t="e">
            <v>#REF!</v>
          </cell>
          <cell r="AT138">
            <v>0</v>
          </cell>
        </row>
        <row r="139">
          <cell r="AT139">
            <v>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">
          <cell r="B1" t="str">
            <v>Алтайский край</v>
          </cell>
        </row>
        <row r="2">
          <cell r="B2" t="str">
            <v>Амурская область</v>
          </cell>
          <cell r="E2" t="str">
            <v>Разметка</v>
          </cell>
          <cell r="J2" t="str">
            <v>да</v>
          </cell>
          <cell r="N2">
            <v>2025</v>
          </cell>
          <cell r="O2" t="str">
            <v>экономически обоснованный</v>
          </cell>
          <cell r="P2" t="str">
            <v>первый</v>
          </cell>
          <cell r="Q2" t="str">
            <v>Методика</v>
          </cell>
          <cell r="R2" t="str">
            <v>Методика</v>
          </cell>
          <cell r="S2" t="str">
            <v>не индексировать</v>
          </cell>
          <cell r="AJ2" t="str">
            <v>Водоснабжение</v>
          </cell>
          <cell r="AT2" t="str">
            <v>Коагулянт - гидроксохлоросульфат алюминия (коагулянт смешанного типа)</v>
          </cell>
          <cell r="AU2" t="str">
            <v>годовой</v>
          </cell>
          <cell r="BC2" t="str">
            <v>норматив</v>
          </cell>
          <cell r="BE2" t="str">
            <v>механическая очистка, глубокое осветление и обесцвечивание воды</v>
          </cell>
          <cell r="BG2" t="str">
            <v>биологическая очистка</v>
          </cell>
          <cell r="BI2" t="str">
            <v>бетонные фальцевые трубы</v>
          </cell>
          <cell r="BL2" t="str">
            <v>Северный</v>
          </cell>
          <cell r="BN2" t="str">
            <v>Волга</v>
          </cell>
          <cell r="BP2" t="str">
            <v>Производственные расходы</v>
          </cell>
          <cell r="BU2" t="str">
            <v>занятые автостоянками, жилищным фондом и объектами инженерной инфраструктуры жилищно-коммунального комплекса</v>
          </cell>
          <cell r="BW2" t="str">
            <v>Земельные участки, предназначенные для размещения административных и офисных зданий, объектов социального обеспечения</v>
          </cell>
          <cell r="BX2">
            <v>1.5</v>
          </cell>
          <cell r="BZ2" t="str">
            <v>Легковые автомобили</v>
          </cell>
          <cell r="CB2" t="str">
            <v>Артезианская скважина</v>
          </cell>
          <cell r="CD2" t="str">
            <v>движимое</v>
          </cell>
          <cell r="CF2" t="str">
            <v>Собственность</v>
          </cell>
          <cell r="CH2">
            <v>0</v>
          </cell>
          <cell r="CJ2" t="str">
            <v>отсутствует</v>
          </cell>
          <cell r="CP2" t="str">
            <v>Производственный персонал</v>
          </cell>
          <cell r="CT2" t="str">
            <v>бензин</v>
          </cell>
          <cell r="CV2" t="str">
            <v>Представлено</v>
          </cell>
          <cell r="CX2" t="str">
            <v>Доходы</v>
          </cell>
          <cell r="CY2">
            <v>6</v>
          </cell>
          <cell r="DE2">
            <v>2020</v>
          </cell>
          <cell r="DG2" t="str">
            <v>Версия организации</v>
          </cell>
          <cell r="DI2">
            <v>2</v>
          </cell>
          <cell r="DK2" t="str">
            <v>мокрый грунт в отвал, с креплением</v>
          </cell>
          <cell r="EG2" t="str">
            <v>относимая на питьевую воду (питьевое водоснабжение)</v>
          </cell>
          <cell r="EI2" t="str">
            <v>максимальный</v>
          </cell>
          <cell r="EK2" t="str">
            <v>стоимость</v>
          </cell>
          <cell r="EQ2" t="str">
            <v>отпуск</v>
          </cell>
          <cell r="FL2" t="str">
            <v>ремонт сетей</v>
          </cell>
          <cell r="FN2">
            <v>0</v>
          </cell>
          <cell r="FP2">
            <v>1</v>
          </cell>
        </row>
        <row r="3">
          <cell r="B3" t="str">
            <v>Архангельская область</v>
          </cell>
          <cell r="I3">
            <v>1</v>
          </cell>
          <cell r="J3" t="str">
            <v>нет</v>
          </cell>
          <cell r="N3">
            <v>2024</v>
          </cell>
          <cell r="O3" t="str">
            <v>ГО</v>
          </cell>
          <cell r="P3" t="str">
            <v>прошлый</v>
          </cell>
          <cell r="Q3" t="str">
            <v>Бухучет</v>
          </cell>
          <cell r="R3" t="str">
            <v>Потребители</v>
          </cell>
          <cell r="S3" t="str">
            <v>индексировать</v>
          </cell>
          <cell r="AJ3" t="str">
            <v>Водоотведение</v>
          </cell>
          <cell r="AT3" t="str">
            <v>Коагулянт - железный купорос</v>
          </cell>
          <cell r="AU3" t="str">
            <v>полугодовой</v>
          </cell>
          <cell r="BC3" t="str">
            <v>расчет</v>
          </cell>
          <cell r="BE3" t="str">
            <v>обеззараживание подземных вод бактерицидными установками</v>
          </cell>
          <cell r="BG3" t="str">
            <v>механическая очистка</v>
          </cell>
          <cell r="BI3" t="str">
            <v>железобетонная безнапорная труба</v>
          </cell>
          <cell r="BL3" t="str">
            <v>Северо-Западный</v>
          </cell>
          <cell r="BN3" t="str">
            <v>Нева</v>
          </cell>
          <cell r="BP3" t="str">
            <v>Административные расходы</v>
          </cell>
          <cell r="BU3" t="str">
            <v>прочие земельные участки</v>
          </cell>
          <cell r="BW3" t="str">
            <v>Строительства, кроме объектов социального обеспечения</v>
          </cell>
          <cell r="BX3">
            <v>1.5</v>
          </cell>
          <cell r="BZ3" t="str">
            <v>Мотоциклы и мотороллеры</v>
          </cell>
          <cell r="CB3" t="str">
            <v>Аэротенки</v>
          </cell>
          <cell r="CD3" t="str">
            <v>недвижимое</v>
          </cell>
          <cell r="CF3" t="str">
            <v>Хозяйственное ведение</v>
          </cell>
          <cell r="CH3">
            <v>25</v>
          </cell>
          <cell r="CJ3" t="str">
            <v>ОСН</v>
          </cell>
          <cell r="CP3" t="str">
            <v>Ремонтный персонал</v>
          </cell>
          <cell r="CT3" t="str">
            <v>газ</v>
          </cell>
          <cell r="CV3" t="str">
            <v>Отсутствует</v>
          </cell>
          <cell r="CX3" t="str">
            <v>Доходы (корр на сумму страховых взносов)</v>
          </cell>
          <cell r="CY3">
            <v>6</v>
          </cell>
          <cell r="DG3" t="str">
            <v>Версия регулятора</v>
          </cell>
          <cell r="DI3">
            <v>3</v>
          </cell>
          <cell r="DK3" t="str">
            <v>сухой грунт в отвал, с креплением</v>
          </cell>
          <cell r="EG3" t="str">
            <v>относимая на техническую воду</v>
          </cell>
          <cell r="EI3" t="str">
            <v>обычный</v>
          </cell>
          <cell r="EK3" t="str">
            <v>площадь</v>
          </cell>
          <cell r="EQ3" t="str">
            <v>равенство</v>
          </cell>
          <cell r="FL3" t="str">
            <v>ремонт ВНС, КНС</v>
          </cell>
          <cell r="FN3">
            <v>1</v>
          </cell>
          <cell r="FP3">
            <v>2</v>
          </cell>
          <cell r="GF3" t="str">
            <v>1 | МКД и ЧД с ХВС и ГВС, с централизованным ВО</v>
          </cell>
        </row>
        <row r="4">
          <cell r="B4" t="str">
            <v>Астраханская область</v>
          </cell>
          <cell r="E4" t="str">
            <v>Версия организации</v>
          </cell>
          <cell r="I4">
            <v>2</v>
          </cell>
          <cell r="N4">
            <v>2023</v>
          </cell>
          <cell r="O4" t="str">
            <v>с учётом возмещения / компенсации / субсидирования организации</v>
          </cell>
          <cell r="AT4" t="str">
            <v>Коагулянт - оксихлорид алюминия</v>
          </cell>
          <cell r="BE4" t="str">
            <v>на озонирование воды</v>
          </cell>
          <cell r="BG4" t="str">
            <v>на обеззараживание сточных вод</v>
          </cell>
          <cell r="BI4" t="str">
            <v xml:space="preserve">железобетонная раструбная труба </v>
          </cell>
          <cell r="BL4" t="str">
            <v>Центральный</v>
          </cell>
          <cell r="BN4" t="str">
            <v>Печора</v>
          </cell>
          <cell r="BP4" t="str">
            <v>Общепроизводственные расходы</v>
          </cell>
          <cell r="BW4" t="str">
            <v>Земельные участки, предназначенные для размещения производственных и административных зданий, коммунального хозяйства, материально-технического снабжения, сбыта и заготовок</v>
          </cell>
          <cell r="BX4">
            <v>1.5</v>
          </cell>
          <cell r="BZ4" t="str">
            <v>Автобусы</v>
          </cell>
          <cell r="CB4" t="str">
            <v>Блок первичного озонирования</v>
          </cell>
          <cell r="CF4" t="str">
            <v>Оперативное управление</v>
          </cell>
          <cell r="CH4">
            <v>37</v>
          </cell>
          <cell r="CJ4" t="str">
            <v>ЕНВД</v>
          </cell>
          <cell r="CP4" t="str">
            <v>Административный персонал</v>
          </cell>
          <cell r="CT4" t="str">
            <v>дизельное топливо</v>
          </cell>
          <cell r="CX4" t="str">
            <v>Доходы минус расходы</v>
          </cell>
          <cell r="CY4">
            <v>15</v>
          </cell>
          <cell r="DI4">
            <v>4</v>
          </cell>
          <cell r="DK4" t="str">
            <v>мокрый грунт в отвал, без креплений</v>
          </cell>
          <cell r="EG4" t="str">
            <v>относимая на водоотведение</v>
          </cell>
          <cell r="FL4" t="str">
            <v>замена/ремонт насосов</v>
          </cell>
          <cell r="FN4">
            <v>2</v>
          </cell>
          <cell r="FP4">
            <v>3</v>
          </cell>
          <cell r="GF4" t="str">
            <v>1.1 | МКД и ЧД с ХВС и ГВС, с централизованным ВО, оборудованные раковинами, мойками кухонными, унитазами, ваннами 1650 - 1700 мм, душем</v>
          </cell>
        </row>
        <row r="5">
          <cell r="B5" t="str">
            <v>Белгородская область</v>
          </cell>
          <cell r="H5">
            <v>2019</v>
          </cell>
          <cell r="I5">
            <v>3</v>
          </cell>
          <cell r="N5">
            <v>2022</v>
          </cell>
          <cell r="O5" t="str">
            <v>льготный</v>
          </cell>
          <cell r="AT5" t="str">
            <v>Коагулянт - оксихлорид алюминия 10 %</v>
          </cell>
          <cell r="BE5" t="str">
            <v>на обеззараживание воды методом электролиза (подземные воды)</v>
          </cell>
          <cell r="BG5" t="str">
            <v>на центрифугирование осадка</v>
          </cell>
          <cell r="BI5" t="str">
            <v>керамическая труба</v>
          </cell>
          <cell r="BL5" t="str">
            <v>Волго-Вятский</v>
          </cell>
          <cell r="BN5" t="str">
            <v>Северная Двина</v>
          </cell>
          <cell r="BW5" t="str">
            <v>Эксплуатация объектов инженерной инфраструктуры жилищно-коммунального комплекса</v>
          </cell>
          <cell r="BX5">
            <v>0.01</v>
          </cell>
          <cell r="BZ5" t="str">
            <v>Автомобили грузовые</v>
          </cell>
          <cell r="CB5" t="str">
            <v>Водохранилище</v>
          </cell>
          <cell r="CF5" t="str">
            <v>Концессионное соглашение</v>
          </cell>
          <cell r="CH5">
            <v>61</v>
          </cell>
          <cell r="CJ5" t="str">
            <v>УСН (Д-Р)</v>
          </cell>
          <cell r="CP5" t="str">
            <v>Цеховый персонал</v>
          </cell>
          <cell r="CT5" t="str">
            <v>прочее</v>
          </cell>
          <cell r="DI5">
            <v>5</v>
          </cell>
          <cell r="DK5" t="str">
            <v>сухой грунт в отвал, без креплений</v>
          </cell>
          <cell r="EG5" t="str">
            <v>относимая на транспортировку воды</v>
          </cell>
          <cell r="FL5" t="str">
            <v>благоустройство после ремонта</v>
          </cell>
          <cell r="FN5">
            <v>3</v>
          </cell>
          <cell r="GF5" t="str">
            <v>1.2 | МКД и ЧД с ХВС и ГВС, с централизованным ВО, оборудованные раковинами, мойками кухонными, унитазами, ваннами 1500 - 1550 мм, душем</v>
          </cell>
        </row>
        <row r="6">
          <cell r="B6" t="str">
            <v>Брянская область</v>
          </cell>
          <cell r="E6" t="str">
            <v>ЛОЖЬ</v>
          </cell>
          <cell r="H6">
            <v>2020</v>
          </cell>
          <cell r="I6">
            <v>4</v>
          </cell>
          <cell r="N6">
            <v>2021</v>
          </cell>
          <cell r="O6" t="str">
            <v>с учётом регионального стандарта</v>
          </cell>
          <cell r="AT6" t="str">
            <v>Коагулянт - оксихлорид алюминия 18 %</v>
          </cell>
          <cell r="AU6" t="str">
            <v>годовой</v>
          </cell>
          <cell r="BE6" t="str">
            <v>на обеззараживание воды методом электролиза (поверхностные воды)</v>
          </cell>
          <cell r="BG6" t="str">
            <v>на вакуум-фильтрацию осадка</v>
          </cell>
          <cell r="BI6" t="str">
            <v>поливинилхлоридная раструбная труба</v>
          </cell>
          <cell r="BL6" t="str">
            <v>Центрально-Черноземный</v>
          </cell>
          <cell r="BN6" t="str">
            <v>Прочие реки и озера</v>
          </cell>
          <cell r="BW6" t="str">
            <v>Удаление сточных вод и обработка твердых отходов</v>
          </cell>
          <cell r="BX6">
            <v>0.01</v>
          </cell>
          <cell r="BZ6" t="str">
            <v>Другие самоходные транспортные средства, машины и механизмы на пневматическом и гусеничном ходу</v>
          </cell>
          <cell r="CB6" t="str">
            <v>Воздуховики</v>
          </cell>
          <cell r="CF6" t="str">
            <v>Доверительное управление имуществом</v>
          </cell>
          <cell r="CH6">
            <v>85</v>
          </cell>
          <cell r="CJ6" t="str">
            <v>УСН (Д)</v>
          </cell>
          <cell r="CP6" t="str">
            <v>Сбытовой персонал</v>
          </cell>
          <cell r="DK6" t="str">
            <v>мокрый грунт, с креплением котлованов</v>
          </cell>
          <cell r="EG6" t="str">
            <v>относимая на транспортировку сточных вод</v>
          </cell>
          <cell r="FL6" t="str">
            <v>промывка сетей</v>
          </cell>
          <cell r="GF6" t="str">
            <v>1.3 | МКД и ЧД с ХВС и ГВС, с централизованным ВО, оборудованные раковинами, мойками кухонными, унитазами, ваннами 1200 мм, душем</v>
          </cell>
        </row>
        <row r="7">
          <cell r="B7" t="str">
            <v>Владимирская область</v>
          </cell>
          <cell r="H7">
            <v>2021</v>
          </cell>
          <cell r="I7">
            <v>5</v>
          </cell>
          <cell r="O7" t="str">
            <v>с учётом степени благоустройства</v>
          </cell>
          <cell r="AT7" t="str">
            <v>Коагулянт - оксихлорид алюминия 30 %</v>
          </cell>
          <cell r="AU7" t="str">
            <v>полугодовой</v>
          </cell>
          <cell r="BE7" t="str">
            <v>другое</v>
          </cell>
          <cell r="BG7" t="str">
            <v>на термическую сушку осадка в сушилках со встречными струями</v>
          </cell>
          <cell r="BI7" t="str">
            <v>полиэтиленовая безнапорная труба</v>
          </cell>
          <cell r="BL7" t="str">
            <v>Поволжский</v>
          </cell>
          <cell r="BN7" t="str">
            <v>Западная Двина</v>
          </cell>
          <cell r="BW7" t="str">
            <v>Сбор, очистка и распределение воды, в том числе гидротехнических очистных сооружений и сооружений водопроводно-канализационного хозяйства</v>
          </cell>
          <cell r="BX7">
            <v>0</v>
          </cell>
          <cell r="BZ7" t="str">
            <v>Снегоходы, мотосани</v>
          </cell>
          <cell r="CB7" t="str">
            <v>Вторичные отстойники</v>
          </cell>
          <cell r="CF7" t="str">
            <v>Возмездное оказание услуг</v>
          </cell>
          <cell r="CH7">
            <v>121</v>
          </cell>
          <cell r="CJ7" t="str">
            <v>Физическое лицо</v>
          </cell>
          <cell r="CP7" t="str">
            <v>Вспомогательный персонал</v>
          </cell>
          <cell r="DK7" t="str">
            <v>сухой грунт, с креплением котлованов</v>
          </cell>
          <cell r="EG7" t="str">
            <v>относимая на подвоз воды</v>
          </cell>
          <cell r="FL7" t="str">
            <v>ремонт запорной арматуры</v>
          </cell>
          <cell r="GF7" t="str">
            <v>1.4 | МКД и ЧД с ХВС и ГВС, с централизованным ВО, оборудованные раковинами, мойками кухонными, унитазами, ваннами без душа</v>
          </cell>
        </row>
        <row r="8">
          <cell r="B8" t="str">
            <v>Волгоградская область</v>
          </cell>
          <cell r="H8">
            <v>2022</v>
          </cell>
          <cell r="I8">
            <v>6</v>
          </cell>
          <cell r="O8" t="str">
            <v>перекрёстное субсидирование</v>
          </cell>
          <cell r="AT8" t="str">
            <v>Коагулянт - полиоксихлорид алюминия</v>
          </cell>
          <cell r="AU8" t="str">
            <v>годовой (расширенное)</v>
          </cell>
          <cell r="BG8" t="str">
            <v>другое</v>
          </cell>
          <cell r="BI8" t="str">
            <v>полиэтиленовая труба</v>
          </cell>
          <cell r="BL8" t="str">
            <v>Северо-Кавказский</v>
          </cell>
          <cell r="BN8" t="str">
            <v>Днепр</v>
          </cell>
          <cell r="BW8" t="str">
            <v>Земельные участки, занятые водными объектами</v>
          </cell>
          <cell r="BX8">
            <v>0.01</v>
          </cell>
          <cell r="BZ8" t="str">
            <v>Катера, моторные лодки и другие водные транспортные средства</v>
          </cell>
          <cell r="CB8" t="str">
            <v>Генераторы озона</v>
          </cell>
          <cell r="CH8">
            <v>181</v>
          </cell>
          <cell r="CP8" t="str">
            <v/>
          </cell>
          <cell r="DK8" t="str">
            <v>мокрый грунт</v>
          </cell>
          <cell r="EG8" t="str">
            <v>относимая на подключение к ЦСВС</v>
          </cell>
          <cell r="FL8" t="str">
            <v>ремонт колодцев (ВК/КК);</v>
          </cell>
          <cell r="GF8" t="str">
            <v>1.5 | МКД и ЧД с ХВС и ГВС, с централизованным ВО, оборудованные раковинами, мойками кухонными, унитазами, душем</v>
          </cell>
        </row>
        <row r="9">
          <cell r="B9" t="str">
            <v>Вологодская область</v>
          </cell>
          <cell r="H9">
            <v>2023</v>
          </cell>
          <cell r="I9">
            <v>7</v>
          </cell>
          <cell r="AT9" t="str">
            <v>Коагулянт - полиоксихлорид алюминия 10 %</v>
          </cell>
          <cell r="BI9" t="str">
            <v>стальная труба</v>
          </cell>
          <cell r="BL9" t="str">
            <v>Уральский</v>
          </cell>
          <cell r="BN9" t="str">
            <v>Дон</v>
          </cell>
          <cell r="BW9" t="str">
            <v>Земельные участки, предназначенные для искусственно созданных внутренних водных путей, причалов, пристаней, водных путей и трубопроводов</v>
          </cell>
          <cell r="BX9">
            <v>1.5</v>
          </cell>
          <cell r="BZ9" t="str">
            <v>Яхты и другие парусно-моторные суда</v>
          </cell>
          <cell r="CB9" t="str">
            <v>Двухъярусные отстойники</v>
          </cell>
          <cell r="CH9">
            <v>241</v>
          </cell>
          <cell r="DK9" t="str">
            <v>сухой грунт</v>
          </cell>
          <cell r="EG9" t="str">
            <v>относимая на подключение к ЦСВО</v>
          </cell>
          <cell r="FL9" t="str">
            <v>прочее</v>
          </cell>
          <cell r="GF9" t="str">
            <v>1.6 | МКД и ЧД с ХВС и ГВС, с централизованным ВО, оборудованные раковинами, мойками кухонными, унитазами</v>
          </cell>
        </row>
        <row r="10">
          <cell r="B10" t="str">
            <v>Воронежская область</v>
          </cell>
          <cell r="H10">
            <v>2024</v>
          </cell>
          <cell r="I10">
            <v>8</v>
          </cell>
          <cell r="AT10" t="str">
            <v>Коагулянт - полиоксихлорид алюминия 18 %</v>
          </cell>
          <cell r="BI10" t="str">
            <v>чугунная труба</v>
          </cell>
          <cell r="BL10" t="str">
            <v>Западно-Сибирский</v>
          </cell>
          <cell r="BN10" t="str">
            <v>Запалная Двина</v>
          </cell>
          <cell r="BW10" t="str">
            <v>Магистральных трубопроводов, линий связи и линий электропередачи, а также взаимосвязанные вспомогательные работы</v>
          </cell>
          <cell r="BX10">
            <v>0.01</v>
          </cell>
          <cell r="BZ10" t="str">
            <v>Гидроциклы</v>
          </cell>
          <cell r="CB10" t="str">
            <v>Запорная арматура</v>
          </cell>
          <cell r="CH10">
            <v>301</v>
          </cell>
          <cell r="EG10" t="str">
            <v>относимая на производство тепловой энергии</v>
          </cell>
          <cell r="GF10" t="str">
            <v>2 | МКД и ЧД с ХВС, с централизованным ВО</v>
          </cell>
        </row>
        <row r="11">
          <cell r="B11" t="str">
            <v>г. Москва</v>
          </cell>
          <cell r="H11">
            <v>2025</v>
          </cell>
          <cell r="I11">
            <v>9</v>
          </cell>
          <cell r="AT11" t="str">
            <v>Коагулянт - полиоксихлорид алюминия 30 %</v>
          </cell>
          <cell r="BI11" t="str">
            <v>поливинилхлоридная раструбная труба</v>
          </cell>
          <cell r="BL11" t="str">
            <v>Восточно-Сибирский</v>
          </cell>
          <cell r="BN11" t="str">
            <v>Кубань</v>
          </cell>
          <cell r="BW11" t="str">
            <v>Земельные участки улиц, проспектов, площадей, шоссе, аллей, бульваров, застав, переулков, проездов, тупиков</v>
          </cell>
          <cell r="BX11">
            <v>0.01</v>
          </cell>
          <cell r="BZ11" t="str">
            <v>Несамоходные (буксирные) суда (с каждой регистровой тонны валовой вместимости)</v>
          </cell>
          <cell r="CB11" t="str">
            <v>Здания</v>
          </cell>
          <cell r="CH11">
            <v>361</v>
          </cell>
          <cell r="EG11" t="str">
            <v>относимая на прочие виды деятельности</v>
          </cell>
          <cell r="GF11" t="str">
            <v>2.1 | МКД и ЧД с ХВС, с централизованным ВО, оборудованные водонагревателями, раковинами, мойками кухонными, унитазами, ваннами 1650 - 1700 мм, душем</v>
          </cell>
        </row>
        <row r="12">
          <cell r="B12" t="str">
            <v>г.Санкт-Петербург</v>
          </cell>
          <cell r="I12">
            <v>10</v>
          </cell>
          <cell r="AT12" t="str">
            <v>Коагулянт - сульфат алюминия</v>
          </cell>
          <cell r="BI12" t="str">
            <v>полиэтиленовая безнапорная труба</v>
          </cell>
          <cell r="BL12" t="str">
            <v>Дальневосточный</v>
          </cell>
          <cell r="BN12" t="str">
            <v>Самур</v>
          </cell>
          <cell r="BW12" t="str">
            <v>Земельные участки, занятые водными объектами, изъятыми из оборота или ограниченными в обороте в соответствии с законодательством Российской Федерации</v>
          </cell>
          <cell r="BX12">
            <v>0.01</v>
          </cell>
          <cell r="BZ12" t="str">
            <v>Самолеты, вертолеты и иные воздушные суда, имеющие двигатели (с каждой лошадиной силы)</v>
          </cell>
          <cell r="CB12" t="str">
            <v>Иловые площадки</v>
          </cell>
          <cell r="GF12" t="str">
            <v>2.2 | МКД и ЧД с ХВС, с централизованным ВО, оборудованные водонагревателями, раковинами, мойками кухонными, унитазами, ваннами 1500 - 1550 мм, душем</v>
          </cell>
        </row>
        <row r="13">
          <cell r="B13" t="str">
            <v>г.Севастополь</v>
          </cell>
          <cell r="I13">
            <v>11</v>
          </cell>
          <cell r="AT13" t="str">
            <v>Коагулянт - прочие</v>
          </cell>
          <cell r="BI13" t="str">
            <v>полиэтиленовая труба</v>
          </cell>
          <cell r="BL13" t="str">
            <v>Калининградская область</v>
          </cell>
          <cell r="BN13" t="str">
            <v>Сулак</v>
          </cell>
          <cell r="BW13" t="str">
            <v>Земельные участки под полосами отвода водоемов, каналов и коллекторов, набережные</v>
          </cell>
          <cell r="BX13">
            <v>0.01</v>
          </cell>
          <cell r="BZ13" t="str">
            <v>Водные и воздушные транспортные средства, не имеющие двигателей (с единицы транспортного средства)</v>
          </cell>
          <cell r="CB13" t="str">
            <v>Каналы</v>
          </cell>
          <cell r="GF13" t="str">
            <v>2.3 | МКД и ЧД с ХВС, с централизованным ВО, оборудованные водонагревателями, раковинами, мойками кухонными, унитазами, ваннами 1200 мм, душем</v>
          </cell>
        </row>
        <row r="14">
          <cell r="B14" t="str">
            <v>Еврейская автономная область</v>
          </cell>
          <cell r="I14">
            <v>12</v>
          </cell>
          <cell r="L14" t="str">
            <v>Тариф на питьевую воду</v>
          </cell>
          <cell r="AT14" t="str">
            <v>Флокулянт - Магнафлок</v>
          </cell>
          <cell r="AY14" t="str">
            <v>низковольтная КНС</v>
          </cell>
          <cell r="BI14" t="str">
            <v>стальная труба</v>
          </cell>
          <cell r="BN14" t="str">
            <v>Терек</v>
          </cell>
          <cell r="BZ14" t="str">
            <v>Самолеты, имеющие реактивные двигатели (с каждого килограмма силы тяги)</v>
          </cell>
          <cell r="CB14" t="str">
            <v>Контактные камеры</v>
          </cell>
          <cell r="GF14" t="str">
            <v>2.4 | МКД и ЧД с ХВС, с централизованным ВО, оборудованные водонагревателями или без них, оборудованные раковинами, мойками кухонными, унитазами, ваннами без душа</v>
          </cell>
        </row>
        <row r="15">
          <cell r="B15" t="str">
            <v>Забайкальский край</v>
          </cell>
          <cell r="L15" t="str">
            <v>Тариф на техническую воду</v>
          </cell>
          <cell r="AT15" t="str">
            <v>Флокулянт - Праестол</v>
          </cell>
          <cell r="AY15" t="str">
            <v>высоковольтная КНС</v>
          </cell>
          <cell r="BI15" t="str">
            <v>чугунная труба</v>
          </cell>
          <cell r="BN15" t="str">
            <v>Обь</v>
          </cell>
          <cell r="BZ15" t="str">
            <v>Прочие (прицеп)</v>
          </cell>
          <cell r="CB15" t="str">
            <v>Метантенки</v>
          </cell>
          <cell r="GF15" t="str">
            <v>2.5 | МКД и ЧД с ХВС, с централизованным ВО, оборудованные водонагревателями, раковинами, мойками кухонными, унитазами, душем</v>
          </cell>
        </row>
        <row r="16">
          <cell r="B16" t="str">
            <v>Ивановская область</v>
          </cell>
          <cell r="L16" t="str">
            <v>Тариф на транспортировку воды</v>
          </cell>
          <cell r="AT16" t="str">
            <v>Флокулянт - Праестол 853 BC</v>
          </cell>
          <cell r="AY16" t="str">
            <v>очистная станция</v>
          </cell>
          <cell r="BN16" t="str">
            <v>Урал</v>
          </cell>
          <cell r="CB16" t="str">
            <v>Мешалки</v>
          </cell>
          <cell r="GF16" t="str">
            <v>2.6 | МКД и ЧД с ХВС, с централизованным ВО, оборудованные водонагревателями или без них, оборудованные раковинами, мойками кухонными, унитазами</v>
          </cell>
        </row>
        <row r="17">
          <cell r="B17" t="str">
            <v>Иркутская область</v>
          </cell>
          <cell r="L17" t="str">
            <v>Тариф на подвоз воды</v>
          </cell>
          <cell r="AO17" t="str">
            <v>без дифференциации</v>
          </cell>
          <cell r="AR17" t="str">
            <v>хоз. Способ</v>
          </cell>
          <cell r="AT17" t="str">
            <v>Флокулянт - Праестол 650 BC</v>
          </cell>
          <cell r="AY17" t="str">
            <v>1 подъёма</v>
          </cell>
          <cell r="BN17" t="str">
            <v>Амур</v>
          </cell>
          <cell r="CB17" t="str">
            <v>Напорные башни</v>
          </cell>
          <cell r="GF17" t="str">
            <v>2.7 | МКД и ЧД с ХВС, с централизованным ВО, оборудованные водонагревателями или без них, оборудованные раковинами, мойками кухонными</v>
          </cell>
        </row>
        <row r="18">
          <cell r="B18" t="str">
            <v>Кабардино-Балкарская республика</v>
          </cell>
          <cell r="AO18" t="str">
            <v>разделение внутри одной сметы</v>
          </cell>
          <cell r="AR18" t="str">
            <v>подряд. Способ</v>
          </cell>
          <cell r="AT18" t="str">
            <v>Флокулянт - Праестол 2515 TR</v>
          </cell>
          <cell r="AY18" t="str">
            <v>2 подъёма</v>
          </cell>
          <cell r="BN18" t="str">
            <v>Енисей</v>
          </cell>
          <cell r="CB18" t="str">
            <v>Напорные трубопроводы</v>
          </cell>
          <cell r="GF18" t="str">
            <v>2.8 | МКД и ЧД с ХВС, с централизованным ВО, оборудованные водонагревателями или без них, оборудованные раковинами, унитазами</v>
          </cell>
        </row>
        <row r="19">
          <cell r="B19" t="str">
            <v>Калининградская область</v>
          </cell>
          <cell r="AO19" t="str">
            <v>с дифференциацией (несколько смет)</v>
          </cell>
          <cell r="AT19" t="str">
            <v>Флокулянт - Гринлайф К 47</v>
          </cell>
          <cell r="AY19" t="str">
            <v>3 подъёма</v>
          </cell>
          <cell r="BN19" t="str">
            <v>Лена</v>
          </cell>
          <cell r="CB19" t="str">
            <v>Насосные агрегаты</v>
          </cell>
          <cell r="GF19" t="str">
            <v>2.9 | МКД и ЧД с ХВС, с централизованным ВО, оборудованные водонагревателями или без них, оборудованные раковинами</v>
          </cell>
        </row>
        <row r="20">
          <cell r="B20" t="str">
            <v>Калужская область</v>
          </cell>
          <cell r="AT20" t="str">
            <v>Флокулянт - Гринлайф К 41</v>
          </cell>
          <cell r="AY20" t="str">
            <v>4 подъёма</v>
          </cell>
          <cell r="BN20" t="str">
            <v>Озеро Байкал и его бассейн</v>
          </cell>
          <cell r="CB20" t="str">
            <v>Осветлители</v>
          </cell>
          <cell r="GF20" t="str">
            <v>3 | МКД и ЧД с ХВС и ГВС (или без него), с местной канализацией (в том числе выгребные ямы)</v>
          </cell>
        </row>
        <row r="21">
          <cell r="B21" t="str">
            <v>Камчатский край</v>
          </cell>
          <cell r="AT21" t="str">
            <v>Флокулянт - Гринлайф А 10 ПВ</v>
          </cell>
          <cell r="AY21" t="str">
            <v>водозабор</v>
          </cell>
          <cell r="BN21" t="str">
            <v>Неман</v>
          </cell>
          <cell r="CB21" t="str">
            <v>Первичные отстойники</v>
          </cell>
          <cell r="GF21" t="str">
            <v>3.1 | МКД и ЧД с ХВС, с местной канализацией (в том числе выгребные ямы), оборудованные водонагревателями, раковинами, мойками кухонными, унитазами, ваннами 1650 - 1700 мм, душем</v>
          </cell>
        </row>
        <row r="22">
          <cell r="B22" t="str">
            <v>Карачаево-Черкесская республика</v>
          </cell>
          <cell r="AL22" t="str">
            <v>насосный агрегат</v>
          </cell>
          <cell r="AT22" t="str">
            <v>Флокулянт - прочие</v>
          </cell>
          <cell r="AY22" t="str">
            <v>артезианская скважина</v>
          </cell>
          <cell r="CB22" t="str">
            <v>Песколовки</v>
          </cell>
          <cell r="GF22" t="str">
            <v>3.2 | МКД и ЧД с ХВС и ГВС, с местной канализацией (в том числе выгребные ямы), оборудованные раковинами, мойками кухонными, унитазами, ваннами 1650 - 1700 мм, душем</v>
          </cell>
        </row>
        <row r="23">
          <cell r="B23" t="str">
            <v>Кемеровская область</v>
          </cell>
          <cell r="AL23" t="str">
            <v>оборудование для отопления</v>
          </cell>
          <cell r="AQ23" t="str">
            <v>операционные расходы</v>
          </cell>
          <cell r="AT23" t="str">
            <v>Реагент - агар питательный</v>
          </cell>
          <cell r="AY23" t="str">
            <v>подкачивающая станция</v>
          </cell>
          <cell r="CB23" t="str">
            <v>Плотина</v>
          </cell>
          <cell r="GF23" t="str">
            <v>3.3 | МКД и ЧД с ХВС, с местной канализацией (в том числе выгребные ямы), оборудованные водонагревателями, раковинами, мойками кухонными, унитазами, ваннами 1500 - 1550 мм, душем</v>
          </cell>
        </row>
        <row r="24">
          <cell r="B24" t="str">
            <v>Кировская область</v>
          </cell>
          <cell r="AL24" t="str">
            <v>прочее оборудование</v>
          </cell>
          <cell r="AQ24" t="str">
            <v>неподконтрольные расходы</v>
          </cell>
          <cell r="AT24" t="str">
            <v>Реагент - агар Эндо</v>
          </cell>
          <cell r="AY24" t="str">
            <v>очистная станция</v>
          </cell>
          <cell r="CB24" t="str">
            <v>Подогреватели</v>
          </cell>
          <cell r="GF24" t="str">
            <v>3.4 | МКД и ЧД с ХВС, с местной канализацией (в том числе выгребные ямы), оборудованные водонагревателями, раковинами, мойками кухонными, унитазами, ваннами 1200 мм, душем</v>
          </cell>
        </row>
        <row r="25">
          <cell r="B25" t="str">
            <v>Костромская область</v>
          </cell>
          <cell r="AL25" t="str">
            <v>силовой трансформатор</v>
          </cell>
          <cell r="AT25" t="str">
            <v>Реагент - алюминий окись</v>
          </cell>
          <cell r="CB25" t="str">
            <v>Преобразователи частоты</v>
          </cell>
          <cell r="GF25" t="str">
            <v>3.5 | МКД и ЧД с ХВС, с местной канализацией (в том числе выгребные ямы), оборудованные водонагревателями или без них, раковинами, мойками кухонными, унитазами, ваннами без душа</v>
          </cell>
        </row>
        <row r="26">
          <cell r="B26" t="str">
            <v>Краснодарский край</v>
          </cell>
          <cell r="AT26" t="str">
            <v>Реагент - алюминий сернокислый</v>
          </cell>
          <cell r="CB26" t="str">
            <v>Приборы учета</v>
          </cell>
          <cell r="GF26" t="str">
            <v>3.6 | МКД и ЧД с ХВС, с местной канализацией (в том числе выгребные ямы), оборудованные водонагревателями или без них, раковинами, унитазами, ваннами без душа</v>
          </cell>
        </row>
        <row r="27">
          <cell r="B27" t="str">
            <v>Красноярский край</v>
          </cell>
          <cell r="AL27" t="str">
            <v>одноставочный</v>
          </cell>
          <cell r="AQ27" t="str">
            <v>операционные расходы</v>
          </cell>
          <cell r="AT27" t="str">
            <v>Реагент - аммиак</v>
          </cell>
          <cell r="CB27" t="str">
            <v>Прочее</v>
          </cell>
          <cell r="GF27" t="str">
            <v>3.7 | МКД и ЧД с ХВС, с местной канализацией (в том числе выгребные ямы), оборудованные водонагревателями, раковинами, мойками кухонными, унитазами, душем</v>
          </cell>
        </row>
        <row r="28">
          <cell r="B28" t="str">
            <v>Курганская область</v>
          </cell>
          <cell r="AL28" t="str">
            <v>двухставочный</v>
          </cell>
          <cell r="AQ28" t="str">
            <v>неподконтрольные расходы</v>
          </cell>
          <cell r="AT28" t="str">
            <v>Реагент - аммиачная вода</v>
          </cell>
          <cell r="CB28" t="str">
            <v>Резервуары</v>
          </cell>
          <cell r="GF28" t="str">
            <v>3.8 | МКД и ЧД с ХВС, с местной канализацией (в том числе выгребные ямы), оборудованные водонагревателями или без них, оборудованные раковинами, мойками кухонными, унитазами</v>
          </cell>
        </row>
        <row r="29">
          <cell r="B29" t="str">
            <v>Курская область</v>
          </cell>
          <cell r="L29" t="str">
            <v>Oracle</v>
          </cell>
          <cell r="W29" t="str">
            <v>без разбивки по напряжению</v>
          </cell>
          <cell r="AQ29" t="str">
            <v>амортизация</v>
          </cell>
          <cell r="AT29" t="str">
            <v>Реагент - аммоний</v>
          </cell>
          <cell r="CB29" t="str">
            <v>Решетки</v>
          </cell>
          <cell r="GF29" t="str">
            <v>3.9 | МКД и ЧД с ХВС и ГВС, с местной канализацией (в том числе выгребные ямы), оборудованные раковинами, мойками кухонными, унитазами</v>
          </cell>
        </row>
        <row r="30">
          <cell r="B30" t="str">
            <v>Ленинградская область</v>
          </cell>
          <cell r="L30" t="str">
            <v>Postgre</v>
          </cell>
          <cell r="W30" t="str">
            <v>ВН</v>
          </cell>
          <cell r="AQ30" t="str">
            <v>электроэнергия</v>
          </cell>
          <cell r="AT30" t="str">
            <v>Реагент - аммоний хлористый</v>
          </cell>
          <cell r="CB30" t="str">
            <v>Транспорт</v>
          </cell>
          <cell r="GF30" t="str">
            <v>3.10 | МКД и ЧД с ХВС, с местной канализацией (в том числе выгребные ямы), оборудованные водонагревателями или без них, раковинами, мойками кухонными</v>
          </cell>
        </row>
        <row r="31">
          <cell r="B31" t="str">
            <v>Липецкая область</v>
          </cell>
          <cell r="L31" t="str">
            <v>нет</v>
          </cell>
          <cell r="W31" t="str">
            <v>СН1</v>
          </cell>
          <cell r="AT31" t="str">
            <v>Реагент - барий хлористый</v>
          </cell>
          <cell r="CB31" t="str">
            <v>Трансформаторы</v>
          </cell>
          <cell r="GF31" t="str">
            <v>3.11 | МКД и ЧД с ХВС и ГВС, с местной канализацией (в том числе выгребные ямы), оборудованные раковинами, мойками кухонными</v>
          </cell>
        </row>
        <row r="32">
          <cell r="B32" t="str">
            <v>Магаданская область</v>
          </cell>
          <cell r="W32" t="str">
            <v>СН2</v>
          </cell>
          <cell r="AT32" t="str">
            <v>Реагент - биоксимин</v>
          </cell>
          <cell r="CB32" t="str">
            <v>Трубопроводы</v>
          </cell>
          <cell r="GF32" t="str">
            <v>3.12 | МКД и ЧД с ХВС, с местной канализацией (в том числе выгребные ямы), оборудованные водонагревателями или без них, раковинами</v>
          </cell>
        </row>
        <row r="33">
          <cell r="B33" t="str">
            <v>Московская область</v>
          </cell>
          <cell r="W33" t="str">
            <v>НН</v>
          </cell>
          <cell r="AT33" t="str">
            <v>Реагент - бромфеноловый синий</v>
          </cell>
          <cell r="CB33" t="str">
            <v>Сетки</v>
          </cell>
          <cell r="GF33" t="str">
            <v>3.13 | МКД и ЧД с ХВС, с местной канализацией (в том числе выгребные ямы), оборудованные водонагревателями или без них, раковинами, унитазами</v>
          </cell>
        </row>
        <row r="34">
          <cell r="B34" t="str">
            <v>Мурманская область</v>
          </cell>
          <cell r="L34" t="str">
            <v>НТП</v>
          </cell>
          <cell r="AT34" t="str">
            <v>Реагент - водорода перекись</v>
          </cell>
          <cell r="CB34" t="str">
            <v>Системы вентиляции</v>
          </cell>
          <cell r="GF34" t="str">
            <v>3.14 | МКД и ЧД с ХВС, с местной канализацией (в том числе выгребные ямы), оборудованные водонагревателями, раковинами, мойками кухонными, душем</v>
          </cell>
        </row>
        <row r="35">
          <cell r="B35" t="str">
            <v>Ненецкий автономный округ</v>
          </cell>
          <cell r="L35" t="str">
            <v>Старая система</v>
          </cell>
          <cell r="AT35" t="str">
            <v>Реагент - гексан</v>
          </cell>
          <cell r="CB35" t="str">
            <v>Системы очистки воды</v>
          </cell>
          <cell r="GF35" t="str">
            <v>3.15 | МКД и ЧД с ХВС, с местной канализацией (в том числе выгребные ямы), оборудованные водонагревателями или без них, раковинами, мойками кухонными, ваннами без душа</v>
          </cell>
        </row>
        <row r="36">
          <cell r="B36" t="str">
            <v>Нижегородская область</v>
          </cell>
          <cell r="W36" t="str">
            <v>ГН</v>
          </cell>
          <cell r="AT36" t="str">
            <v>Реагент - гидроксиламин солянокислый</v>
          </cell>
          <cell r="CB36" t="str">
            <v>Склад аммачной воды</v>
          </cell>
          <cell r="GF36" t="str">
            <v>3.16 | МКД и ЧД с ХВС, с местной канализацией (в том числе выгребные ямы), оборудованные водонагревателями или без них, душем, мойками кухонными, унитазом</v>
          </cell>
        </row>
        <row r="37">
          <cell r="B37" t="str">
            <v>Новгородская область</v>
          </cell>
          <cell r="W37" t="str">
            <v>ВН</v>
          </cell>
          <cell r="AT37" t="str">
            <v>Реагент - гидрохлорид кальция</v>
          </cell>
          <cell r="CB37" t="str">
            <v>Склад гипохлорита натрия</v>
          </cell>
          <cell r="GF37" t="str">
            <v>4 | МКД (общежития) с ХВС и ГВС (или без него), с централизованным ВО</v>
          </cell>
        </row>
        <row r="38">
          <cell r="B38" t="str">
            <v>Новосибирская область</v>
          </cell>
          <cell r="W38" t="str">
            <v>СН1</v>
          </cell>
          <cell r="AT38" t="str">
            <v>Реагент - гипохлорит кальция</v>
          </cell>
          <cell r="CB38" t="str">
            <v>Смеситель</v>
          </cell>
          <cell r="GF38" t="str">
            <v>4.1 | МКД (общежития) с ХВС и ГВС, с централизованным ВО, оборудованные общими душевыми, раковинами, унитазами</v>
          </cell>
        </row>
        <row r="39">
          <cell r="B39" t="str">
            <v>Омская область</v>
          </cell>
          <cell r="W39" t="str">
            <v>СН2</v>
          </cell>
          <cell r="AT39" t="str">
            <v>Реагент - гипохлорит натрия</v>
          </cell>
          <cell r="CB39" t="str">
            <v>Ультрафиолетовые установки</v>
          </cell>
          <cell r="GF39" t="str">
            <v>4.2 | МКД (общежития) с ХВС, с централизованным ВО, оборудованные водонагревателями, общими душевыми, раковинами, унитазами</v>
          </cell>
        </row>
        <row r="40">
          <cell r="B40" t="str">
            <v>Оренбургская область</v>
          </cell>
          <cell r="W40" t="str">
            <v>НН</v>
          </cell>
          <cell r="AT40" t="str">
            <v>Реагент - глицерин</v>
          </cell>
          <cell r="CB40" t="str">
            <v>Фильтры</v>
          </cell>
          <cell r="GF40" t="str">
            <v>4.3 | МКД (общежития) с ХВС и ГВС, с местной канализацией (в том числе выгребные ямы), оборудованные раковинами, мойками кухонными, унитазами</v>
          </cell>
        </row>
        <row r="41">
          <cell r="B41" t="str">
            <v>Орловская область</v>
          </cell>
          <cell r="AT41" t="str">
            <v>Реагент - дифенилкарбазид</v>
          </cell>
          <cell r="CB41" t="str">
            <v>Центральный склад</v>
          </cell>
          <cell r="GF41" t="str">
            <v>4.4 | МКД (общежития) с ХВС и ГВС, с централизованным ВО, оборудованные раковинами, унитазами</v>
          </cell>
        </row>
        <row r="42">
          <cell r="B42" t="str">
            <v>Пензенская область</v>
          </cell>
          <cell r="AT42" t="str">
            <v>Реагент - дифенилкарбазон</v>
          </cell>
          <cell r="CB42" t="str">
            <v>Цеховый склад</v>
          </cell>
          <cell r="GF42" t="str">
            <v>4.5 | МКД (общежития) с ХВС, с централизованным ВО, оборудованные мойками кухонными, раковинами, унитазами</v>
          </cell>
        </row>
        <row r="43">
          <cell r="B43" t="str">
            <v>Пермский край</v>
          </cell>
          <cell r="AT43" t="str">
            <v>Реагент - железо сернокислое</v>
          </cell>
          <cell r="GF43" t="str">
            <v>5 | МКД и ЧД с ХВС, без ВО</v>
          </cell>
        </row>
        <row r="44">
          <cell r="B44" t="str">
            <v>Приморский край</v>
          </cell>
          <cell r="AT44" t="str">
            <v>Реагент - железо трёххлористое</v>
          </cell>
          <cell r="GF44" t="str">
            <v>5.1 | МКД и ЧД с ХВС, без ВО, оборудованные раковинами, мойками кухонными</v>
          </cell>
        </row>
        <row r="45">
          <cell r="B45" t="str">
            <v>Псковская область</v>
          </cell>
          <cell r="AT45" t="str">
            <v>Реагент - известь негашёная (порошок)</v>
          </cell>
          <cell r="GF45" t="str">
            <v>5.2 | МКД и ЧД с ХВС, без ВО, оборудованные раковинами</v>
          </cell>
        </row>
        <row r="46">
          <cell r="B46" t="str">
            <v>Республика Адыгея</v>
          </cell>
          <cell r="AT46" t="str">
            <v>Реагент - известь негашёная гидратная</v>
          </cell>
          <cell r="GF46" t="str">
            <v>6 | МКД и ЧД с водопользованием из водоразборных колонок</v>
          </cell>
        </row>
        <row r="47">
          <cell r="B47" t="str">
            <v>Республика Алтай</v>
          </cell>
          <cell r="AT47" t="str">
            <v>Реагент - известь хлорная</v>
          </cell>
          <cell r="GF47" t="str">
            <v>Система ГВС без полотенцесушителя</v>
          </cell>
        </row>
        <row r="48">
          <cell r="B48" t="str">
            <v>Республика Башкортостан</v>
          </cell>
          <cell r="AT48" t="str">
            <v>Реагент - калий азотнокислый</v>
          </cell>
          <cell r="GF48" t="str">
            <v>Система ГВС без полотенцесушителя, без дополнительного преобразования на тепловых пунктах</v>
          </cell>
        </row>
        <row r="49">
          <cell r="B49" t="str">
            <v>Республика Бурятия</v>
          </cell>
          <cell r="AT49" t="str">
            <v>Реагент - калий двухромовокислый</v>
          </cell>
          <cell r="GF49" t="str">
            <v>Система ГВС без полотенцесушителя, с дополнительным преобразованием на тепловых пунктах</v>
          </cell>
        </row>
        <row r="50">
          <cell r="B50" t="str">
            <v>Республика Дагестан</v>
          </cell>
          <cell r="AT50" t="str">
            <v>Реагент - калий йодистый</v>
          </cell>
          <cell r="GF50" t="str">
            <v>Система ГВС с полотенцесушителем</v>
          </cell>
        </row>
        <row r="51">
          <cell r="B51" t="str">
            <v>Республика Ингушетия</v>
          </cell>
          <cell r="AT51" t="str">
            <v>Реагент - калий марганцевокислый</v>
          </cell>
          <cell r="GF51" t="str">
            <v>Система ГВС с полотенцесушителем, без дополнительного преобразования на тепловых пунктах</v>
          </cell>
        </row>
        <row r="52">
          <cell r="B52" t="str">
            <v>Республика Калмыкия</v>
          </cell>
          <cell r="AT52" t="str">
            <v>Реагент - калий фосфорнокислый</v>
          </cell>
          <cell r="GF52" t="str">
            <v>Система ГВС с полотенцесушителем, с дополнительным преобразованием на тепловых пунктах</v>
          </cell>
        </row>
        <row r="53">
          <cell r="B53" t="str">
            <v>Республика Карелия</v>
          </cell>
          <cell r="AT53" t="str">
            <v>Реагент - калий хлористый</v>
          </cell>
          <cell r="GF53" t="str">
            <v>Система ГВС с изолированными стояками, без полотенцесушителей</v>
          </cell>
        </row>
        <row r="54">
          <cell r="B54" t="str">
            <v>Республика Коми</v>
          </cell>
          <cell r="AT54" t="str">
            <v>Реагент - калий-натрий виннокислый</v>
          </cell>
          <cell r="GF54" t="str">
            <v>Система ГВС с изолированными стояками, с полотенцесушителями</v>
          </cell>
        </row>
        <row r="55">
          <cell r="B55" t="str">
            <v>Республика Крым</v>
          </cell>
          <cell r="AT55" t="str">
            <v>Реагент - кальций углекислый</v>
          </cell>
          <cell r="GF55" t="str">
            <v>Система ГВС с неизолированными стояками, без полотенцесушителей</v>
          </cell>
        </row>
        <row r="56">
          <cell r="B56" t="str">
            <v>Республика Марий Эл</v>
          </cell>
          <cell r="AT56" t="str">
            <v>Реагент - кальций хлористый</v>
          </cell>
          <cell r="GF56" t="str">
            <v>Система ГВС с неизолированными стояками, с полотенцесушителями</v>
          </cell>
        </row>
        <row r="57">
          <cell r="B57" t="str">
            <v>Республика Мордовия</v>
          </cell>
          <cell r="AT57" t="str">
            <v>Реагент - кальция гипохлорит</v>
          </cell>
          <cell r="GF57" t="str">
            <v>Система ГВС с наружной сетью, с изолированными стояками, без полотенцесушителей</v>
          </cell>
        </row>
        <row r="58">
          <cell r="B58" t="str">
            <v>Республика Саха (Якутия)</v>
          </cell>
          <cell r="AT58" t="str">
            <v>Реагент - кварцевый песок</v>
          </cell>
          <cell r="GF58" t="str">
            <v>Система ГВС с наружной сетью, с изолированными стояками, с полотенцесушителями</v>
          </cell>
        </row>
        <row r="59">
          <cell r="B59" t="str">
            <v>Республика Северная Осетия-Алания</v>
          </cell>
          <cell r="AT59" t="str">
            <v>Реагент - кислота азотная</v>
          </cell>
          <cell r="GF59" t="str">
            <v>Система ГВС с наружной сетью, с неизолированными стояками, без полотенцесушителей</v>
          </cell>
        </row>
        <row r="60">
          <cell r="B60" t="str">
            <v>Республика Татарстан</v>
          </cell>
          <cell r="AT60" t="str">
            <v>Реагент - кислота аскорбиновая</v>
          </cell>
          <cell r="GF60" t="str">
            <v>Система ГВС с наружной сетью, с неизолированными стояками, с полотенцесушителями</v>
          </cell>
        </row>
        <row r="61">
          <cell r="B61" t="str">
            <v>Республика Тыва</v>
          </cell>
          <cell r="AT61" t="str">
            <v>Реагент - кислота лимонная</v>
          </cell>
          <cell r="GF61" t="str">
            <v>Система ГВС без наружной сети, с изолированными стояками, без полотенцесушителей</v>
          </cell>
        </row>
        <row r="62">
          <cell r="B62" t="str">
            <v>Республика Хакасия</v>
          </cell>
          <cell r="AT62" t="str">
            <v>Реагент - кислота розоловая (аурин)</v>
          </cell>
          <cell r="GF62" t="str">
            <v>Система ГВС без наружной сети, с изолированными стояками, с полотенцесушителями</v>
          </cell>
        </row>
        <row r="63">
          <cell r="B63" t="str">
            <v>Ростовская область</v>
          </cell>
          <cell r="AT63" t="str">
            <v>Реагент - кислота серная</v>
          </cell>
          <cell r="GF63" t="str">
            <v>Система ГВС без наружной сети, с неизолированными стояками, без полотенцесушителей</v>
          </cell>
        </row>
        <row r="64">
          <cell r="B64" t="str">
            <v>Рязанская область</v>
          </cell>
          <cell r="AT64" t="str">
            <v>Реагент - кислота соляная</v>
          </cell>
          <cell r="GF64" t="str">
            <v>Система ГВС без наружной сети, с неизолированными стояками, с полотенцесушителями</v>
          </cell>
        </row>
        <row r="65">
          <cell r="B65" t="str">
            <v>Самарская область</v>
          </cell>
          <cell r="AT65" t="str">
            <v>Реагент - кислота уксусная</v>
          </cell>
          <cell r="GF65" t="str">
            <v>МКД</v>
          </cell>
        </row>
        <row r="66">
          <cell r="B66" t="str">
            <v>Саратовская область</v>
          </cell>
          <cell r="AT66" t="str">
            <v>Реагент - кислота щавелевая</v>
          </cell>
          <cell r="GF66" t="str">
            <v>МКД (полная степень благоустройства)</v>
          </cell>
        </row>
        <row r="67">
          <cell r="B67" t="str">
            <v>Сахалинская область</v>
          </cell>
          <cell r="AT67" t="str">
            <v>Реагент - крахмал</v>
          </cell>
          <cell r="GF67" t="str">
            <v>МКД (частичная степень благоустройства)</v>
          </cell>
        </row>
        <row r="68">
          <cell r="B68" t="str">
            <v>Свердловская область</v>
          </cell>
          <cell r="AT68" t="str">
            <v>Реагент - лантан азотнокислый</v>
          </cell>
          <cell r="GF68" t="str">
            <v>ЧД</v>
          </cell>
        </row>
        <row r="69">
          <cell r="B69" t="str">
            <v>Смоленская область</v>
          </cell>
          <cell r="AT69" t="str">
            <v>Реагент - магний сернокислый</v>
          </cell>
          <cell r="GF69" t="str">
            <v>Для жилых помещений в МКД, в том числе общежитиях квартирного секционного, коридорного типа, жилых домов строительным объёмом от 10000 куб.м</v>
          </cell>
        </row>
        <row r="70">
          <cell r="B70" t="str">
            <v>Ставропольский край</v>
          </cell>
          <cell r="AT70" t="str">
            <v>Реагент - модифицированные аминофосфоновые кислоты и фосфонаты (FLOSPERSE)</v>
          </cell>
          <cell r="GF70" t="str">
            <v>Для жилых помещений в МКД, в том числе общежитиях квартирного секционного, коридорного типа, жилых домов строительным объёмом от 5000 до 10000 куб.м</v>
          </cell>
        </row>
        <row r="71">
          <cell r="B71" t="str">
            <v>Тамбовская область</v>
          </cell>
          <cell r="AT71" t="str">
            <v>Реагент - натр едкий</v>
          </cell>
          <cell r="GF71" t="str">
            <v>Для жилых помещений в МКД, в том числе общежитиях квартирного секционного, коридорного типа, жилых домов строительным объёмом менее 5000 куб.м</v>
          </cell>
        </row>
        <row r="72">
          <cell r="B72" t="str">
            <v>Тверская область</v>
          </cell>
          <cell r="AT72" t="str">
            <v>Реагент - натрий гидроокись</v>
          </cell>
          <cell r="GF72" t="str">
            <v>Система отопления без полотенцесушителя</v>
          </cell>
        </row>
        <row r="73">
          <cell r="B73" t="str">
            <v>Томская область</v>
          </cell>
          <cell r="AT73" t="str">
            <v>Реагент - натрий салициловокислый</v>
          </cell>
          <cell r="GF73" t="str">
            <v>Система отопления без полотенцесушителя, без дополнительного преобразования на тепловых пунктах</v>
          </cell>
        </row>
        <row r="74">
          <cell r="B74" t="str">
            <v>Тульская область</v>
          </cell>
          <cell r="AT74" t="str">
            <v>Реагент - натрий сернокислый</v>
          </cell>
          <cell r="GF74" t="str">
            <v>Система отопления без полотенцесушителя, с дополнительным преобразованием на тепловых пунктах</v>
          </cell>
        </row>
        <row r="75">
          <cell r="B75" t="str">
            <v>Тюменская область</v>
          </cell>
          <cell r="AT75" t="str">
            <v>Реагент - натрий углекислый</v>
          </cell>
          <cell r="GF75" t="str">
            <v>Система отопления с полотенцесушителем</v>
          </cell>
        </row>
        <row r="76">
          <cell r="B76" t="str">
            <v>Удмуртская республика</v>
          </cell>
          <cell r="AT76" t="str">
            <v>Реагент - натрий уксуснокислый</v>
          </cell>
          <cell r="GF76" t="str">
            <v>Система отопления с полотенцесушителем, без дополнительного преобразования на тепловых пунктах</v>
          </cell>
        </row>
        <row r="77">
          <cell r="B77" t="str">
            <v>Ульяновская область</v>
          </cell>
          <cell r="AT77" t="str">
            <v>Реагент - натрий хлористый</v>
          </cell>
          <cell r="GF77" t="str">
            <v>Система отопления с полотенцесушителем, с дополнительным преобразованием на тепловых пунктах</v>
          </cell>
        </row>
        <row r="78">
          <cell r="B78" t="str">
            <v>Хабаровский край</v>
          </cell>
          <cell r="AT78" t="str">
            <v>Реагент - пеногаситель (FLOFOAM)</v>
          </cell>
          <cell r="GF78" t="str">
            <v>Система отопления с изолированными стояками, без полотенцесушителей</v>
          </cell>
        </row>
        <row r="79">
          <cell r="B79" t="str">
            <v>Ханты-Мансийский автономный округ</v>
          </cell>
          <cell r="AT79" t="str">
            <v>Реагент - реактив Грисса</v>
          </cell>
          <cell r="GF79" t="str">
            <v>Система отопления с изолированными стояками, с полотенцесушителями</v>
          </cell>
        </row>
        <row r="80">
          <cell r="B80" t="str">
            <v>Челябинская область</v>
          </cell>
          <cell r="AT80" t="str">
            <v>Реагент - реактив Несслера</v>
          </cell>
          <cell r="GF80" t="str">
            <v>Система отопления с неизолированными стояками, без полотенцесушителей</v>
          </cell>
        </row>
        <row r="81">
          <cell r="B81" t="str">
            <v>Чеченская республика</v>
          </cell>
          <cell r="AT81" t="str">
            <v>Реагент - свинец уксуснокислый</v>
          </cell>
          <cell r="GF81" t="str">
            <v>Система отопления с неизолированными стояками, с полотенцесушителями</v>
          </cell>
        </row>
        <row r="82">
          <cell r="B82" t="str">
            <v>Чувашская республика</v>
          </cell>
          <cell r="AT82" t="str">
            <v>Реагент - серебро азотнокислое</v>
          </cell>
          <cell r="GF82" t="str">
            <v>Система отопления с наружной сетью, с изолированными стояками, без полотенцесушителей</v>
          </cell>
        </row>
        <row r="83">
          <cell r="B83" t="str">
            <v>Чукотский автономный округ</v>
          </cell>
          <cell r="AT83" t="str">
            <v>Реагент - серебро сернокислое</v>
          </cell>
          <cell r="GF83" t="str">
            <v>Система отопления с наружной сетью, с изолированными стояками, с полотенцесушителями</v>
          </cell>
        </row>
        <row r="84">
          <cell r="B84" t="str">
            <v>Ямало-Ненецкий автономный округ</v>
          </cell>
          <cell r="AT84" t="str">
            <v>Реагент - сода кальцинированная</v>
          </cell>
          <cell r="GF84" t="str">
            <v>Система отопления с наружной сетью, с неизолированными стояками, без полотенцесушителей</v>
          </cell>
        </row>
        <row r="85">
          <cell r="B85" t="str">
            <v>Ярославская область</v>
          </cell>
          <cell r="AT85" t="str">
            <v>Реагент - сода каустическая</v>
          </cell>
          <cell r="GF85" t="str">
            <v>Система отопления с наружной сетью, с неизолированными стояками, с полотенцесушителями</v>
          </cell>
        </row>
        <row r="86">
          <cell r="AT86" t="str">
            <v>Реагент - соль 1 сорт</v>
          </cell>
          <cell r="GF86" t="str">
            <v>Система отопления без наружной сети, с изолированными стояками, без полотенцесушителей</v>
          </cell>
        </row>
        <row r="87">
          <cell r="AT87" t="str">
            <v>Реагент - соль пищевая поваренная</v>
          </cell>
          <cell r="GF87" t="str">
            <v>Система отопления без наружной сети, с изолированными стояками, с полотенцесушителями</v>
          </cell>
        </row>
        <row r="88">
          <cell r="AT88" t="str">
            <v>Реагент - соль таблетированная</v>
          </cell>
          <cell r="GF88" t="str">
            <v>Система отопления без наружной сети, с неизолированными стояками, без полотенцесушителей</v>
          </cell>
        </row>
        <row r="89">
          <cell r="AT89" t="str">
            <v>Реагент - соль техническая</v>
          </cell>
          <cell r="GF89" t="str">
            <v>Система отопления без наружной сети, с неизолированными стояками, с полотенцесушителями</v>
          </cell>
        </row>
        <row r="90">
          <cell r="AT90" t="str">
            <v>Реагент - соль экстра</v>
          </cell>
        </row>
        <row r="91">
          <cell r="AT91" t="str">
            <v>Реагент - спирт</v>
          </cell>
        </row>
        <row r="92">
          <cell r="AT92" t="str">
            <v>Реагент - сульфат алюминия 1 сорт</v>
          </cell>
        </row>
        <row r="93">
          <cell r="AT93" t="str">
            <v>Реагент - сульфат алюминия жидкий</v>
          </cell>
        </row>
        <row r="94">
          <cell r="AT94" t="str">
            <v>Реагент - сульфат алюминия технический</v>
          </cell>
        </row>
        <row r="95">
          <cell r="AT95" t="str">
            <v>Реагент - сульфат аммония</v>
          </cell>
        </row>
        <row r="96">
          <cell r="AT96" t="str">
            <v>Реагент - тиомочевина</v>
          </cell>
        </row>
        <row r="97">
          <cell r="AT97" t="str">
            <v>Реагент - тиосульфат натрия</v>
          </cell>
        </row>
        <row r="98">
          <cell r="AT98" t="str">
            <v>Реагент - углерод порошкообразный</v>
          </cell>
        </row>
        <row r="99">
          <cell r="AT99" t="str">
            <v>Реагент - углерод четырёххлористый</v>
          </cell>
        </row>
        <row r="100">
          <cell r="AT100" t="str">
            <v>Реагент - фенолфталеин</v>
          </cell>
        </row>
        <row r="101">
          <cell r="AT101" t="str">
            <v>Реагент - хлор</v>
          </cell>
        </row>
        <row r="102">
          <cell r="AT102" t="str">
            <v>Реагент - хлор жидкий</v>
          </cell>
        </row>
        <row r="103">
          <cell r="AT103" t="str">
            <v>Реагент - хлорамин</v>
          </cell>
        </row>
        <row r="104">
          <cell r="AT104" t="str">
            <v>Реагент - хлороформ</v>
          </cell>
        </row>
        <row r="105">
          <cell r="AT105" t="str">
            <v>Реагент - этиленгликоль</v>
          </cell>
        </row>
        <row r="106">
          <cell r="AT106" t="str">
            <v>Реагент - прочие</v>
          </cell>
        </row>
        <row r="107">
          <cell r="AT107" t="str">
            <v>Прочие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4">
          <cell r="L4" t="str">
            <v>прямые расходы</v>
          </cell>
        </row>
        <row r="5">
          <cell r="L5" t="str">
            <v>выручка</v>
          </cell>
        </row>
        <row r="6">
          <cell r="L6" t="str">
            <v>оплата труда</v>
          </cell>
        </row>
        <row r="12">
          <cell r="C12" t="str">
            <v>Метод индексации</v>
          </cell>
        </row>
        <row r="13">
          <cell r="C13" t="str">
            <v>МЭОР</v>
          </cell>
        </row>
        <row r="14">
          <cell r="C14" t="str">
            <v>Метод сравнения аналогов</v>
          </cell>
        </row>
        <row r="15">
          <cell r="C15" t="str">
            <v>Не регулировалась</v>
          </cell>
        </row>
        <row r="32">
          <cell r="A32" t="str">
            <v>не привязан к объекту</v>
          </cell>
        </row>
        <row r="33">
          <cell r="A33" t="str">
            <v>АО "Янтарьэнергосбыт"::3908600865::390601001</v>
          </cell>
        </row>
        <row r="34">
          <cell r="A34" t="str">
            <v>ЗАО "Западная энергосбытовая компания"::3908601379::390801001</v>
          </cell>
        </row>
        <row r="43">
          <cell r="A43" t="str">
            <v>Производство (подъём / добыча) воды</v>
          </cell>
        </row>
        <row r="44">
          <cell r="A44" t="str">
            <v>Очистка воды</v>
          </cell>
        </row>
        <row r="45">
          <cell r="A45" t="str">
            <v>Транспортировка воды</v>
          </cell>
        </row>
        <row r="46">
          <cell r="A46" t="str">
            <v>Сбыт (распределение) воды</v>
          </cell>
        </row>
        <row r="52">
          <cell r="A52" t="str">
            <v>Городской округ город Калининград</v>
          </cell>
        </row>
        <row r="57">
          <cell r="A57" t="str">
            <v>не привязан к объекту</v>
          </cell>
        </row>
        <row r="58">
          <cell r="A58" t="str">
            <v>ВНС п.Совхозный</v>
          </cell>
        </row>
        <row r="59">
          <cell r="A59" t="str">
            <v>ВНС п. Западный</v>
          </cell>
        </row>
        <row r="60">
          <cell r="A60" t="str">
            <v>ВНС Дадаевская</v>
          </cell>
        </row>
        <row r="61">
          <cell r="A61" t="str">
            <v>ВНС</v>
          </cell>
        </row>
        <row r="62">
          <cell r="A62" t="str">
            <v>ВНС (ВПУ)</v>
          </cell>
        </row>
        <row r="63">
          <cell r="A63" t="str">
            <v>ВНС (ВПУ)</v>
          </cell>
        </row>
        <row r="64">
          <cell r="A64" t="str">
            <v>ВНС</v>
          </cell>
        </row>
        <row r="65">
          <cell r="A65" t="str">
            <v>ВНС (ВПУ)</v>
          </cell>
        </row>
        <row r="66">
          <cell r="A66" t="str">
            <v>ВНС (ВПУ)</v>
          </cell>
        </row>
        <row r="67">
          <cell r="A67" t="str">
            <v>ВНС п.Прибрежный</v>
          </cell>
        </row>
        <row r="68">
          <cell r="A68" t="str">
            <v>ВНС (ВПУ)</v>
          </cell>
        </row>
        <row r="69">
          <cell r="A69" t="str">
            <v>МНС</v>
          </cell>
        </row>
        <row r="70">
          <cell r="A70" t="str">
            <v>ВНС (ВПУ)</v>
          </cell>
        </row>
        <row r="71">
          <cell r="A71" t="str">
            <v>ВНС (ВПУ)</v>
          </cell>
        </row>
        <row r="72">
          <cell r="A72" t="str">
            <v>ЮВС-2</v>
          </cell>
        </row>
        <row r="73">
          <cell r="A73" t="str">
            <v>ВНС (ВПУ)</v>
          </cell>
        </row>
        <row r="74">
          <cell r="A74" t="str">
            <v>ВНС (ВПУ)</v>
          </cell>
        </row>
        <row r="75">
          <cell r="A75" t="str">
            <v>ВНС</v>
          </cell>
        </row>
        <row r="76">
          <cell r="A76" t="str">
            <v>ВНС (ВПУ)</v>
          </cell>
        </row>
        <row r="77">
          <cell r="A77" t="str">
            <v>ВНС (ВПУ)</v>
          </cell>
        </row>
        <row r="78">
          <cell r="A78" t="str">
            <v>ВНС (ВПУ)</v>
          </cell>
        </row>
        <row r="79">
          <cell r="A79" t="str">
            <v>ВНС (ВПУ)</v>
          </cell>
        </row>
        <row r="80">
          <cell r="A80" t="str">
            <v>ВНС (ВПУ)</v>
          </cell>
        </row>
        <row r="81">
          <cell r="A81" t="str">
            <v>ВНС</v>
          </cell>
        </row>
        <row r="82">
          <cell r="A82" t="str">
            <v>ВНС</v>
          </cell>
        </row>
        <row r="83">
          <cell r="A83" t="str">
            <v>ВНС</v>
          </cell>
        </row>
        <row r="84">
          <cell r="A84" t="str">
            <v>ЦВС</v>
          </cell>
        </row>
        <row r="85">
          <cell r="A85" t="str">
            <v>ВНС</v>
          </cell>
        </row>
        <row r="86">
          <cell r="A86" t="str">
            <v>ВПУ</v>
          </cell>
        </row>
        <row r="87">
          <cell r="A87" t="str">
            <v>ВПУ</v>
          </cell>
        </row>
        <row r="88">
          <cell r="A88" t="str">
            <v>ВВС</v>
          </cell>
        </row>
        <row r="89">
          <cell r="A89" t="str">
            <v>ВНС ул. Невского</v>
          </cell>
        </row>
        <row r="90">
          <cell r="A90" t="str">
            <v>водопроводные сети</v>
          </cell>
        </row>
        <row r="91">
          <cell r="A91" t="str">
            <v>ВНС п. Космодемьянского</v>
          </cell>
        </row>
        <row r="92">
          <cell r="A92" t="str">
            <v>ВНС Согласия</v>
          </cell>
        </row>
        <row r="93">
          <cell r="A93" t="str">
            <v>ВНС ул. Артиллерийская</v>
          </cell>
        </row>
        <row r="94">
          <cell r="A94" t="str">
            <v>ВНС</v>
          </cell>
        </row>
        <row r="95">
          <cell r="A95" t="str">
            <v>ВНС</v>
          </cell>
        </row>
        <row r="96">
          <cell r="A96" t="str">
            <v>ВНС (ВПУ)</v>
          </cell>
        </row>
        <row r="97">
          <cell r="A97" t="str">
            <v>ВНС Полоцкая</v>
          </cell>
        </row>
        <row r="98">
          <cell r="A98" t="str">
            <v>ВНС</v>
          </cell>
        </row>
        <row r="99">
          <cell r="A99" t="str">
            <v>ВНС</v>
          </cell>
        </row>
        <row r="100">
          <cell r="A100" t="str">
            <v>ВНС</v>
          </cell>
        </row>
        <row r="101">
          <cell r="A101" t="str">
            <v>ВНС</v>
          </cell>
        </row>
        <row r="102">
          <cell r="A102" t="str">
            <v>ВНС (ВПУ)</v>
          </cell>
        </row>
        <row r="103">
          <cell r="A103" t="str">
            <v>ВПУ</v>
          </cell>
        </row>
        <row r="104">
          <cell r="A104" t="str">
            <v>ВНС</v>
          </cell>
        </row>
        <row r="105">
          <cell r="A105" t="str">
            <v>ВНС (ВПУ)</v>
          </cell>
        </row>
        <row r="106">
          <cell r="A106" t="str">
            <v>ВПУ</v>
          </cell>
        </row>
        <row r="107">
          <cell r="A107" t="str">
            <v>ВПУ</v>
          </cell>
        </row>
        <row r="108">
          <cell r="A108" t="str">
            <v>ВНС</v>
          </cell>
        </row>
        <row r="109">
          <cell r="A109" t="str">
            <v>ВНС Тихорецкая</v>
          </cell>
        </row>
        <row r="110">
          <cell r="A110" t="str">
            <v>ВНС п. Чкаловск</v>
          </cell>
        </row>
        <row r="111">
          <cell r="A111" t="str">
            <v>ВНС "Сусанинская"</v>
          </cell>
        </row>
        <row r="112">
          <cell r="A112" t="str">
            <v>ВНС (ВПУ)</v>
          </cell>
        </row>
        <row r="113">
          <cell r="A113" t="str">
            <v>ВНС (ВПУ)</v>
          </cell>
        </row>
        <row r="114">
          <cell r="A114" t="str">
            <v>ВНС (ВПУ)</v>
          </cell>
        </row>
        <row r="115">
          <cell r="A115" t="str">
            <v>ВНС</v>
          </cell>
        </row>
        <row r="116">
          <cell r="A116" t="str">
            <v>водопроводные сети</v>
          </cell>
        </row>
        <row r="117">
          <cell r="A117" t="str">
            <v>ВНС (ВПУ)</v>
          </cell>
        </row>
        <row r="118">
          <cell r="A118" t="str">
            <v>ВНС (ВПУ)</v>
          </cell>
        </row>
        <row r="119">
          <cell r="A119" t="str">
            <v>ВНС</v>
          </cell>
        </row>
        <row r="120">
          <cell r="A120" t="str">
            <v>ВНС</v>
          </cell>
        </row>
        <row r="121">
          <cell r="A121" t="str">
            <v>ВНС (ВПУ)</v>
          </cell>
        </row>
        <row r="122">
          <cell r="A122" t="str">
            <v>ВНС</v>
          </cell>
        </row>
        <row r="123">
          <cell r="A123" t="str">
            <v>ВНС</v>
          </cell>
        </row>
        <row r="124">
          <cell r="A124" t="str">
            <v>ЮВС-1</v>
          </cell>
        </row>
        <row r="125">
          <cell r="A125" t="str">
            <v>ВНС Суворовская</v>
          </cell>
        </row>
        <row r="126">
          <cell r="A126" t="str">
            <v>ВНС Солдатская</v>
          </cell>
        </row>
        <row r="127">
          <cell r="A127" t="str">
            <v>ВНС Горьковская</v>
          </cell>
        </row>
        <row r="128">
          <cell r="A128" t="str">
            <v>ВНС</v>
          </cell>
        </row>
        <row r="129">
          <cell r="A129" t="str">
            <v>ВНС</v>
          </cell>
        </row>
      </sheetData>
      <sheetData sheetId="102">
        <row r="3">
          <cell r="A3" t="str">
            <v>0 %</v>
          </cell>
          <cell r="B3" t="str">
            <v>федеральная</v>
          </cell>
          <cell r="C3" t="str">
            <v>постановление</v>
          </cell>
          <cell r="D3" t="str">
            <v>Общее руководство</v>
          </cell>
          <cell r="J3" t="str">
            <v>Разметка</v>
          </cell>
        </row>
        <row r="4">
          <cell r="A4" t="str">
            <v>менее 50 %</v>
          </cell>
          <cell r="B4" t="str">
            <v>субъект РФ</v>
          </cell>
          <cell r="C4" t="str">
            <v>распоряжение</v>
          </cell>
          <cell r="D4" t="str">
            <v>Бухгалтерский учет и финансовая деятельность</v>
          </cell>
          <cell r="J4" t="str">
            <v>Предзаполнение</v>
          </cell>
        </row>
        <row r="5">
          <cell r="A5" t="str">
            <v>50 % и более</v>
          </cell>
          <cell r="B5" t="str">
            <v>муниципальная</v>
          </cell>
          <cell r="C5" t="str">
            <v>решение</v>
          </cell>
          <cell r="D5" t="str">
            <v>Комплектование и учет кадров</v>
          </cell>
        </row>
        <row r="6">
          <cell r="A6" t="str">
            <v>100 %</v>
          </cell>
          <cell r="B6" t="str">
            <v>частная</v>
          </cell>
          <cell r="C6" t="str">
            <v>приказ</v>
          </cell>
          <cell r="D6" t="str">
            <v>Материально-техническое снабжение</v>
          </cell>
        </row>
        <row r="7">
          <cell r="C7" t="str">
            <v>закон</v>
          </cell>
          <cell r="D7" t="str">
            <v>Надзор и контроль за капитальным ремонтом</v>
          </cell>
        </row>
        <row r="8">
          <cell r="C8" t="str">
            <v>соглашение</v>
          </cell>
          <cell r="D8" t="str">
            <v>Общее делопроизводство и хозяйственное обслуживание</v>
          </cell>
        </row>
        <row r="9">
          <cell r="C9" t="str">
            <v>протокол</v>
          </cell>
          <cell r="D9" t="str">
            <v>Организация технической эксплуатации систем водоснабжения и канализации</v>
          </cell>
        </row>
        <row r="10">
          <cell r="C10" t="str">
            <v>предложить ещё варианты …</v>
          </cell>
          <cell r="D10" t="str">
            <v>Правовое обслуживание</v>
          </cell>
        </row>
        <row r="11">
          <cell r="D11" t="str">
            <v>Техническое обслуживание и внедрение средств автоматизации</v>
          </cell>
        </row>
        <row r="12">
          <cell r="D12" t="str">
            <v>Технико-экономическое планирование, организация труда и заработной платы</v>
          </cell>
        </row>
        <row r="13">
          <cell r="D13" t="str">
            <v>Организация труда и заработной платы</v>
          </cell>
        </row>
        <row r="14">
          <cell r="D14" t="str">
            <v>Обеспечение энергетическими ресурсами</v>
          </cell>
        </row>
        <row r="15">
          <cell r="D15" t="str">
            <v>Внешние и внутренние коммуникации</v>
          </cell>
        </row>
        <row r="16">
          <cell r="D16" t="str">
            <v>Безопасность</v>
          </cell>
        </row>
        <row r="17">
          <cell r="D17" t="str">
            <v>Программное обеспечение и системное администрирование вычислительной техники</v>
          </cell>
        </row>
        <row r="18">
          <cell r="D18" t="str">
            <v>Организация реализации и учета водопотребления и водоотведения по абонентам (юридические лица)</v>
          </cell>
        </row>
        <row r="19">
          <cell r="D19" t="str">
            <v>Организация реализации и учета водопотребления и водоотведения по абонентам (население)</v>
          </cell>
        </row>
        <row r="20">
          <cell r="D20" t="str">
            <v>Оперативное руководство эксплуатацией водопроводных сооружений по забору, подаче, хранению и перекачке воды</v>
          </cell>
        </row>
        <row r="21">
          <cell r="D21" t="str">
            <v>Оперативное руководство эксплуатацией станций водоподготовки</v>
          </cell>
        </row>
        <row r="22">
          <cell r="D22" t="str">
            <v>Оперативное руководство эксплуатацией водопроводных сетей</v>
          </cell>
        </row>
        <row r="23">
          <cell r="D23" t="str">
            <v>Оперативное руководство эксплуатацией канализационных насосных станций</v>
          </cell>
        </row>
        <row r="24">
          <cell r="D24" t="str">
            <v>Оперативное руководство эксплуатацией очистных сооружений канализации</v>
          </cell>
        </row>
        <row r="25">
          <cell r="D25" t="str">
            <v>Оперативное руководство эксплуатацией канализационных сетей</v>
          </cell>
        </row>
        <row r="26">
          <cell r="D26" t="str">
            <v>Организация ремонтно-эксплуатационного обслуживания оборудования, контрольно-измерительных приборов и средств автоматики</v>
          </cell>
        </row>
        <row r="27">
          <cell r="D27" t="str">
            <v>Организация ремонтно-технического обслуживания зданий и сооружений</v>
          </cell>
        </row>
        <row r="28">
          <cell r="D28" t="str">
            <v>Организация ремонта и технического обслуживания автомобильного транспорта, специальных дорожных и строительных машин и механизмов</v>
          </cell>
        </row>
        <row r="29">
          <cell r="D29" t="str">
            <v>Диспетчерское обслуживание</v>
          </cell>
        </row>
        <row r="30">
          <cell r="D30" t="str">
            <v>Ведение воинского учета</v>
          </cell>
        </row>
        <row r="31">
          <cell r="D31" t="str">
            <v>Ведение архива</v>
          </cell>
        </row>
        <row r="32">
          <cell r="D32" t="str">
            <v>Охрана труда</v>
          </cell>
        </row>
        <row r="33">
          <cell r="D33" t="str">
            <v>Гражданская оборона</v>
          </cell>
        </row>
        <row r="34">
          <cell r="D34" t="str">
            <v>Подключение новых абонентов</v>
          </cell>
        </row>
        <row r="35">
          <cell r="D35" t="str">
            <v>Оптимизация режимов сетей и сооружений</v>
          </cell>
        </row>
        <row r="36">
          <cell r="D36" t="str">
            <v>Контрактная служба закупок</v>
          </cell>
        </row>
        <row r="37">
          <cell r="D37" t="str">
            <v>Охрана окружающей среды</v>
          </cell>
        </row>
        <row r="38">
          <cell r="D38" t="str">
            <v>Взыскание дебиторской задолженности, исковая работа в отношении абонентов</v>
          </cell>
        </row>
        <row r="39">
          <cell r="D39" t="str">
            <v>Организация работ по подготовке и составлению сметной документации</v>
          </cell>
        </row>
        <row r="40">
          <cell r="D40" t="str">
            <v>Лабораторный контроль качества воды и сточных вод</v>
          </cell>
        </row>
        <row r="41">
          <cell r="D41" t="str">
            <v>Взаимодействие с абонентами по вопросам отбора и анализа проб сточных вод абонентов</v>
          </cell>
        </row>
        <row r="42">
          <cell r="D42" t="str">
            <v>Прочие руководители, специалисты и служащие</v>
          </cell>
        </row>
        <row r="43">
          <cell r="D43" t="str">
            <v>Насосные станции водопровода</v>
          </cell>
        </row>
        <row r="44">
          <cell r="D44" t="str">
            <v>Станции водоподготовки</v>
          </cell>
        </row>
        <row r="45">
          <cell r="D45" t="str">
            <v>Водопроводная сеть</v>
          </cell>
        </row>
        <row r="46">
          <cell r="D46" t="str">
            <v>Контроль и учет расхода воды</v>
          </cell>
        </row>
        <row r="47">
          <cell r="D47" t="str">
            <v>Сооружения для хранения и запаса воды</v>
          </cell>
        </row>
        <row r="48">
          <cell r="D48" t="str">
            <v>Насосные установки для подкачки воды</v>
          </cell>
        </row>
        <row r="49">
          <cell r="D49" t="str">
            <v>Водозаборы подземных вод</v>
          </cell>
        </row>
        <row r="50">
          <cell r="D50" t="str">
            <v>Водозаборные сооружения из поверхностных источников</v>
          </cell>
        </row>
        <row r="51">
          <cell r="D51" t="str">
            <v>Озонаторные станции</v>
          </cell>
        </row>
        <row r="52">
          <cell r="D52" t="str">
            <v>Ультрафиолетовые (бактерицидные) установки на системах водопровода</v>
          </cell>
        </row>
        <row r="53">
          <cell r="D53" t="str">
            <v>Насосные станции канализации</v>
          </cell>
        </row>
        <row r="54">
          <cell r="D54" t="str">
            <v>Канализационные сети</v>
          </cell>
        </row>
        <row r="55">
          <cell r="D55" t="str">
            <v>Решетки</v>
          </cell>
        </row>
        <row r="56">
          <cell r="D56" t="str">
            <v>Песколовки</v>
          </cell>
        </row>
        <row r="57">
          <cell r="D57" t="str">
            <v>Двухъярусные отстойники</v>
          </cell>
        </row>
        <row r="58">
          <cell r="D58" t="str">
            <v>Первичные отстойники</v>
          </cell>
        </row>
        <row r="59">
          <cell r="D59" t="str">
            <v>Биофильтры и аэрофильтры</v>
          </cell>
        </row>
        <row r="60">
          <cell r="D60" t="str">
            <v>Аэротенки</v>
          </cell>
        </row>
        <row r="61">
          <cell r="D61" t="str">
            <v>Вторичные отстойники</v>
          </cell>
        </row>
        <row r="62">
          <cell r="D62" t="str">
            <v>Насосные и воздуходувные станции</v>
          </cell>
        </row>
        <row r="63">
          <cell r="D63" t="str">
            <v>Поля фильтрации (поля подземной фильтрации)</v>
          </cell>
        </row>
        <row r="64">
          <cell r="D64" t="str">
            <v>Иловые площадки</v>
          </cell>
        </row>
        <row r="65">
          <cell r="D65" t="str">
            <v>Метантенки</v>
          </cell>
        </row>
        <row r="66">
          <cell r="D66" t="str">
            <v>Установка по механическому обезвоживанию осадка</v>
          </cell>
        </row>
        <row r="67">
          <cell r="D67" t="str">
            <v>Установка по термической сушке осадка</v>
          </cell>
        </row>
        <row r="68">
          <cell r="D68" t="str">
            <v>Сооружения глубокой очистки (фильтры, биореакторы, биосорберы и т.п.)</v>
          </cell>
        </row>
        <row r="69">
          <cell r="D69" t="str">
            <v>Хлораторные установки</v>
          </cell>
        </row>
        <row r="70">
          <cell r="D70" t="str">
            <v>Ультрафиолетовые (бактерицидные) установки на системах канализации</v>
          </cell>
        </row>
        <row r="71">
          <cell r="D71" t="str">
            <v>Контроль качества сточных вод</v>
          </cell>
        </row>
        <row r="72">
          <cell r="D72" t="str">
            <v>Пульт дистанционно-автоматического управления</v>
          </cell>
        </row>
        <row r="73">
          <cell r="D73" t="str">
            <v>Прочие рабочие (производственная часть)</v>
          </cell>
        </row>
        <row r="74">
          <cell r="D74" t="str">
            <v>Кладовщик</v>
          </cell>
        </row>
        <row r="75">
          <cell r="D75" t="str">
            <v>Уборка административных зданий и производственных помещений, уборка территории</v>
          </cell>
        </row>
        <row r="76">
          <cell r="D76" t="str">
            <v>Обслуживание котельной, тепло- и энергетического хозяйства</v>
          </cell>
        </row>
        <row r="77">
          <cell r="D77" t="str">
            <v>Внешнее благоустройство территорий, озеленение, уборка территорий по итогам проведения строительных и ремонтных работ бригадами</v>
          </cell>
        </row>
        <row r="78">
          <cell r="D78" t="str">
            <v>Ремонт и обслуживание автотранспортной и специальной техники</v>
          </cell>
        </row>
        <row r="79">
          <cell r="D79" t="str">
            <v>Вождение/управление автотранспортным средством, строительной и специальной техникой</v>
          </cell>
        </row>
        <row r="80">
          <cell r="D80" t="str">
            <v>Медицинский осмотр водителей транспортных средств</v>
          </cell>
        </row>
        <row r="81">
          <cell r="D81" t="str">
            <v>Медицинское обслуживание работников организации водопроводно-канализационного хозяйства</v>
          </cell>
        </row>
        <row r="82">
          <cell r="D82" t="str">
            <v>Прочие вспомогательные службы</v>
          </cell>
        </row>
      </sheetData>
      <sheetData sheetId="103"/>
      <sheetData sheetId="104">
        <row r="1">
          <cell r="A1" t="str">
            <v>Нет дополнительных признаков</v>
          </cell>
        </row>
        <row r="2">
          <cell r="A2" t="str">
            <v>Оказание услуг на территории: Багратионовский (ОКТМО: 27703000) - п Долгоруково</v>
          </cell>
        </row>
        <row r="3">
          <cell r="A3" t="str">
            <v>Оказание услуг на территории: Багратионовский (ОКТМО: 27703000) - п Невское</v>
          </cell>
        </row>
        <row r="4">
          <cell r="A4" t="str">
            <v>Оказание услуг на территории: Багратионовский (ОКТМО: 27703000) - п Нивенское</v>
          </cell>
        </row>
        <row r="5">
          <cell r="A5" t="str">
            <v>Оказание услуг на территории: Багратионовский (ОКТМО: 27703000) - посёлки: Гвардейское, Славяновка, Березовка, Надеждино, Знаменское, Дубки, Рябиновка, Орехово, Невское, Тамбовское, Марийское, Чехово, Тишино, Осокино</v>
          </cell>
        </row>
        <row r="6">
          <cell r="A6" t="str">
            <v>Оказание услуг на территории: Багратионовский (ОКТМО: 27703000) - посёлки: Долгоруково, Дубровка, Подгорное, Пограничное, Краснознаменское, Славское, Побережье</v>
          </cell>
        </row>
        <row r="7">
          <cell r="A7" t="str">
            <v>Оказание услуг на территории: Гвардейский (ОКТМО: 27706000) - г Гвардейск</v>
          </cell>
        </row>
        <row r="8">
          <cell r="A8" t="str">
            <v>Оказание услуг на территории: Городской округ Балтийский (ОКТМО: 27705000) - г Балтийск</v>
          </cell>
        </row>
        <row r="9">
          <cell r="A9" t="str">
            <v>Оказание услуг на территории: Городской округ Балтийский (ОКТМО: 27705000) - г Приморск</v>
          </cell>
        </row>
        <row r="10">
          <cell r="A10" t="str">
            <v>Оказание услуг на территории: Городской округ Нестеровский (ОКТМО: 27715000) - г Нестеров</v>
          </cell>
        </row>
        <row r="11">
          <cell r="A11" t="str">
            <v>Оказание услуг на территории: Городской округ Нестеровский (ОКТМО: 27715000) - п Пушкино</v>
          </cell>
        </row>
        <row r="12">
          <cell r="A12" t="str">
            <v>Оказание услуг на территории: Городской округ Полесский (ОКТМО: 27718000) - кроме г Полесск</v>
          </cell>
        </row>
        <row r="13">
          <cell r="A13" t="str">
            <v>Оказание услуг на территории: Зеленоградский (ОКТМО: 27710000) - Зеленоградский район</v>
          </cell>
        </row>
        <row r="14">
          <cell r="A14" t="str">
            <v>Оказание услуг на территории: Зеленоградский (ОКТМО: 27710000) - Куршская Коса</v>
          </cell>
        </row>
        <row r="15">
          <cell r="A15" t="str">
            <v>Оказание услуг на территории: Зеленоградский (ОКТМО: 27710000) - п Колосовка, п Кумачево, п Заостровье, п Дорожное, п Прохладное</v>
          </cell>
        </row>
        <row r="16">
          <cell r="A16" t="str">
            <v>Оказание услуг на территории: Зеленоградский (ОКТМО: 27710000) - п Морское, п Рыбачий, п Лесное</v>
          </cell>
        </row>
        <row r="17">
          <cell r="A17" t="str">
            <v>Оказание услуг на территории: Зеленоградский (ОКТМО: 27710000) - п Филино</v>
          </cell>
        </row>
        <row r="18">
          <cell r="A18" t="str">
            <v>Оказание услуг на территории: Краснознаменский (ОКТМО: 27713000) - г Краснознаменск</v>
          </cell>
        </row>
        <row r="19">
          <cell r="A19" t="str">
            <v>Оказание услуг на территории: Краснознаменский (ОКТМО: 27713000) - кроме г Краснознаменск</v>
          </cell>
        </row>
        <row r="20">
          <cell r="A20" t="str">
            <v>Оказание услуг на территории: Озерский (ОКТМО: 27716000) - г Озерск</v>
          </cell>
        </row>
        <row r="21">
          <cell r="A21" t="str">
            <v>Оказание услуг на территории: Озерский (ОКТМО: 27716000) - п Гаврилово</v>
          </cell>
        </row>
        <row r="22">
          <cell r="A22" t="str">
            <v>Оказание услуг на территории: Озерский (ОКТМО: 27716000) - п Красноярское</v>
          </cell>
        </row>
        <row r="23">
          <cell r="A23" t="str">
            <v>Оказание услуг на территории: Полесский (ОКТМО: 27718000) - г Полесск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 summaryRight="0"/>
  </sheetPr>
  <dimension ref="A1:BN390"/>
  <sheetViews>
    <sheetView showGridLines="0" tabSelected="1" zoomScale="80" workbookViewId="0">
      <pane xSplit="29" ySplit="90" topLeftCell="AD338" activePane="bottomRight" state="frozen"/>
      <selection pane="topRight" activeCell="AD1" sqref="AD1"/>
      <selection pane="bottomLeft" activeCell="A91" sqref="A91"/>
      <selection pane="bottomRight" activeCell="AO395" sqref="AO395"/>
    </sheetView>
  </sheetViews>
  <sheetFormatPr defaultColWidth="9.140625" defaultRowHeight="14.25" customHeight="1" outlineLevelRow="5" x14ac:dyDescent="0.25"/>
  <cols>
    <col min="1" max="1" width="8.85546875" style="1" hidden="1" customWidth="1"/>
    <col min="2" max="2" width="8.5703125" style="1" hidden="1" customWidth="1"/>
    <col min="3" max="3" width="12.5703125" style="1" hidden="1" customWidth="1"/>
    <col min="4" max="6" width="3.7109375" style="1" hidden="1" customWidth="1"/>
    <col min="7" max="7" width="10.140625" style="1" hidden="1" customWidth="1"/>
    <col min="8" max="11" width="3.7109375" style="1" hidden="1" customWidth="1"/>
    <col min="12" max="12" width="8.7109375" style="1" hidden="1" customWidth="1"/>
    <col min="13" max="25" width="3.7109375" style="1" hidden="1" customWidth="1"/>
    <col min="26" max="26" width="3.7109375" style="1" customWidth="1"/>
    <col min="27" max="27" width="13" style="1" customWidth="1"/>
    <col min="28" max="28" width="62.42578125" style="1" customWidth="1"/>
    <col min="29" max="29" width="20" style="1" customWidth="1"/>
    <col min="30" max="32" width="18" style="1" customWidth="1"/>
    <col min="33" max="34" width="11.7109375" style="1" hidden="1" customWidth="1"/>
    <col min="35" max="35" width="18" style="1" hidden="1" customWidth="1"/>
    <col min="36" max="39" width="11.7109375" style="1" hidden="1" customWidth="1"/>
    <col min="40" max="40" width="18" style="1" hidden="1" customWidth="1"/>
    <col min="41" max="41" width="18" style="1" customWidth="1"/>
    <col min="42" max="43" width="11.7109375" style="1" hidden="1" customWidth="1"/>
    <col min="44" max="44" width="18" style="1" hidden="1" customWidth="1"/>
    <col min="45" max="46" width="11.7109375" style="1" hidden="1" customWidth="1"/>
    <col min="47" max="47" width="18" style="1" hidden="1" customWidth="1"/>
    <col min="48" max="48" width="18" style="1" customWidth="1"/>
    <col min="49" max="50" width="11.7109375" style="1" hidden="1" customWidth="1"/>
    <col min="51" max="51" width="18" style="1" hidden="1" customWidth="1"/>
    <col min="52" max="53" width="11.7109375" style="1" hidden="1" customWidth="1"/>
    <col min="54" max="54" width="17.5703125" style="1" hidden="1" customWidth="1"/>
    <col min="55" max="55" width="15.140625" style="1" hidden="1" customWidth="1"/>
    <col min="56" max="56" width="31.7109375" style="1" hidden="1" customWidth="1"/>
    <col min="57" max="57" width="12.7109375" style="1" hidden="1" customWidth="1"/>
    <col min="58" max="58" width="15.7109375" style="1" hidden="1" customWidth="1"/>
    <col min="59" max="65" width="8.7109375" style="1" hidden="1" customWidth="1"/>
    <col min="66" max="66" width="3.7109375" style="1" customWidth="1"/>
    <col min="67" max="16384" width="9.140625" style="1"/>
  </cols>
  <sheetData>
    <row r="1" spans="3:65" ht="11.25" hidden="1" customHeight="1" x14ac:dyDescent="0.25">
      <c r="AD1" s="2" t="b">
        <f t="array" ref="AD1">INDEX([2]Столбцы!$H$3:$H$104,MATCH(AD$21,[2]Столбцы!$A$3:$A$104,0),)</f>
        <v>1</v>
      </c>
      <c r="AE1" s="2" t="b">
        <f t="array" ref="AE1">INDEX([2]Столбцы!$H$3:$H$104,MATCH(AE$21,[2]Столбцы!$A$3:$A$104,0),)</f>
        <v>1</v>
      </c>
      <c r="AF1" s="2" t="b">
        <f t="array" ref="AF1">INDEX([2]Столбцы!$H$3:$H$104,MATCH(AF$21,[2]Столбцы!$A$3:$A$104,0),)</f>
        <v>1</v>
      </c>
      <c r="AG1" s="3" t="b">
        <f>AND(AF1,$AC$56="да")</f>
        <v>0</v>
      </c>
      <c r="AH1" s="3" t="b">
        <f>AND(AF1,$AC$56="да")</f>
        <v>0</v>
      </c>
      <c r="AI1" s="2" t="b">
        <f t="array" ref="AI1">INDEX([2]Столбцы!$H$3:$H$104,MATCH(AI$21,[2]Столбцы!$A$3:$A$104,0),)</f>
        <v>1</v>
      </c>
      <c r="AJ1" s="3" t="b">
        <f>AND(AI1,$AC$56="да")</f>
        <v>0</v>
      </c>
      <c r="AK1" s="3" t="b">
        <f>AND(AI1,$AC$56="да")</f>
        <v>0</v>
      </c>
      <c r="AL1" s="3" t="e">
        <f>AND(#REF!,$AC$56="да")</f>
        <v>#REF!</v>
      </c>
      <c r="AM1" s="3" t="e">
        <f>AND(#REF!,$AC$56="да")</f>
        <v>#REF!</v>
      </c>
      <c r="AN1" s="2" t="b">
        <f t="array" ref="AN1">INDEX([2]Столбцы!$H$3:$H$104,MATCH(AN$21,[2]Столбцы!$A$3:$A$104,0),)</f>
        <v>1</v>
      </c>
      <c r="AO1" s="2" t="b">
        <f t="array" ref="AO1">INDEX([2]Столбцы!$H$3:$H$104,MATCH(AO$21,[2]Столбцы!$A$3:$A$104,0),)</f>
        <v>1</v>
      </c>
      <c r="AP1" s="3" t="b">
        <f>AND(AO1,$AC$56="да")</f>
        <v>0</v>
      </c>
      <c r="AQ1" s="3" t="b">
        <f>AND(AO1,$AC$56="да")</f>
        <v>0</v>
      </c>
      <c r="AR1" s="2" t="b">
        <f t="array" ref="AR1">INDEX([2]Столбцы!$H$3:$H$104,MATCH(AR$21,[2]Столбцы!$A$3:$A$104,0),)</f>
        <v>1</v>
      </c>
      <c r="AS1" s="3" t="b">
        <f>AND(AR1,$AC$56="да")</f>
        <v>0</v>
      </c>
      <c r="AT1" s="3" t="b">
        <f>AND(AR1,$AC$56="да")</f>
        <v>0</v>
      </c>
      <c r="AU1" s="2" t="b">
        <f t="array" ref="AU1">INDEX([2]Столбцы!$H$3:$H$104,MATCH(AU$21,[2]Столбцы!$A$3:$A$104,0),)</f>
        <v>1</v>
      </c>
      <c r="AV1" s="2" t="b">
        <f t="array" ref="AV1">INDEX([2]Столбцы!$H$3:$H$104,MATCH(AV$21,[2]Столбцы!$A$3:$A$104,0),)</f>
        <v>1</v>
      </c>
      <c r="AW1" s="3" t="b">
        <f>AND(AV1,$AC$56="да")</f>
        <v>0</v>
      </c>
      <c r="AX1" s="3" t="b">
        <f>AND(AV1,$AC$56="да")</f>
        <v>0</v>
      </c>
      <c r="AY1" s="2" t="b">
        <f t="array" ref="AY1">INDEX([2]Столбцы!$H$3:$H$104,MATCH(AY$21,[2]Столбцы!$A$3:$A$104,0),)</f>
        <v>1</v>
      </c>
      <c r="AZ1" s="3" t="b">
        <f>AND(AY1,$AC$56="да")</f>
        <v>0</v>
      </c>
      <c r="BA1" s="3" t="b">
        <f>AND(AY1,$AC$56="да")</f>
        <v>0</v>
      </c>
      <c r="BB1" s="2" t="b">
        <f t="array" ref="BB1">INDEX([2]Столбцы!$H$3:$H$104,MATCH(BB$21,[2]Столбцы!$A$3:$A$104,0),)</f>
        <v>1</v>
      </c>
      <c r="BC1" s="3" t="b">
        <f t="array" ref="BC1">BB1</f>
        <v>1</v>
      </c>
      <c r="BD1" s="3" t="b">
        <f t="array" ref="BD1">BC1</f>
        <v>1</v>
      </c>
      <c r="BE1" s="3" t="b">
        <f t="array" ref="BE1">BD1</f>
        <v>1</v>
      </c>
      <c r="BF1" s="3" t="b">
        <f t="array" ref="BF1">BE1</f>
        <v>1</v>
      </c>
      <c r="BG1" s="3" t="b">
        <f t="array" ref="BG1">BF1</f>
        <v>1</v>
      </c>
      <c r="BH1" s="3" t="b">
        <f t="array" ref="BH1">BG1</f>
        <v>1</v>
      </c>
      <c r="BI1" s="3" t="b">
        <f t="array" ref="BI1">BH1</f>
        <v>1</v>
      </c>
      <c r="BJ1" s="3" t="b">
        <f t="array" ref="BJ1">BI1</f>
        <v>1</v>
      </c>
      <c r="BK1" s="3" t="b">
        <f t="array" ref="BK1">BJ1</f>
        <v>1</v>
      </c>
      <c r="BL1" s="3" t="b">
        <f t="array" ref="BL1">BK1</f>
        <v>1</v>
      </c>
      <c r="BM1" s="3" t="b">
        <f t="array" ref="BM1">BL1</f>
        <v>1</v>
      </c>
    </row>
    <row r="2" spans="3:65" ht="11.25" hidden="1" customHeight="1" x14ac:dyDescent="0.25">
      <c r="AD2" s="2" t="b">
        <f t="array" ref="AD2">INDEX([2]Столбцы!$I$3:$I$104,MATCH(AD$21,[2]Столбцы!$A$3:$A$104,0),)</f>
        <v>0</v>
      </c>
      <c r="AE2" s="2" t="b">
        <f t="array" ref="AE2">INDEX([2]Столбцы!$I$3:$I$104,MATCH(AE$21,[2]Столбцы!$A$3:$A$104,0),)</f>
        <v>0</v>
      </c>
      <c r="AF2" s="2" t="b">
        <f t="array" ref="AF2">INDEX([2]Столбцы!$I$3:$I$104,MATCH(AF$21,[2]Столбцы!$A$3:$A$104,0),)</f>
        <v>1</v>
      </c>
      <c r="AG2" s="3" t="b">
        <f>AND(AG1,AF2)</f>
        <v>0</v>
      </c>
      <c r="AH2" s="3" t="b">
        <f>AND(AH1,AF2)</f>
        <v>0</v>
      </c>
      <c r="AI2" s="2" t="b">
        <f t="array" ref="AI2">INDEX([2]Столбцы!$I$3:$I$104,MATCH(AI$21,[2]Столбцы!$A$3:$A$104,0),)</f>
        <v>0</v>
      </c>
      <c r="AJ2" s="3" t="b">
        <f>AND(AJ1,AI2)</f>
        <v>0</v>
      </c>
      <c r="AK2" s="3" t="b">
        <f>AND(AK1,AI2)</f>
        <v>0</v>
      </c>
      <c r="AL2" s="3" t="e">
        <f>AND(AL1,#REF!)</f>
        <v>#REF!</v>
      </c>
      <c r="AM2" s="3" t="e">
        <f>AND(AM1,#REF!)</f>
        <v>#REF!</v>
      </c>
      <c r="AN2" s="2" t="b">
        <f t="array" ref="AN2">INDEX([2]Столбцы!$I$3:$I$104,MATCH(AN$21,[2]Столбцы!$A$3:$A$104,0),)</f>
        <v>0</v>
      </c>
      <c r="AO2" s="2" t="b">
        <f t="array" ref="AO2">INDEX([2]Столбцы!$I$3:$I$104,MATCH(AO$21,[2]Столбцы!$A$3:$A$104,0),)</f>
        <v>1</v>
      </c>
      <c r="AP2" s="3" t="b">
        <f>AND(AP1,AO2)</f>
        <v>0</v>
      </c>
      <c r="AQ2" s="3" t="b">
        <f>AND(AQ1,AO2)</f>
        <v>0</v>
      </c>
      <c r="AR2" s="2" t="b">
        <f t="array" ref="AR2">INDEX([2]Столбцы!$I$3:$I$104,MATCH(AR$21,[2]Столбцы!$A$3:$A$104,0),)</f>
        <v>0</v>
      </c>
      <c r="AS2" s="3" t="b">
        <f>AND(AS1,AR2)</f>
        <v>0</v>
      </c>
      <c r="AT2" s="3" t="b">
        <f>AND(AT1,AR2)</f>
        <v>0</v>
      </c>
      <c r="AU2" s="2" t="b">
        <f t="array" ref="AU2">INDEX([2]Столбцы!$I$3:$I$104,MATCH(AU$21,[2]Столбцы!$A$3:$A$104,0),)</f>
        <v>0</v>
      </c>
      <c r="AV2" s="2" t="b">
        <f t="array" ref="AV2">INDEX([2]Столбцы!$I$3:$I$104,MATCH(AV$21,[2]Столбцы!$A$3:$A$104,0),)</f>
        <v>1</v>
      </c>
      <c r="AW2" s="3" t="b">
        <f>AND(AW1,AV2)</f>
        <v>0</v>
      </c>
      <c r="AX2" s="3" t="b">
        <f>AND(AX1,AV2)</f>
        <v>0</v>
      </c>
      <c r="AY2" s="2" t="b">
        <f t="array" ref="AY2">INDEX([2]Столбцы!$I$3:$I$104,MATCH(AY$21,[2]Столбцы!$A$3:$A$104,0),)</f>
        <v>0</v>
      </c>
      <c r="AZ2" s="3" t="b">
        <f>AND(AZ1,AY2)</f>
        <v>0</v>
      </c>
      <c r="BA2" s="3" t="b">
        <f>AND(BA1,AY2)</f>
        <v>0</v>
      </c>
      <c r="BB2" s="2" t="b">
        <f t="array" ref="BB2">INDEX([2]Столбцы!$I$3:$I$104,MATCH(BB$21,[2]Столбцы!$A$3:$A$104,0),)</f>
        <v>0</v>
      </c>
      <c r="BC2" s="3" t="b">
        <f t="array" ref="BC2">BB2</f>
        <v>0</v>
      </c>
      <c r="BD2" s="3" t="b">
        <f t="array" ref="BD2">BC2</f>
        <v>0</v>
      </c>
      <c r="BE2" s="3" t="b">
        <f t="array" ref="BE2">BD2</f>
        <v>0</v>
      </c>
      <c r="BF2" s="3" t="b">
        <f t="array" ref="BF2">BE2</f>
        <v>0</v>
      </c>
      <c r="BG2" s="3" t="b">
        <f t="array" ref="BG2">BF2</f>
        <v>0</v>
      </c>
      <c r="BH2" s="3" t="b">
        <f t="array" ref="BH2">BG2</f>
        <v>0</v>
      </c>
      <c r="BI2" s="3" t="b">
        <f t="array" ref="BI2">BH2</f>
        <v>0</v>
      </c>
      <c r="BJ2" s="3" t="b">
        <f t="array" ref="BJ2">BI2</f>
        <v>0</v>
      </c>
      <c r="BK2" s="3" t="b">
        <f t="array" ref="BK2">BJ2</f>
        <v>0</v>
      </c>
      <c r="BL2" s="3" t="b">
        <f t="array" ref="BL2">BK2</f>
        <v>0</v>
      </c>
      <c r="BM2" s="3" t="b">
        <f t="array" ref="BM2">BL2</f>
        <v>0</v>
      </c>
    </row>
    <row r="3" spans="3:65" ht="11.25" hidden="1" customHeight="1" x14ac:dyDescent="0.25">
      <c r="E3" s="2" t="s">
        <v>0</v>
      </c>
      <c r="F3" s="4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5" t="s">
        <v>6</v>
      </c>
      <c r="L3" s="4" t="s">
        <v>1</v>
      </c>
      <c r="M3" s="6" t="s">
        <v>7</v>
      </c>
      <c r="AD3" s="7"/>
      <c r="AE3" s="7"/>
      <c r="AG3" s="7"/>
      <c r="AH3" s="7"/>
      <c r="AI3" s="7"/>
      <c r="AJ3" s="7"/>
      <c r="AK3" s="7"/>
      <c r="AL3" s="7"/>
      <c r="AM3" s="7"/>
      <c r="AN3" s="7"/>
      <c r="AP3" s="7"/>
      <c r="AQ3" s="7"/>
      <c r="AR3" s="7"/>
      <c r="AS3" s="7"/>
      <c r="AT3" s="7"/>
      <c r="AU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3:65" ht="11.25" hidden="1" customHeight="1" x14ac:dyDescent="0.25">
      <c r="AD4" s="7"/>
      <c r="AE4" s="7"/>
      <c r="AG4" s="7"/>
      <c r="AH4" s="7"/>
      <c r="AI4" s="7"/>
      <c r="AJ4" s="7"/>
      <c r="AK4" s="7"/>
      <c r="AL4" s="7"/>
      <c r="AM4" s="7"/>
      <c r="AN4" s="7"/>
      <c r="AP4" s="7"/>
      <c r="AQ4" s="7"/>
      <c r="AR4" s="7"/>
      <c r="AS4" s="7"/>
      <c r="AT4" s="7"/>
      <c r="AU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3:65" ht="11.25" hidden="1" customHeight="1" x14ac:dyDescent="0.25">
      <c r="C5" s="2" t="s">
        <v>8</v>
      </c>
      <c r="AD5" s="2">
        <f t="array" ref="AD5">INDEX(IF(mark="Разметка",[2]Столбцы!$K$3:$N$104,[2]Столбцы!$P$3:$S$104),MATCH(AD$21,[2]Столбцы!$A$3:$A$104,0),MATCH($C5,IF(mark="Разметка",[2]Столбцы!$K$2:$N$2,[2]Столбцы!$P$2:$S$2),0))</f>
        <v>2021</v>
      </c>
      <c r="AE5" s="2">
        <f t="array" ref="AE5">INDEX(IF(mark="Разметка",[2]Столбцы!$K$3:$N$104,[2]Столбцы!$P$3:$S$104),MATCH(AE$21,[2]Столбцы!$A$3:$A$104,0),MATCH($C5,IF(mark="Разметка",[2]Столбцы!$K$2:$N$2,[2]Столбцы!$P$2:$S$2),0))</f>
        <v>2022</v>
      </c>
      <c r="AF5" s="2">
        <f t="array" ref="AF5">INDEX(IF(mark="Разметка",[2]Столбцы!$K$3:$N$104,[2]Столбцы!$P$3:$S$104),MATCH(AF$21,[2]Столбцы!$A$3:$A$104,0),MATCH($C5,IF(mark="Разметка",[2]Столбцы!$K$2:$N$2,[2]Столбцы!$P$2:$S$2),0))</f>
        <v>2023</v>
      </c>
      <c r="AG5" s="2">
        <f t="array" ref="AG5">INDEX(IF(mark="Разметка",[2]Столбцы!$K$3:$N$104,[2]Столбцы!$P$3:$S$104),MATCH(AG$21,[2]Столбцы!$A$3:$A$104,0),MATCH($C5,IF(mark="Разметка",[2]Столбцы!$K$2:$N$2,[2]Столбцы!$P$2:$S$2),0))</f>
        <v>2023</v>
      </c>
      <c r="AH5" s="2">
        <f t="array" ref="AH5">INDEX(IF(mark="Разметка",[2]Столбцы!$K$3:$N$104,[2]Столбцы!$P$3:$S$104),MATCH(AH$21,[2]Столбцы!$A$3:$A$104,0),MATCH($C5,IF(mark="Разметка",[2]Столбцы!$K$2:$N$2,[2]Столбцы!$P$2:$S$2),0))</f>
        <v>2023</v>
      </c>
      <c r="AI5" s="2">
        <f t="array" ref="AI5">INDEX(IF(mark="Разметка",[2]Столбцы!$K$3:$N$104,[2]Столбцы!$P$3:$S$104),MATCH(AI$21,[2]Столбцы!$A$3:$A$104,0),MATCH($C5,IF(mark="Разметка",[2]Столбцы!$K$2:$N$2,[2]Столбцы!$P$2:$S$2),0))</f>
        <v>2023</v>
      </c>
      <c r="AJ5" s="2">
        <f t="array" ref="AJ5">INDEX(IF(mark="Разметка",[2]Столбцы!$K$3:$N$104,[2]Столбцы!$P$3:$S$104),MATCH(AJ$21,[2]Столбцы!$A$3:$A$104,0),MATCH($C5,IF(mark="Разметка",[2]Столбцы!$K$2:$N$2,[2]Столбцы!$P$2:$S$2),0))</f>
        <v>2023</v>
      </c>
      <c r="AK5" s="2">
        <f t="array" ref="AK5">INDEX(IF(mark="Разметка",[2]Столбцы!$K$3:$N$104,[2]Столбцы!$P$3:$S$104),MATCH(AK$21,[2]Столбцы!$A$3:$A$104,0),MATCH($C5,IF(mark="Разметка",[2]Столбцы!$K$2:$N$2,[2]Столбцы!$P$2:$S$2),0))</f>
        <v>2023</v>
      </c>
      <c r="AL5" s="2">
        <f t="array" ref="AL5">INDEX(IF(mark="Разметка",[2]Столбцы!$K$3:$N$104,[2]Столбцы!$P$3:$S$104),MATCH(AL$21,[2]Столбцы!$A$3:$A$104,0),MATCH($C5,IF(mark="Разметка",[2]Столбцы!$K$2:$N$2,[2]Столбцы!$P$2:$S$2),0))</f>
        <v>2023</v>
      </c>
      <c r="AM5" s="2">
        <f t="array" ref="AM5">INDEX(IF(mark="Разметка",[2]Столбцы!$K$3:$N$104,[2]Столбцы!$P$3:$S$104),MATCH(AM$21,[2]Столбцы!$A$3:$A$104,0),MATCH($C5,IF(mark="Разметка",[2]Столбцы!$K$2:$N$2,[2]Столбцы!$P$2:$S$2),0))</f>
        <v>2023</v>
      </c>
      <c r="AN5" s="2">
        <f t="array" ref="AN5">INDEX(IF(mark="Разметка",[2]Столбцы!$K$3:$N$104,[2]Столбцы!$P$3:$S$104),MATCH(AN$21,[2]Столбцы!$A$3:$A$104,0),MATCH($C5,IF(mark="Разметка",[2]Столбцы!$K$2:$N$2,[2]Столбцы!$P$2:$S$2),0))</f>
        <v>2023</v>
      </c>
      <c r="AO5" s="2">
        <f t="array" ref="AO5">INDEX(IF(mark="Разметка",[2]Столбцы!$K$3:$N$104,[2]Столбцы!$P$3:$S$104),MATCH(AO$21,[2]Столбцы!$A$3:$A$104,0),MATCH($C5,IF(mark="Разметка",[2]Столбцы!$K$2:$N$2,[2]Столбцы!$P$2:$S$2),0))</f>
        <v>2024</v>
      </c>
      <c r="AP5" s="2">
        <f t="array" ref="AP5">INDEX(IF(mark="Разметка",[2]Столбцы!$K$3:$N$104,[2]Столбцы!$P$3:$S$104),MATCH(AP$21,[2]Столбцы!$A$3:$A$104,0),MATCH($C5,IF(mark="Разметка",[2]Столбцы!$K$2:$N$2,[2]Столбцы!$P$2:$S$2),0))</f>
        <v>2024</v>
      </c>
      <c r="AQ5" s="2">
        <f t="array" ref="AQ5">INDEX(IF(mark="Разметка",[2]Столбцы!$K$3:$N$104,[2]Столбцы!$P$3:$S$104),MATCH(AQ$21,[2]Столбцы!$A$3:$A$104,0),MATCH($C5,IF(mark="Разметка",[2]Столбцы!$K$2:$N$2,[2]Столбцы!$P$2:$S$2),0))</f>
        <v>2024</v>
      </c>
      <c r="AR5" s="2">
        <f t="array" ref="AR5">INDEX(IF(mark="Разметка",[2]Столбцы!$K$3:$N$104,[2]Столбцы!$P$3:$S$104),MATCH(AR$21,[2]Столбцы!$A$3:$A$104,0),MATCH($C5,IF(mark="Разметка",[2]Столбцы!$K$2:$N$2,[2]Столбцы!$P$2:$S$2),0))</f>
        <v>2024</v>
      </c>
      <c r="AS5" s="2">
        <f t="array" ref="AS5">INDEX(IF(mark="Разметка",[2]Столбцы!$K$3:$N$104,[2]Столбцы!$P$3:$S$104),MATCH(AS$21,[2]Столбцы!$A$3:$A$104,0),MATCH($C5,IF(mark="Разметка",[2]Столбцы!$K$2:$N$2,[2]Столбцы!$P$2:$S$2),0))</f>
        <v>2024</v>
      </c>
      <c r="AT5" s="2">
        <f t="array" ref="AT5">INDEX(IF(mark="Разметка",[2]Столбцы!$K$3:$N$104,[2]Столбцы!$P$3:$S$104),MATCH(AT$21,[2]Столбцы!$A$3:$A$104,0),MATCH($C5,IF(mark="Разметка",[2]Столбцы!$K$2:$N$2,[2]Столбцы!$P$2:$S$2),0))</f>
        <v>2024</v>
      </c>
      <c r="AU5" s="2">
        <f t="array" ref="AU5">INDEX(IF(mark="Разметка",[2]Столбцы!$K$3:$N$104,[2]Столбцы!$P$3:$S$104),MATCH(AU$21,[2]Столбцы!$A$3:$A$104,0),MATCH($C5,IF(mark="Разметка",[2]Столбцы!$K$2:$N$2,[2]Столбцы!$P$2:$S$2),0))</f>
        <v>2024</v>
      </c>
      <c r="AV5" s="2">
        <f t="array" ref="AV5">INDEX(IF(mark="Разметка",[2]Столбцы!$K$3:$N$104,[2]Столбцы!$P$3:$S$104),MATCH(AV$21,[2]Столбцы!$A$3:$A$104,0),MATCH($C5,IF(mark="Разметка",[2]Столбцы!$K$2:$N$2,[2]Столбцы!$P$2:$S$2),0))</f>
        <v>2025</v>
      </c>
      <c r="AW5" s="2">
        <f t="array" ref="AW5">INDEX(IF(mark="Разметка",[2]Столбцы!$K$3:$N$104,[2]Столбцы!$P$3:$S$104),MATCH(AW$21,[2]Столбцы!$A$3:$A$104,0),MATCH($C5,IF(mark="Разметка",[2]Столбцы!$K$2:$N$2,[2]Столбцы!$P$2:$S$2),0))</f>
        <v>2025</v>
      </c>
      <c r="AX5" s="2">
        <f t="array" ref="AX5">INDEX(IF(mark="Разметка",[2]Столбцы!$K$3:$N$104,[2]Столбцы!$P$3:$S$104),MATCH(AX$21,[2]Столбцы!$A$3:$A$104,0),MATCH($C5,IF(mark="Разметка",[2]Столбцы!$K$2:$N$2,[2]Столбцы!$P$2:$S$2),0))</f>
        <v>2025</v>
      </c>
      <c r="AY5" s="2">
        <f t="array" ref="AY5">INDEX(IF(mark="Разметка",[2]Столбцы!$K$3:$N$104,[2]Столбцы!$P$3:$S$104),MATCH(AY$21,[2]Столбцы!$A$3:$A$104,0),MATCH($C5,IF(mark="Разметка",[2]Столбцы!$K$2:$N$2,[2]Столбцы!$P$2:$S$2),0))</f>
        <v>2025</v>
      </c>
      <c r="AZ5" s="2">
        <f t="array" ref="AZ5">INDEX(IF(mark="Разметка",[2]Столбцы!$K$3:$N$104,[2]Столбцы!$P$3:$S$104),MATCH(AZ$21,[2]Столбцы!$A$3:$A$104,0),MATCH($C5,IF(mark="Разметка",[2]Столбцы!$K$2:$N$2,[2]Столбцы!$P$2:$S$2),0))</f>
        <v>2025</v>
      </c>
      <c r="BA5" s="2">
        <f t="array" ref="BA5">INDEX(IF(mark="Разметка",[2]Столбцы!$K$3:$N$104,[2]Столбцы!$P$3:$S$104),MATCH(BA$21,[2]Столбцы!$A$3:$A$104,0),MATCH($C5,IF(mark="Разметка",[2]Столбцы!$K$2:$N$2,[2]Столбцы!$P$2:$S$2),0))</f>
        <v>2025</v>
      </c>
      <c r="BB5" s="2" t="str">
        <f t="array" ref="BB5">INDEX([2]Столбцы!$K$3:$N$104,MATCH(BB$21,[2]Столбцы!$B$3:$B$104,0),MATCH($C5,[2]Столбцы!$K$2:$N$2,0))</f>
        <v>Не определено</v>
      </c>
      <c r="BC5" s="3" t="str">
        <f t="array" ref="BC5">BB5</f>
        <v>Не определено</v>
      </c>
      <c r="BD5" s="3" t="str">
        <f t="array" ref="BD5">BC5</f>
        <v>Не определено</v>
      </c>
      <c r="BE5" s="7"/>
      <c r="BF5" s="7"/>
      <c r="BG5" s="7"/>
      <c r="BH5" s="7"/>
      <c r="BI5" s="7"/>
      <c r="BJ5" s="7"/>
      <c r="BK5" s="7"/>
      <c r="BL5" s="7"/>
      <c r="BM5" s="7"/>
    </row>
    <row r="6" spans="3:65" ht="11.25" hidden="1" customHeight="1" x14ac:dyDescent="0.25">
      <c r="C6" s="2" t="s">
        <v>9</v>
      </c>
      <c r="AD6" s="2" t="str">
        <f t="array" ref="AD6">INDEX(IF(mark="Разметка",[2]Столбцы!$K$3:$N$104,[2]Столбцы!$P$3:$S$104),MATCH(AD$21,[2]Столбцы!$A$3:$A$104,0),MATCH($C6,IF(mark="Разметка",[2]Столбцы!$K$2:$N$2,[2]Столбцы!$P$2:$S$2),0))</f>
        <v>План</v>
      </c>
      <c r="AE6" s="2" t="str">
        <f t="array" ref="AE6">INDEX(IF(mark="Разметка",[2]Столбцы!$K$3:$N$104,[2]Столбцы!$P$3:$S$104),MATCH(AE$21,[2]Столбцы!$A$3:$A$104,0),MATCH($C6,IF(mark="Разметка",[2]Столбцы!$K$2:$N$2,[2]Столбцы!$P$2:$S$2),0))</f>
        <v>План</v>
      </c>
      <c r="AF6" s="2" t="str">
        <f t="array" ref="AF6">INDEX(IF(mark="Разметка",[2]Столбцы!$K$3:$N$104,[2]Столбцы!$P$3:$S$104),MATCH(AF$21,[2]Столбцы!$A$3:$A$104,0),MATCH($C6,IF(mark="Разметка",[2]Столбцы!$K$2:$N$2,[2]Столбцы!$P$2:$S$2),0))</f>
        <v>План</v>
      </c>
      <c r="AG6" s="2" t="str">
        <f t="array" ref="AG6">INDEX(IF(mark="Разметка",[2]Столбцы!$K$3:$N$104,[2]Столбцы!$P$3:$S$104),MATCH(AG$21,[2]Столбцы!$A$3:$A$104,0),MATCH($C6,IF(mark="Разметка",[2]Столбцы!$K$2:$N$2,[2]Столбцы!$P$2:$S$2),0))</f>
        <v>План</v>
      </c>
      <c r="AH6" s="2" t="str">
        <f t="array" ref="AH6">INDEX(IF(mark="Разметка",[2]Столбцы!$K$3:$N$104,[2]Столбцы!$P$3:$S$104),MATCH(AH$21,[2]Столбцы!$A$3:$A$104,0),MATCH($C6,IF(mark="Разметка",[2]Столбцы!$K$2:$N$2,[2]Столбцы!$P$2:$S$2),0))</f>
        <v>План</v>
      </c>
      <c r="AI6" s="2" t="str">
        <f t="array" ref="AI6">INDEX(IF(mark="Разметка",[2]Столбцы!$K$3:$N$104,[2]Столбцы!$P$3:$S$104),MATCH(AI$21,[2]Столбцы!$A$3:$A$104,0),MATCH($C6,IF(mark="Разметка",[2]Столбцы!$K$2:$N$2,[2]Столбцы!$P$2:$S$2),0))</f>
        <v>План</v>
      </c>
      <c r="AJ6" s="2" t="str">
        <f t="array" ref="AJ6">INDEX(IF(mark="Разметка",[2]Столбцы!$K$3:$N$104,[2]Столбцы!$P$3:$S$104),MATCH(AJ$21,[2]Столбцы!$A$3:$A$104,0),MATCH($C6,IF(mark="Разметка",[2]Столбцы!$K$2:$N$2,[2]Столбцы!$P$2:$S$2),0))</f>
        <v>План</v>
      </c>
      <c r="AK6" s="2" t="str">
        <f t="array" ref="AK6">INDEX(IF(mark="Разметка",[2]Столбцы!$K$3:$N$104,[2]Столбцы!$P$3:$S$104),MATCH(AK$21,[2]Столбцы!$A$3:$A$104,0),MATCH($C6,IF(mark="Разметка",[2]Столбцы!$K$2:$N$2,[2]Столбцы!$P$2:$S$2),0))</f>
        <v>План</v>
      </c>
      <c r="AL6" s="2" t="str">
        <f t="array" ref="AL6">INDEX(IF(mark="Разметка",[2]Столбцы!$K$3:$N$104,[2]Столбцы!$P$3:$S$104),MATCH(AL$21,[2]Столбцы!$A$3:$A$104,0),MATCH($C6,IF(mark="Разметка",[2]Столбцы!$K$2:$N$2,[2]Столбцы!$P$2:$S$2),0))</f>
        <v>Факт</v>
      </c>
      <c r="AM6" s="2" t="str">
        <f t="array" ref="AM6">INDEX(IF(mark="Разметка",[2]Столбцы!$K$3:$N$104,[2]Столбцы!$P$3:$S$104),MATCH(AM$21,[2]Столбцы!$A$3:$A$104,0),MATCH($C6,IF(mark="Разметка",[2]Столбцы!$K$2:$N$2,[2]Столбцы!$P$2:$S$2),0))</f>
        <v>Факт</v>
      </c>
      <c r="AN6" s="2" t="str">
        <f t="array" ref="AN6">INDEX(IF(mark="Разметка",[2]Столбцы!$K$3:$N$104,[2]Столбцы!$P$3:$S$104),MATCH(AN$21,[2]Столбцы!$A$3:$A$104,0),MATCH($C6,IF(mark="Разметка",[2]Столбцы!$K$2:$N$2,[2]Столбцы!$P$2:$S$2),0))</f>
        <v>Факт</v>
      </c>
      <c r="AO6" s="2" t="str">
        <f t="array" ref="AO6">INDEX(IF(mark="Разметка",[2]Столбцы!$K$3:$N$104,[2]Столбцы!$P$3:$S$104),MATCH(AO$21,[2]Столбцы!$A$3:$A$104,0),MATCH($C6,IF(mark="Разметка",[2]Столбцы!$K$2:$N$2,[2]Столбцы!$P$2:$S$2),0))</f>
        <v>План</v>
      </c>
      <c r="AP6" s="2" t="str">
        <f t="array" ref="AP6">INDEX(IF(mark="Разметка",[2]Столбцы!$K$3:$N$104,[2]Столбцы!$P$3:$S$104),MATCH(AP$21,[2]Столбцы!$A$3:$A$104,0),MATCH($C6,IF(mark="Разметка",[2]Столбцы!$K$2:$N$2,[2]Столбцы!$P$2:$S$2),0))</f>
        <v>План</v>
      </c>
      <c r="AQ6" s="2" t="str">
        <f t="array" ref="AQ6">INDEX(IF(mark="Разметка",[2]Столбцы!$K$3:$N$104,[2]Столбцы!$P$3:$S$104),MATCH(AQ$21,[2]Столбцы!$A$3:$A$104,0),MATCH($C6,IF(mark="Разметка",[2]Столбцы!$K$2:$N$2,[2]Столбцы!$P$2:$S$2),0))</f>
        <v>План</v>
      </c>
      <c r="AR6" s="2" t="str">
        <f t="array" ref="AR6">INDEX(IF(mark="Разметка",[2]Столбцы!$K$3:$N$104,[2]Столбцы!$P$3:$S$104),MATCH(AR$21,[2]Столбцы!$A$3:$A$104,0),MATCH($C6,IF(mark="Разметка",[2]Столбцы!$K$2:$N$2,[2]Столбцы!$P$2:$S$2),0))</f>
        <v>План</v>
      </c>
      <c r="AS6" s="2" t="str">
        <f t="array" ref="AS6">INDEX(IF(mark="Разметка",[2]Столбцы!$K$3:$N$104,[2]Столбцы!$P$3:$S$104),MATCH(AS$21,[2]Столбцы!$A$3:$A$104,0),MATCH($C6,IF(mark="Разметка",[2]Столбцы!$K$2:$N$2,[2]Столбцы!$P$2:$S$2),0))</f>
        <v>План</v>
      </c>
      <c r="AT6" s="2" t="str">
        <f t="array" ref="AT6">INDEX(IF(mark="Разметка",[2]Столбцы!$K$3:$N$104,[2]Столбцы!$P$3:$S$104),MATCH(AT$21,[2]Столбцы!$A$3:$A$104,0),MATCH($C6,IF(mark="Разметка",[2]Столбцы!$K$2:$N$2,[2]Столбцы!$P$2:$S$2),0))</f>
        <v>План</v>
      </c>
      <c r="AU6" s="2" t="str">
        <f t="array" ref="AU6">INDEX(IF(mark="Разметка",[2]Столбцы!$K$3:$N$104,[2]Столбцы!$P$3:$S$104),MATCH(AU$21,[2]Столбцы!$A$3:$A$104,0),MATCH($C6,IF(mark="Разметка",[2]Столбцы!$K$2:$N$2,[2]Столбцы!$P$2:$S$2),0))</f>
        <v>Ожидаемо</v>
      </c>
      <c r="AV6" s="2" t="str">
        <f t="array" ref="AV6">INDEX(IF(mark="Разметка",[2]Столбцы!$K$3:$N$104,[2]Столбцы!$P$3:$S$104),MATCH(AV$21,[2]Столбцы!$A$3:$A$104,0),MATCH($C6,IF(mark="Разметка",[2]Столбцы!$K$2:$N$2,[2]Столбцы!$P$2:$S$2),0))</f>
        <v>Утверждено</v>
      </c>
      <c r="AW6" s="2" t="str">
        <f t="array" ref="AW6">INDEX(IF(mark="Разметка",[2]Столбцы!$K$3:$N$104,[2]Столбцы!$P$3:$S$104),MATCH(AW$21,[2]Столбцы!$A$3:$A$104,0),MATCH($C6,IF(mark="Разметка",[2]Столбцы!$K$2:$N$2,[2]Столбцы!$P$2:$S$2),0))</f>
        <v>Утверждено</v>
      </c>
      <c r="AX6" s="2" t="str">
        <f t="array" ref="AX6">INDEX(IF(mark="Разметка",[2]Столбцы!$K$3:$N$104,[2]Столбцы!$P$3:$S$104),MATCH(AX$21,[2]Столбцы!$A$3:$A$104,0),MATCH($C6,IF(mark="Разметка",[2]Столбцы!$K$2:$N$2,[2]Столбцы!$P$2:$S$2),0))</f>
        <v>Утверждено</v>
      </c>
      <c r="AY6" s="2" t="str">
        <f t="array" ref="AY6">INDEX(IF(mark="Разметка",[2]Столбцы!$K$3:$N$104,[2]Столбцы!$P$3:$S$104),MATCH(AY$21,[2]Столбцы!$A$3:$A$104,0),MATCH($C6,IF(mark="Разметка",[2]Столбцы!$K$2:$N$2,[2]Столбцы!$P$2:$S$2),0))</f>
        <v>Утверждено</v>
      </c>
      <c r="AZ6" s="2" t="str">
        <f t="array" ref="AZ6">INDEX(IF(mark="Разметка",[2]Столбцы!$K$3:$N$104,[2]Столбцы!$P$3:$S$104),MATCH(AZ$21,[2]Столбцы!$A$3:$A$104,0),MATCH($C6,IF(mark="Разметка",[2]Столбцы!$K$2:$N$2,[2]Столбцы!$P$2:$S$2),0))</f>
        <v>Утверждено</v>
      </c>
      <c r="BA6" s="2" t="str">
        <f t="array" ref="BA6">INDEX(IF(mark="Разметка",[2]Столбцы!$K$3:$N$104,[2]Столбцы!$P$3:$S$104),MATCH(BA$21,[2]Столбцы!$A$3:$A$104,0),MATCH($C6,IF(mark="Разметка",[2]Столбцы!$K$2:$N$2,[2]Столбцы!$P$2:$S$2),0))</f>
        <v>Утверждено</v>
      </c>
      <c r="BB6" s="2" t="str">
        <f t="array" ref="BB6">INDEX([2]Столбцы!$K$3:$N$104,MATCH(BB$21,[2]Столбцы!$B$3:$B$104,0),MATCH($C6,[2]Столбцы!$K$2:$N$2,0))</f>
        <v>Не определено</v>
      </c>
      <c r="BC6" s="3" t="str">
        <f t="array" ref="BC6">BB6</f>
        <v>Не определено</v>
      </c>
      <c r="BD6" s="3" t="str">
        <f t="array" ref="BD6">BC6</f>
        <v>Не определено</v>
      </c>
      <c r="BE6" s="7"/>
      <c r="BF6" s="7"/>
      <c r="BG6" s="7"/>
      <c r="BH6" s="7"/>
      <c r="BI6" s="7"/>
      <c r="BJ6" s="7"/>
      <c r="BK6" s="7"/>
      <c r="BL6" s="7"/>
      <c r="BM6" s="7"/>
    </row>
    <row r="7" spans="3:65" ht="11.25" hidden="1" customHeight="1" x14ac:dyDescent="0.25">
      <c r="C7" s="2" t="s">
        <v>10</v>
      </c>
      <c r="AD7" s="3" t="s">
        <v>11</v>
      </c>
      <c r="AE7" s="3" t="s">
        <v>11</v>
      </c>
      <c r="AF7" s="3" t="s">
        <v>11</v>
      </c>
      <c r="AG7" s="3" t="s">
        <v>11</v>
      </c>
      <c r="AH7" s="3" t="s">
        <v>11</v>
      </c>
      <c r="AI7" s="3" t="s">
        <v>11</v>
      </c>
      <c r="AJ7" s="3" t="s">
        <v>11</v>
      </c>
      <c r="AK7" s="3" t="s">
        <v>11</v>
      </c>
      <c r="AL7" s="3" t="s">
        <v>11</v>
      </c>
      <c r="AM7" s="3" t="s">
        <v>11</v>
      </c>
      <c r="AN7" s="3" t="s">
        <v>11</v>
      </c>
      <c r="AO7" s="3" t="s">
        <v>11</v>
      </c>
      <c r="AP7" s="3" t="s">
        <v>11</v>
      </c>
      <c r="AQ7" s="3" t="s">
        <v>11</v>
      </c>
      <c r="AR7" s="3" t="s">
        <v>11</v>
      </c>
      <c r="AS7" s="3" t="s">
        <v>11</v>
      </c>
      <c r="AT7" s="3" t="s">
        <v>11</v>
      </c>
      <c r="AU7" s="3" t="s">
        <v>11</v>
      </c>
      <c r="AV7" s="3" t="s">
        <v>11</v>
      </c>
      <c r="AW7" s="3" t="s">
        <v>11</v>
      </c>
      <c r="AX7" s="3" t="s">
        <v>11</v>
      </c>
      <c r="AY7" s="3" t="s">
        <v>11</v>
      </c>
      <c r="AZ7" s="3" t="s">
        <v>11</v>
      </c>
      <c r="BA7" s="3" t="s">
        <v>11</v>
      </c>
      <c r="BB7" s="3" t="s">
        <v>12</v>
      </c>
      <c r="BC7" s="3" t="s">
        <v>13</v>
      </c>
      <c r="BD7" s="3" t="s">
        <v>14</v>
      </c>
      <c r="BE7" s="7"/>
      <c r="BF7" s="7"/>
      <c r="BG7" s="7"/>
      <c r="BH7" s="7"/>
      <c r="BI7" s="7"/>
      <c r="BJ7" s="7"/>
      <c r="BK7" s="7"/>
      <c r="BL7" s="7"/>
      <c r="BM7" s="7"/>
    </row>
    <row r="8" spans="3:65" ht="11.25" hidden="1" customHeight="1" x14ac:dyDescent="0.25">
      <c r="C8" s="2" t="s">
        <v>15</v>
      </c>
      <c r="AD8" s="2" t="str">
        <f t="array" ref="AD8">INDEX(IF(mark="Разметка",[2]Столбцы!$K$3:$N$104,[2]Столбцы!$P$3:$S$104),MATCH(AD$21,[2]Столбцы!$A$3:$A$104,0),MATCH($C8,IF(mark="Разметка",[2]Столбцы!$K$2:$N$2,[2]Столбцы!$P$2:$S$2),0))</f>
        <v>Версия организации</v>
      </c>
      <c r="AE8" s="2" t="str">
        <f t="array" ref="AE8">INDEX(IF(mark="Разметка",[2]Столбцы!$K$3:$N$104,[2]Столбцы!$P$3:$S$104),MATCH(AE$21,[2]Столбцы!$A$3:$A$104,0),MATCH($C8,IF(mark="Разметка",[2]Столбцы!$K$2:$N$2,[2]Столбцы!$P$2:$S$2),0))</f>
        <v>Версия организации</v>
      </c>
      <c r="AF8" s="2" t="str">
        <f t="array" ref="AF8">INDEX(IF(mark="Разметка",[2]Столбцы!$K$3:$N$104,[2]Столбцы!$P$3:$S$104),MATCH(AF$21,[2]Столбцы!$A$3:$A$104,0),MATCH($C8,IF(mark="Разметка",[2]Столбцы!$K$2:$N$2,[2]Столбцы!$P$2:$S$2),0))</f>
        <v>Версия организации</v>
      </c>
      <c r="AG8" s="2" t="str">
        <f t="array" ref="AG8">INDEX(IF(mark="Разметка",[2]Столбцы!$K$3:$N$104,[2]Столбцы!$P$3:$S$104),MATCH(AG$21,[2]Столбцы!$A$3:$A$104,0),MATCH($C8,IF(mark="Разметка",[2]Столбцы!$K$2:$N$2,[2]Столбцы!$P$2:$S$2),0))</f>
        <v>Версия организации</v>
      </c>
      <c r="AH8" s="2" t="str">
        <f t="array" ref="AH8">INDEX(IF(mark="Разметка",[2]Столбцы!$K$3:$N$104,[2]Столбцы!$P$3:$S$104),MATCH(AH$21,[2]Столбцы!$A$3:$A$104,0),MATCH($C8,IF(mark="Разметка",[2]Столбцы!$K$2:$N$2,[2]Столбцы!$P$2:$S$2),0))</f>
        <v>Версия организации</v>
      </c>
      <c r="AI8" s="2" t="str">
        <f t="array" ref="AI8">INDEX(IF(mark="Разметка",[2]Столбцы!$K$3:$N$104,[2]Столбцы!$P$3:$S$104),MATCH(AI$21,[2]Столбцы!$A$3:$A$104,0),MATCH($C8,IF(mark="Разметка",[2]Столбцы!$K$2:$N$2,[2]Столбцы!$P$2:$S$2),0))</f>
        <v>Версия регулятора</v>
      </c>
      <c r="AJ8" s="2" t="str">
        <f t="array" ref="AJ8">INDEX(IF(mark="Разметка",[2]Столбцы!$K$3:$N$104,[2]Столбцы!$P$3:$S$104),MATCH(AJ$21,[2]Столбцы!$A$3:$A$104,0),MATCH($C8,IF(mark="Разметка",[2]Столбцы!$K$2:$N$2,[2]Столбцы!$P$2:$S$2),0))</f>
        <v>Версия регулятора</v>
      </c>
      <c r="AK8" s="2" t="str">
        <f t="array" ref="AK8">INDEX(IF(mark="Разметка",[2]Столбцы!$K$3:$N$104,[2]Столбцы!$P$3:$S$104),MATCH(AK$21,[2]Столбцы!$A$3:$A$104,0),MATCH($C8,IF(mark="Разметка",[2]Столбцы!$K$2:$N$2,[2]Столбцы!$P$2:$S$2),0))</f>
        <v>Версия регулятора</v>
      </c>
      <c r="AL8" s="2" t="str">
        <f t="array" ref="AL8">INDEX(IF(mark="Разметка",[2]Столбцы!$K$3:$N$104,[2]Столбцы!$P$3:$S$104),MATCH(AL$21,[2]Столбцы!$A$3:$A$104,0),MATCH($C8,IF(mark="Разметка",[2]Столбцы!$K$2:$N$2,[2]Столбцы!$P$2:$S$2),0))</f>
        <v>Версия организации</v>
      </c>
      <c r="AM8" s="2" t="str">
        <f t="array" ref="AM8">INDEX(IF(mark="Разметка",[2]Столбцы!$K$3:$N$104,[2]Столбцы!$P$3:$S$104),MATCH(AM$21,[2]Столбцы!$A$3:$A$104,0),MATCH($C8,IF(mark="Разметка",[2]Столбцы!$K$2:$N$2,[2]Столбцы!$P$2:$S$2),0))</f>
        <v>Версия организации</v>
      </c>
      <c r="AN8" s="2" t="str">
        <f t="array" ref="AN8">INDEX(IF(mark="Разметка",[2]Столбцы!$K$3:$N$104,[2]Столбцы!$P$3:$S$104),MATCH(AN$21,[2]Столбцы!$A$3:$A$104,0),MATCH($C8,IF(mark="Разметка",[2]Столбцы!$K$2:$N$2,[2]Столбцы!$P$2:$S$2),0))</f>
        <v>Версия регулятора</v>
      </c>
      <c r="AO8" s="2" t="str">
        <f t="array" ref="AO8">INDEX(IF(mark="Разметка",[2]Столбцы!$K$3:$N$104,[2]Столбцы!$P$3:$S$104),MATCH(AO$21,[2]Столбцы!$A$3:$A$104,0),MATCH($C8,IF(mark="Разметка",[2]Столбцы!$K$2:$N$2,[2]Столбцы!$P$2:$S$2),0))</f>
        <v>Версия организации</v>
      </c>
      <c r="AP8" s="2" t="str">
        <f t="array" ref="AP8">INDEX(IF(mark="Разметка",[2]Столбцы!$K$3:$N$104,[2]Столбцы!$P$3:$S$104),MATCH(AP$21,[2]Столбцы!$A$3:$A$104,0),MATCH($C8,IF(mark="Разметка",[2]Столбцы!$K$2:$N$2,[2]Столбцы!$P$2:$S$2),0))</f>
        <v>Версия организации</v>
      </c>
      <c r="AQ8" s="2" t="str">
        <f t="array" ref="AQ8">INDEX(IF(mark="Разметка",[2]Столбцы!$K$3:$N$104,[2]Столбцы!$P$3:$S$104),MATCH(AQ$21,[2]Столбцы!$A$3:$A$104,0),MATCH($C8,IF(mark="Разметка",[2]Столбцы!$K$2:$N$2,[2]Столбцы!$P$2:$S$2),0))</f>
        <v>Версия организации</v>
      </c>
      <c r="AR8" s="2" t="str">
        <f t="array" ref="AR8">INDEX(IF(mark="Разметка",[2]Столбцы!$K$3:$N$104,[2]Столбцы!$P$3:$S$104),MATCH(AR$21,[2]Столбцы!$A$3:$A$104,0),MATCH($C8,IF(mark="Разметка",[2]Столбцы!$K$2:$N$2,[2]Столбцы!$P$2:$S$2),0))</f>
        <v>Версия регулятора</v>
      </c>
      <c r="AS8" s="2" t="str">
        <f t="array" ref="AS8">INDEX(IF(mark="Разметка",[2]Столбцы!$K$3:$N$104,[2]Столбцы!$P$3:$S$104),MATCH(AS$21,[2]Столбцы!$A$3:$A$104,0),MATCH($C8,IF(mark="Разметка",[2]Столбцы!$K$2:$N$2,[2]Столбцы!$P$2:$S$2),0))</f>
        <v>Версия регулятора</v>
      </c>
      <c r="AT8" s="2" t="str">
        <f t="array" ref="AT8">INDEX(IF(mark="Разметка",[2]Столбцы!$K$3:$N$104,[2]Столбцы!$P$3:$S$104),MATCH(AT$21,[2]Столбцы!$A$3:$A$104,0),MATCH($C8,IF(mark="Разметка",[2]Столбцы!$K$2:$N$2,[2]Столбцы!$P$2:$S$2),0))</f>
        <v>Версия регулятора</v>
      </c>
      <c r="AU8" s="2" t="str">
        <f t="array" ref="AU8">INDEX(IF(mark="Разметка",[2]Столбцы!$K$3:$N$104,[2]Столбцы!$P$3:$S$104),MATCH(AU$21,[2]Столбцы!$A$3:$A$104,0),MATCH($C8,IF(mark="Разметка",[2]Столбцы!$K$2:$N$2,[2]Столбцы!$P$2:$S$2),0))</f>
        <v>Версия регулятора</v>
      </c>
      <c r="AV8" s="2" t="str">
        <f t="array" ref="AV8">INDEX(IF(mark="Разметка",[2]Столбцы!$K$3:$N$104,[2]Столбцы!$P$3:$S$104),MATCH(AV$21,[2]Столбцы!$A$3:$A$104,0),MATCH($C8,IF(mark="Разметка",[2]Столбцы!$K$2:$N$2,[2]Столбцы!$P$2:$S$2),0))</f>
        <v>Версия организации</v>
      </c>
      <c r="AW8" s="2" t="str">
        <f t="array" ref="AW8">INDEX(IF(mark="Разметка",[2]Столбцы!$K$3:$N$104,[2]Столбцы!$P$3:$S$104),MATCH(AW$21,[2]Столбцы!$A$3:$A$104,0),MATCH($C8,IF(mark="Разметка",[2]Столбцы!$K$2:$N$2,[2]Столбцы!$P$2:$S$2),0))</f>
        <v>Версия организации</v>
      </c>
      <c r="AX8" s="2" t="str">
        <f t="array" ref="AX8">INDEX(IF(mark="Разметка",[2]Столбцы!$K$3:$N$104,[2]Столбцы!$P$3:$S$104),MATCH(AX$21,[2]Столбцы!$A$3:$A$104,0),MATCH($C8,IF(mark="Разметка",[2]Столбцы!$K$2:$N$2,[2]Столбцы!$P$2:$S$2),0))</f>
        <v>Версия организации</v>
      </c>
      <c r="AY8" s="2" t="str">
        <f t="array" ref="AY8">INDEX(IF(mark="Разметка",[2]Столбцы!$K$3:$N$104,[2]Столбцы!$P$3:$S$104),MATCH(AY$21,[2]Столбцы!$A$3:$A$104,0),MATCH($C8,IF(mark="Разметка",[2]Столбцы!$K$2:$N$2,[2]Столбцы!$P$2:$S$2),0))</f>
        <v>Версия регулятора</v>
      </c>
      <c r="AZ8" s="2" t="str">
        <f t="array" ref="AZ8">INDEX(IF(mark="Разметка",[2]Столбцы!$K$3:$N$104,[2]Столбцы!$P$3:$S$104),MATCH(AZ$21,[2]Столбцы!$A$3:$A$104,0),MATCH($C8,IF(mark="Разметка",[2]Столбцы!$K$2:$N$2,[2]Столбцы!$P$2:$S$2),0))</f>
        <v>Версия регулятора</v>
      </c>
      <c r="BA8" s="2" t="str">
        <f t="array" ref="BA8">INDEX(IF(mark="Разметка",[2]Столбцы!$K$3:$N$104,[2]Столбцы!$P$3:$S$104),MATCH(BA$21,[2]Столбцы!$A$3:$A$104,0),MATCH($C8,IF(mark="Разметка",[2]Столбцы!$K$2:$N$2,[2]Столбцы!$P$2:$S$2),0))</f>
        <v>Версия регулятора</v>
      </c>
      <c r="BB8" s="2" t="str">
        <f t="array" ref="BB8">INDEX([2]Столбцы!$K$3:$N$104,MATCH(BB$21,[2]Столбцы!$B$3:$B$104,0),MATCH($C8,[2]Столбцы!$K$2:$N$2,0))</f>
        <v>Версия регулятора</v>
      </c>
      <c r="BC8" s="3" t="str">
        <f t="array" ref="BC8">BB8</f>
        <v>Версия регулятора</v>
      </c>
      <c r="BD8" s="3" t="str">
        <f t="array" ref="BD8">BC8</f>
        <v>Версия регулятора</v>
      </c>
      <c r="BE8" s="7"/>
      <c r="BF8" s="7"/>
      <c r="BG8" s="7"/>
      <c r="BH8" s="7"/>
      <c r="BI8" s="7"/>
      <c r="BJ8" s="7"/>
      <c r="BK8" s="7"/>
      <c r="BL8" s="7"/>
      <c r="BM8" s="7"/>
    </row>
    <row r="9" spans="3:65" ht="14.25" hidden="1" customHeight="1" x14ac:dyDescent="0.25">
      <c r="C9" s="2" t="s">
        <v>16</v>
      </c>
      <c r="AD9" s="2" t="str">
        <f t="array" ref="AD9">INDEX(IF(mark="Разметка",[2]Столбцы!$K$3:$N$104,[2]Столбцы!$P$3:$S$104),MATCH(AD$21,[2]Столбцы!$A$3:$A$104,0),MATCH($C9,IF(mark="Разметка",[2]Столбцы!$K$2:$N$2,[2]Столбцы!$P$2:$S$2),0))</f>
        <v>Год</v>
      </c>
      <c r="AE9" s="2" t="str">
        <f t="array" ref="AE9">INDEX(IF(mark="Разметка",[2]Столбцы!$K$3:$N$104,[2]Столбцы!$P$3:$S$104),MATCH(AE$21,[2]Столбцы!$A$3:$A$104,0),MATCH($C9,IF(mark="Разметка",[2]Столбцы!$K$2:$N$2,[2]Столбцы!$P$2:$S$2),0))</f>
        <v>Год</v>
      </c>
      <c r="AF9" s="2" t="str">
        <f t="array" ref="AF9">INDEX(IF(mark="Разметка",[2]Столбцы!$K$3:$N$104,[2]Столбцы!$P$3:$S$104),MATCH(AF$21,[2]Столбцы!$A$3:$A$104,0),MATCH($C9,IF(mark="Разметка",[2]Столбцы!$K$2:$N$2,[2]Столбцы!$P$2:$S$2),0))</f>
        <v>Год</v>
      </c>
      <c r="AG9" s="2" t="str">
        <f t="array" ref="AG9">INDEX(IF(mark="Разметка",[2]Столбцы!$K$3:$N$104,[2]Столбцы!$P$3:$S$104),MATCH(AG$21,[2]Столбцы!$A$3:$A$104,0),MATCH($C9,IF(mark="Разметка",[2]Столбцы!$K$2:$N$2,[2]Столбцы!$P$2:$S$2),0))</f>
        <v>I</v>
      </c>
      <c r="AH9" s="2" t="str">
        <f t="array" ref="AH9">INDEX(IF(mark="Разметка",[2]Столбцы!$K$3:$N$104,[2]Столбцы!$P$3:$S$104),MATCH(AH$21,[2]Столбцы!$A$3:$A$104,0),MATCH($C9,IF(mark="Разметка",[2]Столбцы!$K$2:$N$2,[2]Столбцы!$P$2:$S$2),0))</f>
        <v>II</v>
      </c>
      <c r="AI9" s="2" t="str">
        <f t="array" ref="AI9">INDEX(IF(mark="Разметка",[2]Столбцы!$K$3:$N$104,[2]Столбцы!$P$3:$S$104),MATCH(AI$21,[2]Столбцы!$A$3:$A$104,0),MATCH($C9,IF(mark="Разметка",[2]Столбцы!$K$2:$N$2,[2]Столбцы!$P$2:$S$2),0))</f>
        <v>Год</v>
      </c>
      <c r="AJ9" s="2" t="str">
        <f t="array" ref="AJ9">INDEX(IF(mark="Разметка",[2]Столбцы!$K$3:$N$104,[2]Столбцы!$P$3:$S$104),MATCH(AJ$21,[2]Столбцы!$A$3:$A$104,0),MATCH($C9,IF(mark="Разметка",[2]Столбцы!$K$2:$N$2,[2]Столбцы!$P$2:$S$2),0))</f>
        <v>I</v>
      </c>
      <c r="AK9" s="2" t="str">
        <f t="array" ref="AK9">INDEX(IF(mark="Разметка",[2]Столбцы!$K$3:$N$104,[2]Столбцы!$P$3:$S$104),MATCH(AK$21,[2]Столбцы!$A$3:$A$104,0),MATCH($C9,IF(mark="Разметка",[2]Столбцы!$K$2:$N$2,[2]Столбцы!$P$2:$S$2),0))</f>
        <v>II</v>
      </c>
      <c r="AL9" s="2" t="str">
        <f t="array" ref="AL9">INDEX(IF(mark="Разметка",[2]Столбцы!$K$3:$N$104,[2]Столбцы!$P$3:$S$104),MATCH(AL$21,[2]Столбцы!$A$3:$A$104,0),MATCH($C9,IF(mark="Разметка",[2]Столбцы!$K$2:$N$2,[2]Столбцы!$P$2:$S$2),0))</f>
        <v>I</v>
      </c>
      <c r="AM9" s="2" t="str">
        <f t="array" ref="AM9">INDEX(IF(mark="Разметка",[2]Столбцы!$K$3:$N$104,[2]Столбцы!$P$3:$S$104),MATCH(AM$21,[2]Столбцы!$A$3:$A$104,0),MATCH($C9,IF(mark="Разметка",[2]Столбцы!$K$2:$N$2,[2]Столбцы!$P$2:$S$2),0))</f>
        <v>II</v>
      </c>
      <c r="AN9" s="2" t="str">
        <f t="array" ref="AN9">INDEX(IF(mark="Разметка",[2]Столбцы!$K$3:$N$104,[2]Столбцы!$P$3:$S$104),MATCH(AN$21,[2]Столбцы!$A$3:$A$104,0),MATCH($C9,IF(mark="Разметка",[2]Столбцы!$K$2:$N$2,[2]Столбцы!$P$2:$S$2),0))</f>
        <v>Год</v>
      </c>
      <c r="AO9" s="2" t="str">
        <f t="array" ref="AO9">INDEX(IF(mark="Разметка",[2]Столбцы!$K$3:$N$104,[2]Столбцы!$P$3:$S$104),MATCH(AO$21,[2]Столбцы!$A$3:$A$104,0),MATCH($C9,IF(mark="Разметка",[2]Столбцы!$K$2:$N$2,[2]Столбцы!$P$2:$S$2),0))</f>
        <v>Год</v>
      </c>
      <c r="AP9" s="2" t="str">
        <f t="array" ref="AP9">INDEX(IF(mark="Разметка",[2]Столбцы!$K$3:$N$104,[2]Столбцы!$P$3:$S$104),MATCH(AP$21,[2]Столбцы!$A$3:$A$104,0),MATCH($C9,IF(mark="Разметка",[2]Столбцы!$K$2:$N$2,[2]Столбцы!$P$2:$S$2),0))</f>
        <v>I</v>
      </c>
      <c r="AQ9" s="2" t="str">
        <f t="array" ref="AQ9">INDEX(IF(mark="Разметка",[2]Столбцы!$K$3:$N$104,[2]Столбцы!$P$3:$S$104),MATCH(AQ$21,[2]Столбцы!$A$3:$A$104,0),MATCH($C9,IF(mark="Разметка",[2]Столбцы!$K$2:$N$2,[2]Столбцы!$P$2:$S$2),0))</f>
        <v>II</v>
      </c>
      <c r="AR9" s="2" t="str">
        <f t="array" ref="AR9">INDEX(IF(mark="Разметка",[2]Столбцы!$K$3:$N$104,[2]Столбцы!$P$3:$S$104),MATCH(AR$21,[2]Столбцы!$A$3:$A$104,0),MATCH($C9,IF(mark="Разметка",[2]Столбцы!$K$2:$N$2,[2]Столбцы!$P$2:$S$2),0))</f>
        <v>Год</v>
      </c>
      <c r="AS9" s="2" t="str">
        <f t="array" ref="AS9">INDEX(IF(mark="Разметка",[2]Столбцы!$K$3:$N$104,[2]Столбцы!$P$3:$S$104),MATCH(AS$21,[2]Столбцы!$A$3:$A$104,0),MATCH($C9,IF(mark="Разметка",[2]Столбцы!$K$2:$N$2,[2]Столбцы!$P$2:$S$2),0))</f>
        <v>I</v>
      </c>
      <c r="AT9" s="2" t="str">
        <f t="array" ref="AT9">INDEX(IF(mark="Разметка",[2]Столбцы!$K$3:$N$104,[2]Столбцы!$P$3:$S$104),MATCH(AT$21,[2]Столбцы!$A$3:$A$104,0),MATCH($C9,IF(mark="Разметка",[2]Столбцы!$K$2:$N$2,[2]Столбцы!$P$2:$S$2),0))</f>
        <v>II</v>
      </c>
      <c r="AU9" s="2" t="str">
        <f t="array" ref="AU9">INDEX(IF(mark="Разметка",[2]Столбцы!$K$3:$N$104,[2]Столбцы!$P$3:$S$104),MATCH(AU$21,[2]Столбцы!$A$3:$A$104,0),MATCH($C9,IF(mark="Разметка",[2]Столбцы!$K$2:$N$2,[2]Столбцы!$P$2:$S$2),0))</f>
        <v>Год</v>
      </c>
      <c r="AV9" s="2" t="str">
        <f t="array" ref="AV9">INDEX(IF(mark="Разметка",[2]Столбцы!$K$3:$N$104,[2]Столбцы!$P$3:$S$104),MATCH(AV$21,[2]Столбцы!$A$3:$A$104,0),MATCH($C9,IF(mark="Разметка",[2]Столбцы!$K$2:$N$2,[2]Столбцы!$P$2:$S$2),0))</f>
        <v>Год</v>
      </c>
      <c r="AW9" s="2" t="str">
        <f t="array" ref="AW9">INDEX(IF(mark="Разметка",[2]Столбцы!$K$3:$N$104,[2]Столбцы!$P$3:$S$104),MATCH(AW$21,[2]Столбцы!$A$3:$A$104,0),MATCH($C9,IF(mark="Разметка",[2]Столбцы!$K$2:$N$2,[2]Столбцы!$P$2:$S$2),0))</f>
        <v>I</v>
      </c>
      <c r="AX9" s="2" t="str">
        <f t="array" ref="AX9">INDEX(IF(mark="Разметка",[2]Столбцы!$K$3:$N$104,[2]Столбцы!$P$3:$S$104),MATCH(AX$21,[2]Столбцы!$A$3:$A$104,0),MATCH($C9,IF(mark="Разметка",[2]Столбцы!$K$2:$N$2,[2]Столбцы!$P$2:$S$2),0))</f>
        <v>II</v>
      </c>
      <c r="AY9" s="2" t="str">
        <f t="array" ref="AY9">INDEX(IF(mark="Разметка",[2]Столбцы!$K$3:$N$104,[2]Столбцы!$P$3:$S$104),MATCH(AY$21,[2]Столбцы!$A$3:$A$104,0),MATCH($C9,IF(mark="Разметка",[2]Столбцы!$K$2:$N$2,[2]Столбцы!$P$2:$S$2),0))</f>
        <v>Год</v>
      </c>
      <c r="AZ9" s="2" t="str">
        <f t="array" ref="AZ9">INDEX(IF(mark="Разметка",[2]Столбцы!$K$3:$N$104,[2]Столбцы!$P$3:$S$104),MATCH(AZ$21,[2]Столбцы!$A$3:$A$104,0),MATCH($C9,IF(mark="Разметка",[2]Столбцы!$K$2:$N$2,[2]Столбцы!$P$2:$S$2),0))</f>
        <v>I</v>
      </c>
      <c r="BA9" s="2" t="str">
        <f t="array" ref="BA9">INDEX(IF(mark="Разметка",[2]Столбцы!$K$3:$N$104,[2]Столбцы!$P$3:$S$104),MATCH(BA$21,[2]Столбцы!$A$3:$A$104,0),MATCH($C9,IF(mark="Разметка",[2]Столбцы!$K$2:$N$2,[2]Столбцы!$P$2:$S$2),0))</f>
        <v>II</v>
      </c>
      <c r="BB9" s="2" t="str">
        <f t="array" ref="BB9">INDEX(IF(mark="Разметка",[2]Столбцы!$K$3:$N$104,[2]Столбцы!$P$3:$S$104),MATCH(BB$21,[2]Столбцы!$A$3:$A$104,0),MATCH($C9,IF(mark="Разметка",[2]Столбцы!$K$2:$N$2,[2]Столбцы!$P$2:$S$2),0))</f>
        <v>Не определено</v>
      </c>
      <c r="BC9" s="3" t="str">
        <f t="array" ref="BC9">BB9</f>
        <v>Не определено</v>
      </c>
      <c r="BD9" s="3" t="str">
        <f t="array" ref="BD9">BC9</f>
        <v>Не определено</v>
      </c>
      <c r="BE9" s="7"/>
      <c r="BF9" s="7"/>
      <c r="BG9" s="7"/>
      <c r="BH9" s="7"/>
      <c r="BI9" s="7"/>
      <c r="BJ9" s="7"/>
      <c r="BK9" s="7"/>
      <c r="BL9" s="7"/>
      <c r="BM9" s="7"/>
    </row>
    <row r="10" spans="3:65" ht="14.25" hidden="1" customHeight="1" x14ac:dyDescent="0.25">
      <c r="AD10" s="7"/>
      <c r="AE10" s="7"/>
      <c r="AG10" s="7"/>
      <c r="AH10" s="7"/>
      <c r="AI10" s="7"/>
      <c r="AJ10" s="7"/>
      <c r="AK10" s="7"/>
      <c r="AL10" s="7"/>
      <c r="AM10" s="7"/>
      <c r="AN10" s="7"/>
      <c r="AP10" s="7"/>
      <c r="AQ10" s="7"/>
      <c r="AR10" s="7"/>
      <c r="AS10" s="7"/>
      <c r="AT10" s="7"/>
      <c r="AU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3:65" ht="14.25" hidden="1" customHeight="1" x14ac:dyDescent="0.25">
      <c r="AD11" s="7"/>
      <c r="AE11" s="7"/>
      <c r="AG11" s="7"/>
      <c r="AH11" s="7"/>
      <c r="AI11" s="7"/>
      <c r="AJ11" s="7"/>
      <c r="AK11" s="7"/>
      <c r="AL11" s="7"/>
      <c r="AM11" s="7"/>
      <c r="AN11" s="7"/>
      <c r="AP11" s="7"/>
      <c r="AQ11" s="7"/>
      <c r="AR11" s="7"/>
      <c r="AS11" s="7"/>
      <c r="AT11" s="7"/>
      <c r="AU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3:65" ht="14.25" hidden="1" customHeight="1" x14ac:dyDescent="0.25">
      <c r="AD12" s="7"/>
      <c r="AE12" s="7"/>
      <c r="AG12" s="7"/>
      <c r="AH12" s="7"/>
      <c r="AI12" s="7"/>
      <c r="AJ12" s="7"/>
      <c r="AK12" s="7"/>
      <c r="AL12" s="7"/>
      <c r="AM12" s="7"/>
      <c r="AN12" s="7"/>
      <c r="AP12" s="7"/>
      <c r="AQ12" s="7"/>
      <c r="AR12" s="7"/>
      <c r="AS12" s="7"/>
      <c r="AT12" s="7"/>
      <c r="AU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3:65" ht="14.25" hidden="1" customHeight="1" x14ac:dyDescent="0.25">
      <c r="AD13" s="7"/>
      <c r="AE13" s="7"/>
      <c r="AG13" s="7"/>
      <c r="AH13" s="7"/>
      <c r="AI13" s="7"/>
      <c r="AJ13" s="7"/>
      <c r="AK13" s="7"/>
      <c r="AL13" s="7"/>
      <c r="AM13" s="7"/>
      <c r="AN13" s="7"/>
      <c r="AP13" s="7"/>
      <c r="AQ13" s="7"/>
      <c r="AR13" s="7"/>
      <c r="AS13" s="7"/>
      <c r="AT13" s="7"/>
      <c r="AU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3:65" ht="14.25" hidden="1" customHeight="1" x14ac:dyDescent="0.25">
      <c r="AD14" s="7"/>
      <c r="AE14" s="7"/>
      <c r="AG14" s="7"/>
      <c r="AH14" s="7"/>
      <c r="AI14" s="7"/>
      <c r="AJ14" s="7"/>
      <c r="AK14" s="7"/>
      <c r="AL14" s="7"/>
      <c r="AM14" s="7"/>
      <c r="AN14" s="7"/>
      <c r="AP14" s="7"/>
      <c r="AQ14" s="7"/>
      <c r="AR14" s="7"/>
      <c r="AS14" s="7"/>
      <c r="AT14" s="7"/>
      <c r="AU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15" spans="3:65" ht="14.25" hidden="1" customHeight="1" x14ac:dyDescent="0.25">
      <c r="AD15" s="7"/>
      <c r="AE15" s="7"/>
      <c r="AG15" s="7"/>
      <c r="AH15" s="7"/>
      <c r="AI15" s="7"/>
      <c r="AJ15" s="7"/>
      <c r="AK15" s="7"/>
      <c r="AL15" s="7"/>
      <c r="AM15" s="7"/>
      <c r="AN15" s="7"/>
      <c r="AP15" s="7"/>
      <c r="AQ15" s="7"/>
      <c r="AR15" s="7"/>
      <c r="AS15" s="7"/>
      <c r="AT15" s="7"/>
      <c r="AU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3:65" ht="14.25" hidden="1" customHeight="1" x14ac:dyDescent="0.25">
      <c r="AD16" s="7"/>
      <c r="AE16" s="7"/>
      <c r="AG16" s="7"/>
      <c r="AH16" s="7"/>
      <c r="AI16" s="7"/>
      <c r="AJ16" s="7"/>
      <c r="AK16" s="7"/>
      <c r="AL16" s="7"/>
      <c r="AM16" s="7"/>
      <c r="AN16" s="7"/>
      <c r="AP16" s="7"/>
      <c r="AQ16" s="7"/>
      <c r="AR16" s="7"/>
      <c r="AS16" s="7"/>
      <c r="AT16" s="7"/>
      <c r="AU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</row>
    <row r="17" spans="28:65" ht="14.25" hidden="1" customHeight="1" x14ac:dyDescent="0.25">
      <c r="AD17" s="7"/>
      <c r="AE17" s="7"/>
      <c r="AG17" s="7"/>
      <c r="AH17" s="7"/>
      <c r="AI17" s="7"/>
      <c r="AJ17" s="7"/>
      <c r="AK17" s="7"/>
      <c r="AL17" s="7"/>
      <c r="AM17" s="7"/>
      <c r="AN17" s="7"/>
      <c r="AP17" s="7"/>
      <c r="AQ17" s="7"/>
      <c r="AR17" s="7"/>
      <c r="AS17" s="7"/>
      <c r="AT17" s="7"/>
      <c r="AU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</row>
    <row r="18" spans="28:65" ht="14.25" hidden="1" customHeight="1" x14ac:dyDescent="0.25">
      <c r="AD18" s="7"/>
      <c r="AE18" s="7"/>
      <c r="AG18" s="7"/>
      <c r="AH18" s="7"/>
      <c r="AI18" s="7"/>
      <c r="AJ18" s="7"/>
      <c r="AK18" s="7"/>
      <c r="AL18" s="7"/>
      <c r="AM18" s="7"/>
      <c r="AN18" s="7"/>
      <c r="AP18" s="7"/>
      <c r="AQ18" s="7"/>
      <c r="AR18" s="7"/>
      <c r="AS18" s="7"/>
      <c r="AT18" s="7"/>
      <c r="AU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</row>
    <row r="19" spans="28:65" ht="14.25" hidden="1" customHeight="1" x14ac:dyDescent="0.25">
      <c r="AD19" s="7"/>
      <c r="AE19" s="7"/>
      <c r="AG19" s="7"/>
      <c r="AH19" s="7"/>
      <c r="AI19" s="7"/>
      <c r="AJ19" s="7"/>
      <c r="AK19" s="7"/>
      <c r="AL19" s="7"/>
      <c r="AM19" s="7"/>
      <c r="AN19" s="7"/>
      <c r="AP19" s="7"/>
      <c r="AQ19" s="7"/>
      <c r="AR19" s="7"/>
      <c r="AS19" s="7"/>
      <c r="AT19" s="7"/>
      <c r="AU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</row>
    <row r="20" spans="28:65" ht="14.25" hidden="1" customHeight="1" x14ac:dyDescent="0.25">
      <c r="AD20" s="7"/>
      <c r="AE20" s="7"/>
      <c r="AG20" s="7"/>
      <c r="AH20" s="7"/>
      <c r="AI20" s="7"/>
      <c r="AJ20" s="7"/>
      <c r="AK20" s="7"/>
      <c r="AL20" s="7"/>
      <c r="AM20" s="7"/>
      <c r="AN20" s="7"/>
      <c r="AP20" s="7"/>
      <c r="AQ20" s="7"/>
      <c r="AR20" s="7"/>
      <c r="AS20" s="7"/>
      <c r="AT20" s="7"/>
      <c r="AU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</row>
    <row r="21" spans="28:65" ht="11.25" hidden="1" customHeight="1" x14ac:dyDescent="0.25">
      <c r="AD21" s="2" t="str">
        <f t="array" ref="AD21">[2]Столбцы!A9</f>
        <v>Версия организации2021план Органа регулированиягод</v>
      </c>
      <c r="AE21" s="2" t="str">
        <f t="array" ref="AE21">[2]Столбцы!A21</f>
        <v>Версия организации2022план Органа регулированиягод</v>
      </c>
      <c r="AF21" s="2" t="str">
        <f t="array" ref="AF21">[2]Столбцы!A33</f>
        <v>Версия организации2023план Органа регулированиягод</v>
      </c>
      <c r="AG21" s="2" t="str">
        <f t="array" ref="AG21">[2]Столбцы!A34</f>
        <v>Версия организации2023план Органа регулированияI полугодие</v>
      </c>
      <c r="AH21" s="2" t="str">
        <f t="array" ref="AH21">[2]Столбцы!A35</f>
        <v>Версия организации2023план Органа регулированияII полугодие</v>
      </c>
      <c r="AI21" s="2" t="str">
        <f t="array" ref="AI21">[2]Столбцы!A36</f>
        <v>Версия регулятора2023план Органа регулированиягод</v>
      </c>
      <c r="AJ21" s="2" t="str">
        <f t="array" ref="AJ21">[2]Столбцы!A37</f>
        <v>Версия регулятора2023план Органа регулированияI полугодие</v>
      </c>
      <c r="AK21" s="2" t="str">
        <f t="array" ref="AK21">[2]Столбцы!A38</f>
        <v>Версия регулятора2023план Органа регулированияII полугодие</v>
      </c>
      <c r="AL21" s="2" t="str">
        <f t="array" ref="AL21">[2]Столбцы!A40</f>
        <v>Версия организации2023фактI полугодие</v>
      </c>
      <c r="AM21" s="2" t="str">
        <f t="array" ref="AM21">[2]Столбцы!A41</f>
        <v>Версия организации2023фактII полугодие</v>
      </c>
      <c r="AN21" s="2" t="str">
        <f t="array" ref="AN21">[2]Столбцы!A42</f>
        <v>Версия регулятора2023фактгод</v>
      </c>
      <c r="AO21" s="2" t="str">
        <f t="array" ref="AO21">[2]Столбцы!A45</f>
        <v>Версия организации2024план Органа регулированиягод</v>
      </c>
      <c r="AP21" s="2" t="str">
        <f t="array" ref="AP21">[2]Столбцы!A46</f>
        <v>Версия организации2024план Органа регулированияI полугодие</v>
      </c>
      <c r="AQ21" s="2" t="str">
        <f t="array" ref="AQ21">[2]Столбцы!A47</f>
        <v>Версия организации2024план Органа регулированияII полугодие</v>
      </c>
      <c r="AR21" s="2" t="str">
        <f t="array" ref="AR21">[2]Столбцы!A48</f>
        <v>Версия регулятора2024план Органа регулированиягод</v>
      </c>
      <c r="AS21" s="2" t="str">
        <f t="array" ref="AS21">[2]Столбцы!A49</f>
        <v>Версия регулятора2024план Органа регулированияI полугодие</v>
      </c>
      <c r="AT21" s="2" t="str">
        <f t="array" ref="AT21">[2]Столбцы!A50</f>
        <v>Версия регулятора2024план Органа регулированияII полугодие</v>
      </c>
      <c r="AU21" s="2" t="str">
        <f t="array" ref="AU21">[2]Столбцы!A55</f>
        <v>Версия регулятора2024ожидаемоегод</v>
      </c>
      <c r="AV21" s="2" t="str">
        <f t="array" ref="AV21">[2]Столбцы!A58</f>
        <v>Версия организации2025утвержденный план Органа регулированиягод</v>
      </c>
      <c r="AW21" s="2" t="str">
        <f t="array" ref="AW21">[2]Столбцы!A59</f>
        <v>Версия организации2025утвержденный план Органа регулированияI полугодие</v>
      </c>
      <c r="AX21" s="2" t="str">
        <f t="array" ref="AX21">[2]Столбцы!A60</f>
        <v>Версия организации2025утвержденный план Органа регулированияII полугодие</v>
      </c>
      <c r="AY21" s="2" t="str">
        <f t="array" ref="AY21">[2]Столбцы!A61</f>
        <v>Версия регулятора2025утвержденный план Органа регулированиягод</v>
      </c>
      <c r="AZ21" s="2" t="str">
        <f t="array" ref="AZ21">[2]Столбцы!A62</f>
        <v>Версия регулятора2025утвержденный план Органа регулированияI полугодие</v>
      </c>
      <c r="BA21" s="2" t="str">
        <f t="array" ref="BA21">[2]Столбцы!A63</f>
        <v>Версия регулятора2025утвержденный план Органа регулированияII полугодие</v>
      </c>
      <c r="BB21" s="8" t="str">
        <f t="array" ref="BB21">[2]Столбцы!A95</f>
        <v>Обоснование причины отклонения (комментарий регулятора)</v>
      </c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</row>
    <row r="22" spans="28:65" ht="11.25" hidden="1" customHeight="1" x14ac:dyDescent="0.25">
      <c r="AB22" s="2" t="s">
        <v>17</v>
      </c>
      <c r="AC22" s="2" t="b">
        <f t="array" ref="AC22">'[2]Список листов'!$A$26</f>
        <v>1</v>
      </c>
      <c r="AD22" s="7"/>
      <c r="AE22" s="7"/>
      <c r="AG22" s="7"/>
      <c r="AH22" s="7"/>
      <c r="AI22" s="7"/>
      <c r="AJ22" s="7"/>
      <c r="AK22" s="7"/>
      <c r="AL22" s="7"/>
      <c r="AM22" s="7"/>
      <c r="AN22" s="7"/>
      <c r="AP22" s="7"/>
      <c r="AQ22" s="7"/>
      <c r="AR22" s="7"/>
      <c r="AS22" s="7"/>
      <c r="AT22" s="7"/>
      <c r="AU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</row>
    <row r="23" spans="28:65" ht="11.25" hidden="1" customHeight="1" x14ac:dyDescent="0.25">
      <c r="AB23" s="2" t="s">
        <v>18</v>
      </c>
      <c r="AC23" s="2" t="e">
        <f>IF(AND('[2]СиМ (детально)'!$A$229,'[2]СиМ (детально)'!$B$229),"да","нет")</f>
        <v>#REF!</v>
      </c>
      <c r="AD23" s="7"/>
      <c r="AE23" s="7"/>
      <c r="AG23" s="7"/>
      <c r="AH23" s="7"/>
      <c r="AI23" s="7"/>
      <c r="AJ23" s="7"/>
      <c r="AK23" s="7"/>
      <c r="AL23" s="7"/>
      <c r="AM23" s="7"/>
      <c r="AN23" s="7"/>
      <c r="AP23" s="7"/>
      <c r="AQ23" s="7"/>
      <c r="AR23" s="7"/>
      <c r="AS23" s="7"/>
      <c r="AT23" s="7"/>
      <c r="AU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</row>
    <row r="24" spans="28:65" ht="11.25" hidden="1" customHeight="1" x14ac:dyDescent="0.25">
      <c r="AB24" s="2" t="s">
        <v>19</v>
      </c>
      <c r="AC24" s="9" t="str">
        <f t="array" ref="AC24">'[2]Общие настройки'!$G$80</f>
        <v>нет</v>
      </c>
      <c r="AD24" s="7"/>
      <c r="AE24" s="7"/>
      <c r="AG24" s="7"/>
      <c r="AH24" s="7"/>
      <c r="AI24" s="7"/>
      <c r="AJ24" s="7"/>
      <c r="AK24" s="7"/>
      <c r="AL24" s="7"/>
      <c r="AM24" s="7"/>
      <c r="AN24" s="7"/>
      <c r="AP24" s="7"/>
      <c r="AQ24" s="7"/>
      <c r="AR24" s="7"/>
      <c r="AS24" s="7"/>
      <c r="AT24" s="7"/>
      <c r="AU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</row>
    <row r="25" spans="28:65" ht="11.25" hidden="1" customHeight="1" x14ac:dyDescent="0.25">
      <c r="AB25" s="10" t="s">
        <v>20</v>
      </c>
      <c r="AC25" s="2" t="e">
        <f t="array" ref="AC25">'[2]Список листов'!$A$44</f>
        <v>#REF!</v>
      </c>
      <c r="AD25" s="7"/>
      <c r="AE25" s="7"/>
      <c r="AG25" s="7"/>
      <c r="AH25" s="7"/>
      <c r="AI25" s="7"/>
      <c r="AJ25" s="7"/>
      <c r="AK25" s="7"/>
      <c r="AL25" s="7"/>
      <c r="AM25" s="7"/>
      <c r="AN25" s="7"/>
      <c r="AP25" s="7"/>
      <c r="AQ25" s="7"/>
      <c r="AR25" s="7"/>
      <c r="AS25" s="7"/>
      <c r="AT25" s="7"/>
      <c r="AU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</row>
    <row r="26" spans="28:65" ht="11.25" hidden="1" customHeight="1" x14ac:dyDescent="0.25">
      <c r="AB26" s="10" t="s">
        <v>21</v>
      </c>
      <c r="AC26" s="2" t="e">
        <f t="array" ref="AC26">'[2]Список листов'!$A41</f>
        <v>#REF!</v>
      </c>
      <c r="AD26" s="7"/>
      <c r="AE26" s="7"/>
      <c r="AG26" s="7"/>
      <c r="AH26" s="7"/>
      <c r="AI26" s="7"/>
      <c r="AJ26" s="7"/>
      <c r="AK26" s="7"/>
      <c r="AL26" s="7"/>
      <c r="AM26" s="7"/>
      <c r="AN26" s="7"/>
      <c r="AP26" s="7"/>
      <c r="AQ26" s="7"/>
      <c r="AR26" s="7"/>
      <c r="AS26" s="7"/>
      <c r="AT26" s="7"/>
      <c r="AU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</row>
    <row r="27" spans="28:65" ht="11.25" hidden="1" customHeight="1" x14ac:dyDescent="0.25">
      <c r="AB27" s="10" t="s">
        <v>22</v>
      </c>
      <c r="AC27" s="2" t="e">
        <f t="array" ref="AC27">'[2]Список листов'!$A42</f>
        <v>#REF!</v>
      </c>
      <c r="AD27" s="7"/>
      <c r="AE27" s="7"/>
      <c r="AG27" s="7"/>
      <c r="AH27" s="7"/>
      <c r="AI27" s="7"/>
      <c r="AJ27" s="7"/>
      <c r="AK27" s="7"/>
      <c r="AL27" s="7"/>
      <c r="AM27" s="7"/>
      <c r="AN27" s="7"/>
      <c r="AP27" s="7"/>
      <c r="AQ27" s="7"/>
      <c r="AR27" s="7"/>
      <c r="AS27" s="7"/>
      <c r="AT27" s="7"/>
      <c r="AU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</row>
    <row r="28" spans="28:65" ht="11.25" hidden="1" customHeight="1" x14ac:dyDescent="0.25">
      <c r="AB28" s="10" t="s">
        <v>23</v>
      </c>
      <c r="AC28" s="2" t="e">
        <f t="array" ref="AC28">'[2]Список листов'!$A43</f>
        <v>#REF!</v>
      </c>
      <c r="AD28" s="7"/>
      <c r="AE28" s="7"/>
      <c r="AG28" s="7"/>
      <c r="AH28" s="7"/>
      <c r="AI28" s="7"/>
      <c r="AJ28" s="7"/>
      <c r="AK28" s="7"/>
      <c r="AL28" s="7"/>
      <c r="AM28" s="7"/>
      <c r="AN28" s="7"/>
      <c r="AP28" s="7"/>
      <c r="AQ28" s="7"/>
      <c r="AR28" s="7"/>
      <c r="AS28" s="7"/>
      <c r="AT28" s="7"/>
      <c r="AU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</row>
    <row r="29" spans="28:65" ht="11.25" hidden="1" customHeight="1" x14ac:dyDescent="0.25">
      <c r="AB29" s="10" t="s">
        <v>24</v>
      </c>
      <c r="AC29" s="2" t="b">
        <f t="array" ref="AC29">'[2]Список листов'!$A$47</f>
        <v>1</v>
      </c>
      <c r="AD29" s="7"/>
      <c r="AE29" s="7"/>
      <c r="AG29" s="7"/>
      <c r="AH29" s="7"/>
      <c r="AI29" s="7"/>
      <c r="AJ29" s="7"/>
      <c r="AK29" s="7"/>
      <c r="AL29" s="7"/>
      <c r="AM29" s="7"/>
      <c r="AN29" s="7"/>
      <c r="AP29" s="7"/>
      <c r="AQ29" s="7"/>
      <c r="AR29" s="7"/>
      <c r="AS29" s="7"/>
      <c r="AT29" s="7"/>
      <c r="AU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</row>
    <row r="30" spans="28:65" ht="11.25" hidden="1" customHeight="1" x14ac:dyDescent="0.25">
      <c r="AB30" s="10" t="s">
        <v>25</v>
      </c>
      <c r="AC30" s="2" t="b">
        <f t="array" ref="AC30">'[2]Список листов'!$A$46</f>
        <v>1</v>
      </c>
      <c r="AD30" s="7"/>
      <c r="AE30" s="7"/>
      <c r="AG30" s="7"/>
      <c r="AH30" s="7"/>
      <c r="AI30" s="7"/>
      <c r="AJ30" s="7"/>
      <c r="AK30" s="7"/>
      <c r="AL30" s="7"/>
      <c r="AM30" s="7"/>
      <c r="AN30" s="7"/>
      <c r="AP30" s="7"/>
      <c r="AQ30" s="7"/>
      <c r="AR30" s="7"/>
      <c r="AS30" s="7"/>
      <c r="AT30" s="7"/>
      <c r="AU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</row>
    <row r="31" spans="28:65" ht="11.25" hidden="1" customHeight="1" x14ac:dyDescent="0.25">
      <c r="AB31" s="10" t="s">
        <v>26</v>
      </c>
      <c r="AC31" s="2" t="b">
        <f t="array" ref="AC31">'[2]Список листов'!$A$45</f>
        <v>1</v>
      </c>
      <c r="AD31" s="7"/>
      <c r="AE31" s="7"/>
      <c r="AG31" s="7"/>
      <c r="AH31" s="7"/>
      <c r="AI31" s="7"/>
      <c r="AJ31" s="7"/>
      <c r="AK31" s="7"/>
      <c r="AL31" s="7"/>
      <c r="AM31" s="7"/>
      <c r="AN31" s="7"/>
      <c r="AP31" s="7"/>
      <c r="AQ31" s="7"/>
      <c r="AR31" s="7"/>
      <c r="AS31" s="7"/>
      <c r="AT31" s="7"/>
      <c r="AU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</row>
    <row r="32" spans="28:65" ht="11.25" hidden="1" customHeight="1" x14ac:dyDescent="0.25">
      <c r="AB32" s="10" t="s">
        <v>27</v>
      </c>
      <c r="AC32" s="2" t="b">
        <f t="array" ref="AC32">'[2]Список листов'!$A$51</f>
        <v>1</v>
      </c>
      <c r="AD32" s="7"/>
      <c r="AE32" s="7"/>
      <c r="AG32" s="7"/>
      <c r="AH32" s="7"/>
      <c r="AI32" s="7"/>
      <c r="AJ32" s="7"/>
      <c r="AK32" s="7"/>
      <c r="AL32" s="7"/>
      <c r="AM32" s="7"/>
      <c r="AN32" s="7"/>
      <c r="AP32" s="7"/>
      <c r="AQ32" s="7"/>
      <c r="AR32" s="7"/>
      <c r="AS32" s="7"/>
      <c r="AT32" s="7"/>
      <c r="AU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</row>
    <row r="33" spans="28:65" ht="11.25" hidden="1" customHeight="1" x14ac:dyDescent="0.25">
      <c r="AB33" s="10" t="s">
        <v>28</v>
      </c>
      <c r="AC33" s="2" t="e">
        <f t="array" ref="AC33">'[2]Список листов'!$A$49</f>
        <v>#REF!</v>
      </c>
      <c r="AD33" s="7"/>
      <c r="AE33" s="7"/>
      <c r="AF33" s="373"/>
      <c r="AG33" s="383"/>
      <c r="AH33" s="383"/>
      <c r="AI33" s="383"/>
      <c r="AJ33" s="383"/>
      <c r="AK33" s="383"/>
      <c r="AL33" s="383"/>
      <c r="AM33" s="383"/>
      <c r="AN33" s="383"/>
      <c r="AO33" s="373"/>
      <c r="AP33" s="383"/>
      <c r="AQ33" s="383"/>
      <c r="AR33" s="383"/>
      <c r="AS33" s="383"/>
      <c r="AT33" s="383"/>
      <c r="AU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</row>
    <row r="34" spans="28:65" ht="11.25" hidden="1" customHeight="1" x14ac:dyDescent="0.25">
      <c r="AB34" s="10" t="s">
        <v>29</v>
      </c>
      <c r="AC34" s="2" t="e">
        <f t="array" ref="AC34">'[2]Список листов'!$A$48</f>
        <v>#REF!</v>
      </c>
      <c r="AD34" s="7"/>
      <c r="AE34" s="7"/>
      <c r="AG34" s="7"/>
      <c r="AH34" s="7"/>
      <c r="AI34" s="7"/>
      <c r="AJ34" s="7"/>
      <c r="AK34" s="7"/>
      <c r="AL34" s="7"/>
      <c r="AM34" s="7"/>
      <c r="AN34" s="7"/>
      <c r="AP34" s="7"/>
      <c r="AQ34" s="7"/>
      <c r="AR34" s="7"/>
      <c r="AS34" s="7"/>
      <c r="AT34" s="7"/>
      <c r="AU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</row>
    <row r="35" spans="28:65" ht="11.25" hidden="1" customHeight="1" x14ac:dyDescent="0.25">
      <c r="AB35" s="10" t="s">
        <v>30</v>
      </c>
      <c r="AC35" s="2" t="b">
        <f t="array" ref="AC35">'[2]Список листов'!$A$31</f>
        <v>1</v>
      </c>
      <c r="AD35" s="7"/>
      <c r="AE35" s="7"/>
      <c r="AG35" s="7"/>
      <c r="AH35" s="7"/>
      <c r="AI35" s="7"/>
      <c r="AJ35" s="7"/>
      <c r="AK35" s="7"/>
      <c r="AL35" s="7"/>
      <c r="AM35" s="7"/>
      <c r="AN35" s="7"/>
      <c r="AP35" s="7"/>
      <c r="AQ35" s="7"/>
      <c r="AR35" s="7"/>
      <c r="AS35" s="7"/>
      <c r="AT35" s="7"/>
      <c r="AU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</row>
    <row r="36" spans="28:65" ht="11.25" hidden="1" customHeight="1" x14ac:dyDescent="0.25">
      <c r="AB36" s="10" t="s">
        <v>31</v>
      </c>
      <c r="AC36" s="9" t="str">
        <f t="array" ref="AC36">'[2]Общие настройки'!$G$138</f>
        <v>нет</v>
      </c>
      <c r="AD36" s="7"/>
      <c r="AE36" s="7"/>
      <c r="AG36" s="7"/>
      <c r="AH36" s="7"/>
      <c r="AI36" s="7"/>
      <c r="AJ36" s="7"/>
      <c r="AK36" s="7"/>
      <c r="AL36" s="7"/>
      <c r="AM36" s="7"/>
      <c r="AN36" s="7"/>
      <c r="AP36" s="7"/>
      <c r="AQ36" s="7"/>
      <c r="AR36" s="7"/>
      <c r="AS36" s="7"/>
      <c r="AT36" s="7"/>
      <c r="AU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</row>
    <row r="37" spans="28:65" ht="11.25" hidden="1" customHeight="1" x14ac:dyDescent="0.25">
      <c r="AB37" s="10" t="s">
        <v>32</v>
      </c>
      <c r="AC37" s="9" t="str">
        <f t="array" ref="AC37">'[2]Общие настройки'!$G$127</f>
        <v>да</v>
      </c>
      <c r="AD37" s="7"/>
      <c r="AE37" s="7"/>
      <c r="AG37" s="7"/>
      <c r="AH37" s="7"/>
      <c r="AI37" s="7"/>
      <c r="AJ37" s="7"/>
      <c r="AK37" s="7"/>
      <c r="AL37" s="7"/>
      <c r="AM37" s="7"/>
      <c r="AN37" s="7"/>
      <c r="AP37" s="7"/>
      <c r="AQ37" s="7"/>
      <c r="AR37" s="7"/>
      <c r="AS37" s="7"/>
      <c r="AT37" s="7"/>
      <c r="AU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</row>
    <row r="38" spans="28:65" ht="11.25" hidden="1" customHeight="1" x14ac:dyDescent="0.25">
      <c r="AB38" s="10" t="s">
        <v>33</v>
      </c>
      <c r="AC38" s="2" t="str">
        <f t="array" ref="AC38">'[2]Общие настройки'!G134</f>
        <v>Подано воды в сеть</v>
      </c>
      <c r="AD38" s="7"/>
      <c r="AE38" s="7"/>
      <c r="AG38" s="7"/>
      <c r="AH38" s="7"/>
      <c r="AI38" s="7"/>
      <c r="AJ38" s="7"/>
      <c r="AK38" s="7"/>
      <c r="AL38" s="7"/>
      <c r="AM38" s="7"/>
      <c r="AN38" s="7"/>
      <c r="AP38" s="7"/>
      <c r="AQ38" s="7"/>
      <c r="AR38" s="7"/>
      <c r="AS38" s="7"/>
      <c r="AT38" s="7"/>
      <c r="AU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</row>
    <row r="39" spans="28:65" ht="11.25" hidden="1" customHeight="1" x14ac:dyDescent="0.25">
      <c r="AB39" s="10" t="s">
        <v>34</v>
      </c>
      <c r="AC39" s="2" t="str">
        <f t="array" ref="AC39">'[2]Общие настройки'!G135</f>
        <v>Подано воды в сеть</v>
      </c>
      <c r="AD39" s="7"/>
      <c r="AE39" s="7"/>
      <c r="AG39" s="7"/>
      <c r="AH39" s="7"/>
      <c r="AI39" s="7"/>
      <c r="AJ39" s="7"/>
      <c r="AK39" s="7"/>
      <c r="AL39" s="7"/>
      <c r="AM39" s="7"/>
      <c r="AN39" s="7"/>
      <c r="AP39" s="7"/>
      <c r="AQ39" s="7"/>
      <c r="AR39" s="7"/>
      <c r="AS39" s="7"/>
      <c r="AT39" s="7"/>
      <c r="AU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</row>
    <row r="40" spans="28:65" ht="11.25" hidden="1" customHeight="1" x14ac:dyDescent="0.25">
      <c r="AB40" s="10" t="s">
        <v>35</v>
      </c>
      <c r="AC40" s="2" t="str">
        <f t="array" ref="AC40">'[2]Общие настройки'!G136</f>
        <v>Подано воды в сеть</v>
      </c>
      <c r="AD40" s="7"/>
      <c r="AE40" s="7"/>
      <c r="AG40" s="7"/>
      <c r="AH40" s="7"/>
      <c r="AI40" s="7"/>
      <c r="AJ40" s="7"/>
      <c r="AK40" s="7"/>
      <c r="AL40" s="7"/>
      <c r="AM40" s="7"/>
      <c r="AN40" s="7"/>
      <c r="AP40" s="7"/>
      <c r="AQ40" s="7"/>
      <c r="AR40" s="7"/>
      <c r="AS40" s="7"/>
      <c r="AT40" s="7"/>
      <c r="AU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</row>
    <row r="41" spans="28:65" ht="11.25" hidden="1" customHeight="1" x14ac:dyDescent="0.25">
      <c r="AB41" s="10" t="s">
        <v>36</v>
      </c>
      <c r="AC41" s="2" t="str">
        <f t="array" ref="AC41">SETTING_VIEW_CALC_NALOG</f>
        <v>да</v>
      </c>
      <c r="AD41" s="7"/>
      <c r="AE41" s="7"/>
      <c r="AG41" s="7"/>
      <c r="AH41" s="7"/>
      <c r="AI41" s="7"/>
      <c r="AJ41" s="7"/>
      <c r="AK41" s="7"/>
      <c r="AL41" s="7"/>
      <c r="AM41" s="7"/>
      <c r="AN41" s="7"/>
      <c r="AP41" s="7"/>
      <c r="AQ41" s="7"/>
      <c r="AR41" s="7"/>
      <c r="AS41" s="7"/>
      <c r="AT41" s="7"/>
      <c r="AU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</row>
    <row r="42" spans="28:65" ht="11.25" hidden="1" customHeight="1" x14ac:dyDescent="0.25">
      <c r="AB42" s="2" t="s">
        <v>37</v>
      </c>
      <c r="AC42" s="9" t="str">
        <f t="array" ref="AC42">'[2]Общие настройки'!$G$86</f>
        <v>да</v>
      </c>
      <c r="AD42" s="7"/>
      <c r="AE42" s="7"/>
      <c r="AG42" s="7"/>
      <c r="AH42" s="7"/>
      <c r="AI42" s="7"/>
      <c r="AJ42" s="7"/>
      <c r="AK42" s="7"/>
      <c r="AL42" s="7"/>
      <c r="AM42" s="7"/>
      <c r="AN42" s="7"/>
      <c r="AP42" s="7"/>
      <c r="AQ42" s="7"/>
      <c r="AR42" s="7"/>
      <c r="AS42" s="7"/>
      <c r="AT42" s="7"/>
      <c r="AU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</row>
    <row r="43" spans="28:65" ht="11.25" hidden="1" customHeight="1" x14ac:dyDescent="0.25">
      <c r="AB43" s="2" t="s">
        <v>38</v>
      </c>
      <c r="AC43" s="2" t="str">
        <f t="array" ref="AC43">[2]Амортизация!AF23</f>
        <v>да</v>
      </c>
      <c r="AD43" s="7"/>
      <c r="AE43" s="7"/>
      <c r="AG43" s="7"/>
      <c r="AH43" s="7"/>
      <c r="AI43" s="7"/>
      <c r="AJ43" s="7"/>
      <c r="AK43" s="7"/>
      <c r="AL43" s="7"/>
      <c r="AM43" s="7"/>
      <c r="AN43" s="7"/>
      <c r="AP43" s="7"/>
      <c r="AQ43" s="7"/>
      <c r="AR43" s="7"/>
      <c r="AS43" s="7"/>
      <c r="AT43" s="7"/>
      <c r="AU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</row>
    <row r="44" spans="28:65" ht="11.25" hidden="1" customHeight="1" x14ac:dyDescent="0.25">
      <c r="AB44" s="2" t="s">
        <v>39</v>
      </c>
      <c r="AC44" s="2" t="str">
        <f t="array" ref="AC44">[2]Амортизация!AF24</f>
        <v>да</v>
      </c>
      <c r="AD44" s="7"/>
      <c r="AE44" s="7"/>
      <c r="AG44" s="7"/>
      <c r="AH44" s="7"/>
      <c r="AI44" s="7"/>
      <c r="AJ44" s="7"/>
      <c r="AK44" s="7"/>
      <c r="AL44" s="7"/>
      <c r="AM44" s="7"/>
      <c r="AN44" s="7"/>
      <c r="AP44" s="7"/>
      <c r="AQ44" s="7"/>
      <c r="AR44" s="7"/>
      <c r="AS44" s="7"/>
      <c r="AT44" s="7"/>
      <c r="AU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</row>
    <row r="45" spans="28:65" ht="11.25" hidden="1" customHeight="1" x14ac:dyDescent="0.25">
      <c r="AB45" s="10" t="s">
        <v>40</v>
      </c>
      <c r="AC45" s="13" t="str">
        <f t="array" ref="AC45">'[2]Общие настройки'!$G$43</f>
        <v>да</v>
      </c>
      <c r="AD45" s="7"/>
      <c r="AE45" s="7"/>
      <c r="AG45" s="7"/>
      <c r="AH45" s="7"/>
      <c r="AI45" s="7"/>
      <c r="AJ45" s="7"/>
      <c r="AK45" s="7"/>
      <c r="AL45" s="7"/>
      <c r="AM45" s="7"/>
      <c r="AN45" s="7"/>
      <c r="AP45" s="7"/>
      <c r="AQ45" s="7"/>
      <c r="AR45" s="7"/>
      <c r="AS45" s="7"/>
      <c r="AT45" s="7"/>
      <c r="AU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</row>
    <row r="46" spans="28:65" ht="11.25" hidden="1" customHeight="1" x14ac:dyDescent="0.25">
      <c r="AB46" s="10" t="s">
        <v>41</v>
      </c>
      <c r="AC46" s="13" t="str">
        <f t="array" ref="AC46">'[2]Общие настройки'!$G$130</f>
        <v>нет</v>
      </c>
      <c r="AD46" s="7"/>
      <c r="AE46" s="7"/>
      <c r="AG46" s="7"/>
      <c r="AH46" s="7"/>
      <c r="AI46" s="7"/>
      <c r="AJ46" s="7"/>
      <c r="AK46" s="7"/>
      <c r="AL46" s="7"/>
      <c r="AM46" s="7"/>
      <c r="AN46" s="7"/>
      <c r="AP46" s="7"/>
      <c r="AQ46" s="7"/>
      <c r="AR46" s="7"/>
      <c r="AS46" s="7"/>
      <c r="AT46" s="7"/>
      <c r="AU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</row>
    <row r="47" spans="28:65" ht="11.25" hidden="1" customHeight="1" x14ac:dyDescent="0.25">
      <c r="AB47" s="10" t="s">
        <v>42</v>
      </c>
      <c r="AC47" s="13" t="str">
        <f t="array" ref="AC47">'[2]Общие настройки'!$G$142</f>
        <v>нет</v>
      </c>
      <c r="AD47" s="7"/>
      <c r="AE47" s="7"/>
      <c r="AG47" s="7"/>
      <c r="AH47" s="7"/>
      <c r="AI47" s="7"/>
      <c r="AJ47" s="7"/>
      <c r="AK47" s="7"/>
      <c r="AL47" s="7"/>
      <c r="AM47" s="7"/>
      <c r="AN47" s="7"/>
      <c r="AP47" s="7"/>
      <c r="AQ47" s="7"/>
      <c r="AR47" s="7"/>
      <c r="AS47" s="7"/>
      <c r="AT47" s="7"/>
      <c r="AU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</row>
    <row r="48" spans="28:65" ht="11.25" hidden="1" customHeight="1" x14ac:dyDescent="0.25">
      <c r="AB48" s="10" t="s">
        <v>43</v>
      </c>
      <c r="AC48" s="13" t="str">
        <f t="array" ref="AC48">'[2]Общие настройки'!$G$77</f>
        <v>да</v>
      </c>
      <c r="AD48" s="7"/>
      <c r="AE48" s="7"/>
      <c r="AG48" s="7"/>
      <c r="AH48" s="7"/>
      <c r="AI48" s="7"/>
      <c r="AJ48" s="7"/>
      <c r="AK48" s="7"/>
      <c r="AL48" s="7"/>
      <c r="AM48" s="7"/>
      <c r="AN48" s="7"/>
      <c r="AP48" s="7"/>
      <c r="AQ48" s="7"/>
      <c r="AR48" s="7"/>
      <c r="AS48" s="7"/>
      <c r="AT48" s="7"/>
      <c r="AU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</row>
    <row r="49" spans="28:65" ht="11.25" hidden="1" customHeight="1" x14ac:dyDescent="0.25">
      <c r="AB49" s="10" t="s">
        <v>44</v>
      </c>
      <c r="AC49" s="13" t="str">
        <f t="array" ref="AC49">'[2]Общие настройки'!$G$78</f>
        <v>да</v>
      </c>
      <c r="AD49" s="7"/>
      <c r="AE49" s="7"/>
      <c r="AG49" s="7"/>
      <c r="AH49" s="7"/>
      <c r="AI49" s="7"/>
      <c r="AJ49" s="7"/>
      <c r="AK49" s="7"/>
      <c r="AL49" s="7"/>
      <c r="AM49" s="7"/>
      <c r="AN49" s="7"/>
      <c r="AP49" s="7"/>
      <c r="AQ49" s="7"/>
      <c r="AR49" s="7"/>
      <c r="AS49" s="7"/>
      <c r="AT49" s="7"/>
      <c r="AU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</row>
    <row r="50" spans="28:65" ht="11.25" hidden="1" customHeight="1" x14ac:dyDescent="0.25">
      <c r="AB50" s="10" t="s">
        <v>45</v>
      </c>
      <c r="AC50" s="13" t="str">
        <f t="array" ref="AC50">'[2]Общие настройки'!$G$79</f>
        <v>да</v>
      </c>
      <c r="AD50" s="7"/>
      <c r="AE50" s="7"/>
      <c r="AG50" s="7"/>
      <c r="AH50" s="7"/>
      <c r="AI50" s="7"/>
      <c r="AJ50" s="7"/>
      <c r="AK50" s="7"/>
      <c r="AL50" s="7"/>
      <c r="AM50" s="7"/>
      <c r="AN50" s="7"/>
      <c r="AP50" s="7"/>
      <c r="AQ50" s="7"/>
      <c r="AR50" s="7"/>
      <c r="AS50" s="7"/>
      <c r="AT50" s="7"/>
      <c r="AU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</row>
    <row r="51" spans="28:65" ht="11.25" hidden="1" customHeight="1" x14ac:dyDescent="0.25">
      <c r="AB51" s="2" t="s">
        <v>46</v>
      </c>
      <c r="AC51" s="9" t="str">
        <f t="array" ref="AC51">'[2]Общие настройки'!$G$157</f>
        <v>ФАС</v>
      </c>
      <c r="AD51" s="7"/>
      <c r="AE51" s="7"/>
      <c r="AG51" s="7"/>
      <c r="AH51" s="7"/>
      <c r="AI51" s="7"/>
      <c r="AJ51" s="7"/>
      <c r="AK51" s="7"/>
      <c r="AL51" s="7"/>
      <c r="AM51" s="7"/>
      <c r="AN51" s="7"/>
      <c r="AP51" s="7"/>
      <c r="AQ51" s="7"/>
      <c r="AR51" s="7"/>
      <c r="AS51" s="7"/>
      <c r="AT51" s="7"/>
      <c r="AU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</row>
    <row r="52" spans="28:65" ht="11.25" hidden="1" customHeight="1" x14ac:dyDescent="0.25">
      <c r="AB52" s="10" t="s">
        <v>47</v>
      </c>
      <c r="AC52" s="13" t="str">
        <f t="array" ref="AC52">'[2]Общие настройки'!$G$85</f>
        <v>нет</v>
      </c>
      <c r="AD52" s="7"/>
      <c r="AE52" s="7"/>
      <c r="AG52" s="7"/>
      <c r="AH52" s="7"/>
      <c r="AI52" s="7"/>
      <c r="AJ52" s="7"/>
      <c r="AK52" s="7"/>
      <c r="AL52" s="7"/>
      <c r="AM52" s="7"/>
      <c r="AN52" s="7"/>
      <c r="AP52" s="7"/>
      <c r="AQ52" s="7"/>
      <c r="AR52" s="7"/>
      <c r="AS52" s="7"/>
      <c r="AT52" s="7"/>
      <c r="AU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</row>
    <row r="53" spans="28:65" ht="11.25" hidden="1" customHeight="1" x14ac:dyDescent="0.25">
      <c r="AB53" s="10" t="s">
        <v>48</v>
      </c>
      <c r="AC53" s="13" t="e">
        <f t="array" ref="AC53">'[2]СиМ (детально)'!A229</f>
        <v>#REF!</v>
      </c>
      <c r="AD53" s="7"/>
      <c r="AE53" s="7"/>
      <c r="AG53" s="7"/>
      <c r="AH53" s="7"/>
      <c r="AI53" s="7"/>
      <c r="AJ53" s="7"/>
      <c r="AK53" s="7"/>
      <c r="AL53" s="7"/>
      <c r="AM53" s="7"/>
      <c r="AN53" s="7"/>
      <c r="AP53" s="7"/>
      <c r="AQ53" s="7"/>
      <c r="AR53" s="7"/>
      <c r="AS53" s="7"/>
      <c r="AT53" s="7"/>
      <c r="AU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</row>
    <row r="54" spans="28:65" ht="10.5" hidden="1" customHeight="1" x14ac:dyDescent="0.25">
      <c r="AB54" s="2" t="s">
        <v>49</v>
      </c>
      <c r="AC54" s="2" t="str">
        <f>IF('[2]Общие настройки'!$G$162="нет","нет","да")</f>
        <v>нет</v>
      </c>
      <c r="AD54" s="7"/>
      <c r="AE54" s="7"/>
      <c r="AG54" s="7"/>
      <c r="AH54" s="7"/>
      <c r="AI54" s="7"/>
      <c r="AJ54" s="7"/>
      <c r="AK54" s="7"/>
      <c r="AL54" s="7"/>
      <c r="AM54" s="7"/>
      <c r="AN54" s="7"/>
      <c r="AP54" s="7"/>
      <c r="AQ54" s="7"/>
      <c r="AR54" s="7"/>
      <c r="AS54" s="7"/>
      <c r="AT54" s="7"/>
      <c r="AU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</row>
    <row r="55" spans="28:65" ht="10.5" hidden="1" customHeight="1" x14ac:dyDescent="0.25">
      <c r="AB55" s="14" t="s">
        <v>50</v>
      </c>
      <c r="AC55" s="2" t="str">
        <f>IF(region_name="Белгородская область","да","нет")</f>
        <v>нет</v>
      </c>
      <c r="AD55" s="7"/>
      <c r="AE55" s="7"/>
      <c r="AG55" s="7"/>
      <c r="AH55" s="7"/>
      <c r="AI55" s="7"/>
      <c r="AJ55" s="7"/>
      <c r="AK55" s="7"/>
      <c r="AL55" s="7"/>
      <c r="AM55" s="7"/>
      <c r="AN55" s="7"/>
      <c r="AP55" s="7"/>
      <c r="AQ55" s="7"/>
      <c r="AR55" s="7"/>
      <c r="AS55" s="7"/>
      <c r="AT55" s="7"/>
      <c r="AU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</row>
    <row r="56" spans="28:65" ht="10.5" hidden="1" customHeight="1" x14ac:dyDescent="0.25">
      <c r="AB56" s="10" t="s">
        <v>51</v>
      </c>
      <c r="AC56" s="10" t="str">
        <f t="array" ref="AC56">'[2]Общие настройки'!G65</f>
        <v>нет</v>
      </c>
      <c r="AD56" s="7"/>
      <c r="AE56" s="7"/>
      <c r="AG56" s="7"/>
      <c r="AH56" s="7"/>
      <c r="AI56" s="7"/>
      <c r="AJ56" s="7"/>
      <c r="AK56" s="7"/>
      <c r="AL56" s="7"/>
      <c r="AM56" s="7"/>
      <c r="AN56" s="7"/>
      <c r="AP56" s="7"/>
      <c r="AQ56" s="7"/>
      <c r="AR56" s="7"/>
      <c r="AS56" s="7"/>
      <c r="AT56" s="7"/>
      <c r="AU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</row>
    <row r="57" spans="28:65" ht="14.25" hidden="1" customHeight="1" x14ac:dyDescent="0.25">
      <c r="AB57" s="10"/>
      <c r="AC57" s="13"/>
      <c r="AD57" s="7"/>
      <c r="AE57" s="7"/>
      <c r="AG57" s="7"/>
      <c r="AH57" s="7"/>
      <c r="AI57" s="7"/>
      <c r="AJ57" s="7"/>
      <c r="AK57" s="7"/>
      <c r="AL57" s="7"/>
      <c r="AM57" s="7"/>
      <c r="AN57" s="7"/>
      <c r="AP57" s="7"/>
      <c r="AQ57" s="7"/>
      <c r="AR57" s="7"/>
      <c r="AS57" s="7"/>
      <c r="AT57" s="7"/>
      <c r="AU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</row>
    <row r="58" spans="28:65" ht="14.25" hidden="1" customHeight="1" x14ac:dyDescent="0.25">
      <c r="AB58" s="10"/>
      <c r="AC58" s="13"/>
      <c r="AD58" s="7"/>
      <c r="AE58" s="7"/>
      <c r="AG58" s="7"/>
      <c r="AH58" s="7"/>
      <c r="AI58" s="7"/>
      <c r="AJ58" s="7"/>
      <c r="AK58" s="7"/>
      <c r="AL58" s="7"/>
      <c r="AM58" s="7"/>
      <c r="AN58" s="7"/>
      <c r="AP58" s="7"/>
      <c r="AQ58" s="7"/>
      <c r="AR58" s="7"/>
      <c r="AS58" s="7"/>
      <c r="AT58" s="7"/>
      <c r="AU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</row>
    <row r="59" spans="28:65" ht="14.25" hidden="1" customHeight="1" x14ac:dyDescent="0.25">
      <c r="AB59" s="10"/>
      <c r="AC59" s="13"/>
      <c r="AD59" s="7"/>
      <c r="AE59" s="7"/>
      <c r="AG59" s="7"/>
      <c r="AH59" s="7"/>
      <c r="AI59" s="7"/>
      <c r="AJ59" s="7"/>
      <c r="AK59" s="7"/>
      <c r="AL59" s="7"/>
      <c r="AM59" s="7"/>
      <c r="AN59" s="7"/>
      <c r="AP59" s="7"/>
      <c r="AQ59" s="7"/>
      <c r="AR59" s="7"/>
      <c r="AS59" s="7"/>
      <c r="AT59" s="7"/>
      <c r="AU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</row>
    <row r="60" spans="28:65" ht="14.25" hidden="1" customHeight="1" x14ac:dyDescent="0.25">
      <c r="AB60" s="10"/>
      <c r="AC60" s="13"/>
      <c r="AD60" s="7"/>
      <c r="AE60" s="7"/>
      <c r="AG60" s="7"/>
      <c r="AH60" s="7"/>
      <c r="AI60" s="7"/>
      <c r="AJ60" s="7"/>
      <c r="AK60" s="7"/>
      <c r="AL60" s="7"/>
      <c r="AM60" s="7"/>
      <c r="AN60" s="7"/>
      <c r="AP60" s="7"/>
      <c r="AQ60" s="7"/>
      <c r="AR60" s="7"/>
      <c r="AS60" s="7"/>
      <c r="AT60" s="7"/>
      <c r="AU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</row>
    <row r="61" spans="28:65" ht="14.25" hidden="1" customHeight="1" x14ac:dyDescent="0.25">
      <c r="AB61" s="10"/>
      <c r="AC61" s="13"/>
      <c r="AD61" s="7"/>
      <c r="AE61" s="7"/>
      <c r="AG61" s="7"/>
      <c r="AH61" s="7"/>
      <c r="AI61" s="7"/>
      <c r="AJ61" s="7"/>
      <c r="AK61" s="7"/>
      <c r="AL61" s="7"/>
      <c r="AM61" s="7"/>
      <c r="AN61" s="7"/>
      <c r="AP61" s="7"/>
      <c r="AQ61" s="7"/>
      <c r="AR61" s="7"/>
      <c r="AS61" s="7"/>
      <c r="AT61" s="7"/>
      <c r="AU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</row>
    <row r="62" spans="28:65" ht="14.25" hidden="1" customHeight="1" x14ac:dyDescent="0.25">
      <c r="AB62" s="10"/>
      <c r="AC62" s="13"/>
      <c r="AD62" s="7"/>
      <c r="AE62" s="7"/>
      <c r="AG62" s="7"/>
      <c r="AH62" s="7"/>
      <c r="AI62" s="7"/>
      <c r="AJ62" s="7"/>
      <c r="AK62" s="7"/>
      <c r="AL62" s="7"/>
      <c r="AM62" s="7"/>
      <c r="AN62" s="7"/>
      <c r="AP62" s="7"/>
      <c r="AQ62" s="7"/>
      <c r="AR62" s="7"/>
      <c r="AS62" s="7"/>
      <c r="AT62" s="7"/>
      <c r="AU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</row>
    <row r="63" spans="28:65" ht="14.25" hidden="1" customHeight="1" x14ac:dyDescent="0.25">
      <c r="AB63" s="10"/>
      <c r="AC63" s="13"/>
      <c r="AD63" s="7"/>
      <c r="AE63" s="7"/>
      <c r="AG63" s="7"/>
      <c r="AH63" s="7"/>
      <c r="AI63" s="7"/>
      <c r="AJ63" s="7"/>
      <c r="AK63" s="7"/>
      <c r="AL63" s="7"/>
      <c r="AM63" s="7"/>
      <c r="AN63" s="7"/>
      <c r="AP63" s="7"/>
      <c r="AQ63" s="7"/>
      <c r="AR63" s="7"/>
      <c r="AS63" s="7"/>
      <c r="AT63" s="7"/>
      <c r="AU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</row>
    <row r="64" spans="28:65" ht="14.25" hidden="1" customHeight="1" x14ac:dyDescent="0.25">
      <c r="AB64" s="10"/>
      <c r="AC64" s="13"/>
      <c r="AD64" s="7"/>
      <c r="AE64" s="7"/>
      <c r="AG64" s="7"/>
      <c r="AH64" s="7"/>
      <c r="AI64" s="7"/>
      <c r="AJ64" s="7"/>
      <c r="AK64" s="7"/>
      <c r="AL64" s="7"/>
      <c r="AM64" s="7"/>
      <c r="AN64" s="7"/>
      <c r="AP64" s="7"/>
      <c r="AQ64" s="7"/>
      <c r="AR64" s="7"/>
      <c r="AS64" s="7"/>
      <c r="AT64" s="7"/>
      <c r="AU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</row>
    <row r="65" spans="27:65" ht="14.25" hidden="1" customHeight="1" x14ac:dyDescent="0.25">
      <c r="AB65" s="10"/>
      <c r="AC65" s="13"/>
      <c r="AD65" s="7"/>
      <c r="AE65" s="7"/>
      <c r="AG65" s="7"/>
      <c r="AH65" s="7"/>
      <c r="AI65" s="7"/>
      <c r="AJ65" s="7"/>
      <c r="AK65" s="7"/>
      <c r="AL65" s="7"/>
      <c r="AM65" s="7"/>
      <c r="AN65" s="7"/>
      <c r="AP65" s="7"/>
      <c r="AQ65" s="7"/>
      <c r="AR65" s="7"/>
      <c r="AS65" s="7"/>
      <c r="AT65" s="7"/>
      <c r="AU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</row>
    <row r="66" spans="27:65" ht="14.25" hidden="1" customHeight="1" x14ac:dyDescent="0.25">
      <c r="AB66" s="10"/>
      <c r="AC66" s="13"/>
      <c r="AD66" s="7"/>
      <c r="AE66" s="7"/>
      <c r="AG66" s="7"/>
      <c r="AH66" s="7"/>
      <c r="AI66" s="7"/>
      <c r="AJ66" s="7"/>
      <c r="AK66" s="7"/>
      <c r="AL66" s="7"/>
      <c r="AM66" s="7"/>
      <c r="AN66" s="7"/>
      <c r="AP66" s="7"/>
      <c r="AQ66" s="7"/>
      <c r="AR66" s="7"/>
      <c r="AS66" s="7"/>
      <c r="AT66" s="7"/>
      <c r="AU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</row>
    <row r="67" spans="27:65" ht="14.25" hidden="1" customHeight="1" x14ac:dyDescent="0.25">
      <c r="AB67" s="10"/>
      <c r="AC67" s="13"/>
      <c r="AD67" s="7"/>
      <c r="AE67" s="7"/>
      <c r="AG67" s="7"/>
      <c r="AH67" s="7"/>
      <c r="AI67" s="7"/>
      <c r="AJ67" s="7"/>
      <c r="AK67" s="7"/>
      <c r="AL67" s="7"/>
      <c r="AM67" s="7"/>
      <c r="AN67" s="7"/>
      <c r="AP67" s="7"/>
      <c r="AQ67" s="7"/>
      <c r="AR67" s="7"/>
      <c r="AS67" s="7"/>
      <c r="AT67" s="7"/>
      <c r="AU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</row>
    <row r="68" spans="27:65" ht="14.25" hidden="1" customHeight="1" x14ac:dyDescent="0.25">
      <c r="AB68" s="10"/>
      <c r="AC68" s="13"/>
      <c r="AD68" s="7"/>
      <c r="AE68" s="7"/>
      <c r="AG68" s="7"/>
      <c r="AH68" s="7"/>
      <c r="AI68" s="7"/>
      <c r="AJ68" s="7"/>
      <c r="AK68" s="7"/>
      <c r="AL68" s="7"/>
      <c r="AM68" s="7"/>
      <c r="AN68" s="7"/>
      <c r="AP68" s="7"/>
      <c r="AQ68" s="7"/>
      <c r="AR68" s="7"/>
      <c r="AS68" s="7"/>
      <c r="AT68" s="7"/>
      <c r="AU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pans="27:65" ht="14.25" hidden="1" customHeight="1" x14ac:dyDescent="0.25">
      <c r="AB69" s="10"/>
      <c r="AC69" s="13"/>
      <c r="AD69" s="7"/>
      <c r="AE69" s="7"/>
      <c r="AG69" s="7"/>
      <c r="AH69" s="7"/>
      <c r="AI69" s="7"/>
      <c r="AJ69" s="7"/>
      <c r="AK69" s="7"/>
      <c r="AL69" s="7"/>
      <c r="AM69" s="7"/>
      <c r="AN69" s="7"/>
      <c r="AP69" s="7"/>
      <c r="AQ69" s="7"/>
      <c r="AR69" s="7"/>
      <c r="AS69" s="7"/>
      <c r="AT69" s="7"/>
      <c r="AU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pans="27:65" ht="14.25" hidden="1" customHeight="1" x14ac:dyDescent="0.25">
      <c r="AB70" s="10"/>
      <c r="AC70" s="13"/>
      <c r="AD70" s="7"/>
      <c r="AE70" s="7"/>
      <c r="AG70" s="7"/>
      <c r="AH70" s="7"/>
      <c r="AI70" s="7"/>
      <c r="AJ70" s="7"/>
      <c r="AK70" s="7"/>
      <c r="AL70" s="7"/>
      <c r="AM70" s="7"/>
      <c r="AN70" s="7"/>
      <c r="AP70" s="7"/>
      <c r="AQ70" s="7"/>
      <c r="AR70" s="7"/>
      <c r="AS70" s="7"/>
      <c r="AT70" s="7"/>
      <c r="AU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</row>
    <row r="71" spans="27:65" ht="12" customHeight="1" x14ac:dyDescent="0.25">
      <c r="AD71" s="7"/>
      <c r="AE71" s="7"/>
      <c r="AG71" s="15"/>
      <c r="AH71" s="15"/>
      <c r="AI71" s="7"/>
      <c r="AJ71" s="15"/>
      <c r="AK71" s="15"/>
      <c r="AL71" s="15"/>
      <c r="AM71" s="15"/>
      <c r="AN71" s="7"/>
      <c r="AP71" s="15"/>
      <c r="AQ71" s="15"/>
      <c r="AR71" s="7"/>
      <c r="AS71" s="15"/>
      <c r="AT71" s="15"/>
      <c r="AU71" s="7"/>
      <c r="AW71" s="15"/>
      <c r="AX71" s="15"/>
      <c r="AY71" s="7"/>
      <c r="AZ71" s="15"/>
      <c r="BA71" s="15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</row>
    <row r="72" spans="27:65" ht="19.5" customHeight="1" x14ac:dyDescent="0.15">
      <c r="AA72" s="16"/>
      <c r="AB72" s="384" t="s">
        <v>52</v>
      </c>
      <c r="AC72" s="384"/>
      <c r="AD72" s="384"/>
      <c r="AE72" s="7"/>
      <c r="AG72" s="15"/>
      <c r="AH72" s="15"/>
      <c r="AI72" s="7"/>
      <c r="AJ72" s="15"/>
      <c r="AK72" s="15"/>
      <c r="AL72" s="15"/>
      <c r="AM72" s="15"/>
      <c r="AN72" s="7"/>
      <c r="AP72" s="15"/>
      <c r="AQ72" s="15"/>
      <c r="AR72" s="7"/>
      <c r="AS72" s="15"/>
      <c r="AT72" s="15"/>
      <c r="AU72" s="7"/>
      <c r="AW72" s="15"/>
      <c r="AX72" s="15"/>
      <c r="AY72" s="7"/>
      <c r="AZ72" s="15"/>
      <c r="BA72" s="15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</row>
    <row r="73" spans="27:65" ht="14.25" hidden="1" customHeight="1" x14ac:dyDescent="0.25">
      <c r="AB73" s="17"/>
      <c r="AC73" s="18"/>
      <c r="AD73" s="7"/>
      <c r="AE73" s="7"/>
      <c r="AG73" s="15"/>
      <c r="AH73" s="15"/>
      <c r="AI73" s="7"/>
      <c r="AJ73" s="15"/>
      <c r="AK73" s="15"/>
      <c r="AL73" s="15"/>
      <c r="AM73" s="15"/>
      <c r="AN73" s="7"/>
      <c r="AP73" s="15"/>
      <c r="AQ73" s="15"/>
      <c r="AR73" s="7"/>
      <c r="AS73" s="15"/>
      <c r="AT73" s="15"/>
      <c r="AU73" s="7"/>
      <c r="AW73" s="15"/>
      <c r="AX73" s="15"/>
      <c r="AY73" s="7"/>
      <c r="AZ73" s="15"/>
      <c r="BA73" s="15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</row>
    <row r="74" spans="27:65" ht="14.25" hidden="1" customHeight="1" x14ac:dyDescent="0.25">
      <c r="AB74" s="17"/>
      <c r="AC74" s="18"/>
      <c r="AD74" s="7"/>
      <c r="AE74" s="7"/>
      <c r="AG74" s="15"/>
      <c r="AH74" s="15"/>
      <c r="AI74" s="7"/>
      <c r="AJ74" s="15"/>
      <c r="AK74" s="15"/>
      <c r="AL74" s="15"/>
      <c r="AM74" s="15"/>
      <c r="AN74" s="7"/>
      <c r="AP74" s="15"/>
      <c r="AQ74" s="15"/>
      <c r="AR74" s="7"/>
      <c r="AS74" s="15"/>
      <c r="AT74" s="15"/>
      <c r="AU74" s="7"/>
      <c r="AW74" s="15"/>
      <c r="AX74" s="15"/>
      <c r="AY74" s="7"/>
      <c r="AZ74" s="15"/>
      <c r="BA74" s="15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</row>
    <row r="75" spans="27:65" ht="14.25" hidden="1" customHeight="1" x14ac:dyDescent="0.25">
      <c r="AB75" s="17"/>
      <c r="AC75" s="18"/>
      <c r="AD75" s="7"/>
      <c r="AE75" s="7"/>
      <c r="AG75" s="15"/>
      <c r="AH75" s="15"/>
      <c r="AI75" s="7"/>
      <c r="AJ75" s="15"/>
      <c r="AK75" s="15"/>
      <c r="AL75" s="15"/>
      <c r="AM75" s="15"/>
      <c r="AN75" s="7"/>
      <c r="AP75" s="15"/>
      <c r="AQ75" s="15"/>
      <c r="AR75" s="7"/>
      <c r="AS75" s="15"/>
      <c r="AT75" s="15"/>
      <c r="AU75" s="7"/>
      <c r="AW75" s="15"/>
      <c r="AX75" s="15"/>
      <c r="AY75" s="7"/>
      <c r="AZ75" s="15"/>
      <c r="BA75" s="15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</row>
    <row r="76" spans="27:65" ht="14.25" hidden="1" customHeight="1" x14ac:dyDescent="0.25">
      <c r="AB76" s="17"/>
      <c r="AC76" s="18"/>
      <c r="AD76" s="7"/>
      <c r="AE76" s="7"/>
      <c r="AG76" s="15"/>
      <c r="AH76" s="15"/>
      <c r="AI76" s="7"/>
      <c r="AJ76" s="15"/>
      <c r="AK76" s="15"/>
      <c r="AL76" s="15"/>
      <c r="AM76" s="15"/>
      <c r="AN76" s="7"/>
      <c r="AP76" s="15"/>
      <c r="AQ76" s="15"/>
      <c r="AR76" s="7"/>
      <c r="AS76" s="15"/>
      <c r="AT76" s="15"/>
      <c r="AU76" s="7"/>
      <c r="AW76" s="15"/>
      <c r="AX76" s="15"/>
      <c r="AY76" s="7"/>
      <c r="AZ76" s="15"/>
      <c r="BA76" s="15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</row>
    <row r="77" spans="27:65" ht="5.25" customHeight="1" x14ac:dyDescent="0.25">
      <c r="AD77" s="7"/>
      <c r="AE77" s="7"/>
      <c r="AG77" s="15"/>
      <c r="AH77" s="15"/>
      <c r="AI77" s="7"/>
      <c r="AJ77" s="15"/>
      <c r="AK77" s="15"/>
      <c r="AL77" s="15"/>
      <c r="AM77" s="15"/>
      <c r="AN77" s="7"/>
      <c r="AP77" s="15"/>
      <c r="AQ77" s="15"/>
      <c r="AR77" s="7"/>
      <c r="AS77" s="15"/>
      <c r="AT77" s="15"/>
      <c r="AU77" s="7"/>
      <c r="AW77" s="15"/>
      <c r="AX77" s="15"/>
      <c r="AY77" s="7"/>
      <c r="AZ77" s="15"/>
      <c r="BA77" s="15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</row>
    <row r="78" spans="27:65" ht="14.25" customHeight="1" x14ac:dyDescent="0.25">
      <c r="AA78" s="372" t="s">
        <v>53</v>
      </c>
      <c r="AB78" s="373"/>
      <c r="AC78" s="374" t="str">
        <f t="array" ref="AC78">org</f>
        <v>ГП КО "Водоканал"</v>
      </c>
      <c r="AD78" s="375"/>
      <c r="AE78" s="375"/>
      <c r="AF78" s="375"/>
      <c r="AG78" s="376"/>
      <c r="AH78" s="376"/>
      <c r="AI78" s="375"/>
      <c r="AJ78" s="376"/>
      <c r="AK78" s="377"/>
      <c r="AL78" s="15"/>
      <c r="AM78" s="15"/>
      <c r="AN78" s="7"/>
      <c r="AP78" s="15"/>
      <c r="AQ78" s="15"/>
      <c r="AR78" s="7"/>
      <c r="AS78" s="15"/>
      <c r="AT78" s="15"/>
      <c r="AU78" s="7"/>
      <c r="AW78" s="15"/>
      <c r="AX78" s="15"/>
      <c r="AY78" s="7"/>
      <c r="AZ78" s="15"/>
      <c r="BA78" s="15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</row>
    <row r="79" spans="27:65" ht="14.25" customHeight="1" x14ac:dyDescent="0.25">
      <c r="AA79" s="372" t="s">
        <v>54</v>
      </c>
      <c r="AB79" s="373"/>
      <c r="AC79" s="374" t="str">
        <f t="array" ref="AC79">[2]Тарифы!AC87</f>
        <v>Тариф на питьевую воду</v>
      </c>
      <c r="AD79" s="375"/>
      <c r="AE79" s="375"/>
      <c r="AF79" s="375"/>
      <c r="AG79" s="376"/>
      <c r="AH79" s="376"/>
      <c r="AI79" s="375"/>
      <c r="AJ79" s="376"/>
      <c r="AK79" s="377"/>
      <c r="AL79" s="15"/>
      <c r="AM79" s="15"/>
      <c r="AN79" s="7"/>
      <c r="AP79" s="15"/>
      <c r="AQ79" s="15"/>
      <c r="AR79" s="7"/>
      <c r="AS79" s="15"/>
      <c r="AT79" s="15"/>
      <c r="AU79" s="7"/>
      <c r="AW79" s="15"/>
      <c r="AX79" s="15"/>
      <c r="AY79" s="7"/>
      <c r="AZ79" s="15"/>
      <c r="BA79" s="15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</row>
    <row r="80" spans="27:65" ht="14.25" customHeight="1" x14ac:dyDescent="0.25">
      <c r="AA80" s="372" t="s">
        <v>55</v>
      </c>
      <c r="AB80" s="373"/>
      <c r="AC80" s="374" t="str">
        <f>IF(PERIOD_LENGTH=1,god,FIRST_PERIOD_IN_LT&amp;" - "&amp;FIRST_PERIOD_IN_LT+PERIOD_LENGTH-1)</f>
        <v>2024 - 2028</v>
      </c>
      <c r="AD80" s="375"/>
      <c r="AE80" s="375"/>
      <c r="AF80" s="375"/>
      <c r="AG80" s="376"/>
      <c r="AH80" s="376"/>
      <c r="AI80" s="375"/>
      <c r="AJ80" s="376"/>
      <c r="AK80" s="377"/>
      <c r="AL80" s="15"/>
      <c r="AM80" s="15"/>
      <c r="AN80" s="7"/>
      <c r="AP80" s="15"/>
      <c r="AQ80" s="15"/>
      <c r="AR80" s="7"/>
      <c r="AS80" s="15"/>
      <c r="AT80" s="15"/>
      <c r="AU80" s="7"/>
      <c r="AW80" s="15"/>
      <c r="AX80" s="15"/>
      <c r="AY80" s="7"/>
      <c r="AZ80" s="15"/>
      <c r="BA80" s="15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</row>
    <row r="81" spans="1:66" ht="14.25" customHeight="1" x14ac:dyDescent="0.25">
      <c r="AA81" s="372" t="s">
        <v>56</v>
      </c>
      <c r="AB81" s="373"/>
      <c r="AC81" s="374" t="str">
        <f t="array" ref="AC81">NDS</f>
        <v>да</v>
      </c>
      <c r="AD81" s="375"/>
      <c r="AE81" s="375"/>
      <c r="AF81" s="375"/>
      <c r="AG81" s="376"/>
      <c r="AH81" s="376"/>
      <c r="AI81" s="375"/>
      <c r="AJ81" s="376"/>
      <c r="AK81" s="377"/>
      <c r="AL81" s="15"/>
      <c r="AM81" s="15"/>
      <c r="AN81" s="19" t="str">
        <f>IF(AND(region_name="Белгородская область",OR(FIRST_PERIOD_IN_LT&lt;god-2,AND(PREVIOUS_REGULATION_METHODS="Метод индексации",FIRST_PERIOD_IN_LT&lt;&gt;god-2))),"Методика","Бухучет")</f>
        <v>Бухучет</v>
      </c>
      <c r="AP81" s="15"/>
      <c r="AQ81" s="15"/>
      <c r="AR81" s="7"/>
      <c r="AS81" s="15"/>
      <c r="AT81" s="15"/>
      <c r="AU81" s="7"/>
      <c r="AW81" s="15"/>
      <c r="AX81" s="15"/>
      <c r="AY81" s="7"/>
      <c r="AZ81" s="15"/>
      <c r="BA81" s="15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</row>
    <row r="82" spans="1:66" ht="5.25" customHeight="1" x14ac:dyDescent="0.25">
      <c r="AD82" s="7"/>
      <c r="AE82" s="7"/>
      <c r="AG82" s="15"/>
      <c r="AH82" s="15"/>
      <c r="AI82" s="7"/>
      <c r="AJ82" s="15"/>
      <c r="AK82" s="15"/>
      <c r="AL82" s="15"/>
      <c r="AM82" s="15"/>
      <c r="AN82" s="7"/>
      <c r="AP82" s="15"/>
      <c r="AQ82" s="15"/>
      <c r="AR82" s="7"/>
      <c r="AS82" s="15"/>
      <c r="AT82" s="15"/>
      <c r="AU82" s="7"/>
      <c r="AW82" s="15"/>
      <c r="AX82" s="15"/>
      <c r="AY82" s="7"/>
      <c r="AZ82" s="15"/>
      <c r="BA82" s="15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</row>
    <row r="83" spans="1:66" ht="29.25" customHeight="1" x14ac:dyDescent="0.25">
      <c r="AA83" s="378" t="s">
        <v>57</v>
      </c>
      <c r="AB83" s="378" t="s">
        <v>58</v>
      </c>
      <c r="AC83" s="378" t="s">
        <v>59</v>
      </c>
      <c r="AD83" s="20" t="s">
        <v>60</v>
      </c>
      <c r="AE83" s="21" t="s">
        <v>60</v>
      </c>
      <c r="AF83" s="363" t="s">
        <v>60</v>
      </c>
      <c r="AG83" s="364"/>
      <c r="AH83" s="365"/>
      <c r="AI83" s="366" t="s">
        <v>61</v>
      </c>
      <c r="AJ83" s="367"/>
      <c r="AK83" s="368"/>
      <c r="AL83" s="364"/>
      <c r="AM83" s="365"/>
      <c r="AN83" s="23" t="s">
        <v>61</v>
      </c>
      <c r="AO83" s="363" t="s">
        <v>60</v>
      </c>
      <c r="AP83" s="364"/>
      <c r="AQ83" s="365"/>
      <c r="AR83" s="366" t="s">
        <v>61</v>
      </c>
      <c r="AS83" s="367"/>
      <c r="AT83" s="368"/>
      <c r="AU83" s="23" t="s">
        <v>61</v>
      </c>
      <c r="AV83" s="363" t="s">
        <v>60</v>
      </c>
      <c r="AW83" s="364"/>
      <c r="AX83" s="365"/>
      <c r="AY83" s="366" t="s">
        <v>61</v>
      </c>
      <c r="AZ83" s="367"/>
      <c r="BA83" s="368"/>
      <c r="BB83" s="362" t="s">
        <v>62</v>
      </c>
      <c r="BC83" s="362" t="s">
        <v>63</v>
      </c>
      <c r="BD83" s="362" t="s">
        <v>64</v>
      </c>
      <c r="BE83" s="362" t="s">
        <v>65</v>
      </c>
      <c r="BF83" s="362"/>
      <c r="BG83" s="362"/>
      <c r="BH83" s="362"/>
      <c r="BI83" s="362"/>
      <c r="BJ83" s="362"/>
      <c r="BK83" s="362"/>
      <c r="BL83" s="362"/>
      <c r="BM83" s="362"/>
    </row>
    <row r="84" spans="1:66" ht="32.25" customHeight="1" x14ac:dyDescent="0.25">
      <c r="AA84" s="378"/>
      <c r="AB84" s="378"/>
      <c r="AC84" s="378"/>
      <c r="AD84" s="24">
        <f>god-4</f>
        <v>2021</v>
      </c>
      <c r="AE84" s="25">
        <f>god-3</f>
        <v>2022</v>
      </c>
      <c r="AF84" s="363">
        <f>god-2</f>
        <v>2023</v>
      </c>
      <c r="AG84" s="364"/>
      <c r="AH84" s="365"/>
      <c r="AI84" s="366">
        <f>god-2</f>
        <v>2023</v>
      </c>
      <c r="AJ84" s="367"/>
      <c r="AK84" s="368"/>
      <c r="AL84" s="364"/>
      <c r="AM84" s="365"/>
      <c r="AN84" s="26">
        <f>god-2</f>
        <v>2023</v>
      </c>
      <c r="AO84" s="363">
        <f>god-1</f>
        <v>2024</v>
      </c>
      <c r="AP84" s="364"/>
      <c r="AQ84" s="365"/>
      <c r="AR84" s="366">
        <f>god-1</f>
        <v>2024</v>
      </c>
      <c r="AS84" s="367"/>
      <c r="AT84" s="368"/>
      <c r="AU84" s="26">
        <f>god-1</f>
        <v>2024</v>
      </c>
      <c r="AV84" s="363">
        <f t="array" ref="AV84">god</f>
        <v>2025</v>
      </c>
      <c r="AW84" s="364"/>
      <c r="AX84" s="365"/>
      <c r="AY84" s="366">
        <f t="array" ref="AY84">god</f>
        <v>2025</v>
      </c>
      <c r="AZ84" s="367"/>
      <c r="BA84" s="368"/>
      <c r="BB84" s="362"/>
      <c r="BC84" s="362"/>
      <c r="BD84" s="362"/>
      <c r="BE84" s="362"/>
      <c r="BF84" s="362"/>
      <c r="BG84" s="362"/>
      <c r="BH84" s="362"/>
      <c r="BI84" s="362"/>
      <c r="BJ84" s="362"/>
      <c r="BK84" s="362"/>
      <c r="BL84" s="362"/>
      <c r="BM84" s="362"/>
    </row>
    <row r="85" spans="1:66" ht="36" customHeight="1" x14ac:dyDescent="0.25">
      <c r="AA85" s="378"/>
      <c r="AB85" s="378"/>
      <c r="AC85" s="378"/>
      <c r="AD85" s="27" t="str">
        <f>IF(AND(TYPE="Корректировка",FIRST_PERIOD_IN_LT&lt;AD84),"план Органа регулирования скорректированный","план Органа регулирования")</f>
        <v>план Органа регулирования</v>
      </c>
      <c r="AE85" s="28" t="str">
        <f>IF(AND(TYPE="Корректировка",FIRST_PERIOD_IN_LT&lt;AE84),"план Органа регулирования скорректированный","план Органа регулирования")</f>
        <v>план Органа регулирования</v>
      </c>
      <c r="AF85" s="380" t="str">
        <f>IF(AND(TYPE="Корректировка",FIRST_PERIOD_IN_LT&lt;AF84),"план Органа регулирования скорректированный","план Органа регулирования")</f>
        <v>план Органа регулирования</v>
      </c>
      <c r="AG85" s="381"/>
      <c r="AH85" s="382"/>
      <c r="AI85" s="369" t="str">
        <f>IF(AND(TYPE="Корректировка",FIRST_PERIOD_IN_LT&lt;AI84),"план Органа регулирования скорректированный","план Органа регулирования")</f>
        <v>план Органа регулирования</v>
      </c>
      <c r="AJ85" s="370"/>
      <c r="AK85" s="371"/>
      <c r="AL85" s="381"/>
      <c r="AM85" s="382"/>
      <c r="AN85" s="30" t="s">
        <v>66</v>
      </c>
      <c r="AO85" s="380" t="str">
        <f>IF(AND(TYPE="Корректировка",FIRST_PERIOD_IN_LT&lt;AO84),"план Органа регулирования скорректированный","план Органа регулирования")</f>
        <v>план Органа регулирования</v>
      </c>
      <c r="AP85" s="381"/>
      <c r="AQ85" s="382"/>
      <c r="AR85" s="369" t="str">
        <f>IF(AND(TYPE="Корректировка",FIRST_PERIOD_IN_LT&lt;AR84),"план Органа регулирования скорректированный","план Органа регулирования")</f>
        <v>план Органа регулирования</v>
      </c>
      <c r="AS85" s="370"/>
      <c r="AT85" s="371"/>
      <c r="AU85" s="30" t="str">
        <f>IF(AND(isFIRST_PERIOD="да",FIRST_PERIOD_IN_LT=god-1),"план Органа регулирования","ожидаемое")</f>
        <v>ожидаемое</v>
      </c>
      <c r="AV85" s="380" t="str">
        <f>IF(AND(TYPE="Корректировка",FIRST_PERIOD_IN_LT&lt;AV84),"план Органа регулирования скорректированный","план Органа регулирования")</f>
        <v>план Органа регулирования скорректированный</v>
      </c>
      <c r="AW85" s="381"/>
      <c r="AX85" s="382"/>
      <c r="AY85" s="369" t="s">
        <v>67</v>
      </c>
      <c r="AZ85" s="370"/>
      <c r="BA85" s="371"/>
      <c r="BB85" s="362"/>
      <c r="BC85" s="362"/>
      <c r="BD85" s="362"/>
      <c r="BE85" s="362"/>
      <c r="BF85" s="362"/>
      <c r="BG85" s="362"/>
      <c r="BH85" s="362"/>
      <c r="BI85" s="362"/>
      <c r="BJ85" s="362"/>
      <c r="BK85" s="362"/>
      <c r="BL85" s="362"/>
      <c r="BM85" s="362"/>
    </row>
    <row r="86" spans="1:66" ht="19.5" hidden="1" customHeight="1" x14ac:dyDescent="0.25">
      <c r="A86" s="7"/>
      <c r="B86" s="8" t="b">
        <f>$AC$56="да"</f>
        <v>0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378"/>
      <c r="AB86" s="378"/>
      <c r="AC86" s="379"/>
      <c r="AD86" s="31" t="s">
        <v>68</v>
      </c>
      <c r="AE86" s="31" t="s">
        <v>68</v>
      </c>
      <c r="AF86" s="31" t="s">
        <v>68</v>
      </c>
      <c r="AG86" s="32"/>
      <c r="AH86" s="32"/>
      <c r="AI86" s="33" t="s">
        <v>68</v>
      </c>
      <c r="AJ86" s="34"/>
      <c r="AK86" s="34"/>
      <c r="AL86" s="32"/>
      <c r="AM86" s="32"/>
      <c r="AN86" s="33" t="s">
        <v>68</v>
      </c>
      <c r="AO86" s="31" t="s">
        <v>68</v>
      </c>
      <c r="AP86" s="32"/>
      <c r="AQ86" s="32"/>
      <c r="AR86" s="33" t="s">
        <v>68</v>
      </c>
      <c r="AS86" s="34"/>
      <c r="AT86" s="34"/>
      <c r="AU86" s="33" t="s">
        <v>68</v>
      </c>
      <c r="AV86" s="31" t="s">
        <v>68</v>
      </c>
      <c r="AW86" s="32"/>
      <c r="AX86" s="32"/>
      <c r="AY86" s="33" t="s">
        <v>68</v>
      </c>
      <c r="AZ86" s="34"/>
      <c r="BA86" s="34"/>
      <c r="BB86" s="362"/>
      <c r="BC86" s="362"/>
      <c r="BD86" s="362"/>
      <c r="BE86" s="362"/>
      <c r="BF86" s="362"/>
      <c r="BG86" s="362"/>
      <c r="BH86" s="362"/>
      <c r="BI86" s="362"/>
      <c r="BJ86" s="362"/>
      <c r="BK86" s="362"/>
      <c r="BL86" s="362"/>
      <c r="BM86" s="362"/>
      <c r="BN86" s="7"/>
    </row>
    <row r="87" spans="1:66" ht="12" hidden="1" customHeight="1" x14ac:dyDescent="0.25">
      <c r="A87" s="7"/>
      <c r="B87" s="2" t="b">
        <v>0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35"/>
      <c r="AB87" s="36" t="s">
        <v>69</v>
      </c>
      <c r="AC87" s="35"/>
      <c r="AD87" s="37" t="b">
        <f>OR(AD$84&lt;god_reagenty,AND(FIRST_PERIOD_IN_LT&lt;god_reagenty,AD$84&gt;=FIRST_PERIOD_IN_LT),AND(FIRST_PERIOD_IN_LT-PREVIOUS_PERIOD_LENGTH&lt;god_reagenty,AD$84&lt;FIRST_PERIOD_IN_LT))</f>
        <v>1</v>
      </c>
      <c r="AE87" s="37" t="b">
        <f>OR(AE$84&lt;god_reagenty,AND(FIRST_PERIOD_IN_LT&lt;god_reagenty,AE$84&gt;=FIRST_PERIOD_IN_LT),AND(FIRST_PERIOD_IN_LT-PREVIOUS_PERIOD_LENGTH&lt;god_reagenty,AE$84&lt;FIRST_PERIOD_IN_LT))</f>
        <v>1</v>
      </c>
      <c r="AF87" s="37" t="b">
        <f>OR(AF$84&lt;god_reagenty,AND(FIRST_PERIOD_IN_LT&lt;god_reagenty,AF$84&gt;=FIRST_PERIOD_IN_LT),AND(FIRST_PERIOD_IN_LT-PREVIOUS_PERIOD_LENGTH&lt;god_reagenty,AF$84&lt;FIRST_PERIOD_IN_LT))</f>
        <v>1</v>
      </c>
      <c r="AG87" s="15"/>
      <c r="AH87" s="15"/>
      <c r="AI87" s="37" t="b">
        <f>OR(AI$84&lt;god_reagenty,AND(FIRST_PERIOD_IN_LT&lt;god_reagenty,AI$84&gt;=FIRST_PERIOD_IN_LT),AND(FIRST_PERIOD_IN_LT-PREVIOUS_PERIOD_LENGTH&lt;god_reagenty,AI$84&lt;FIRST_PERIOD_IN_LT))</f>
        <v>1</v>
      </c>
      <c r="AJ87" s="15"/>
      <c r="AK87" s="15"/>
      <c r="AL87" s="15"/>
      <c r="AM87" s="15"/>
      <c r="AN87" s="37" t="b">
        <f>OR(AN$84&lt;god_reagenty,AND(FIRST_PERIOD_IN_LT&lt;god_reagenty,AN$84&gt;=FIRST_PERIOD_IN_LT),AND(FIRST_PERIOD_IN_LT-PREVIOUS_PERIOD_LENGTH&lt;god_reagenty,AN$84&lt;FIRST_PERIOD_IN_LT))</f>
        <v>1</v>
      </c>
      <c r="AO87" s="37" t="b">
        <f>OR(AO$84&lt;god_reagenty,AND(FIRST_PERIOD_IN_LT&lt;god_reagenty,AO$84&gt;=FIRST_PERIOD_IN_LT),AND(FIRST_PERIOD_IN_LT-PREVIOUS_PERIOD_LENGTH&lt;god_reagenty,AO$84&lt;FIRST_PERIOD_IN_LT))</f>
        <v>0</v>
      </c>
      <c r="AP87" s="15"/>
      <c r="AQ87" s="15"/>
      <c r="AR87" s="37" t="b">
        <f>OR(AR$84&lt;god_reagenty,AND(FIRST_PERIOD_IN_LT&lt;god_reagenty,AR$84&gt;=FIRST_PERIOD_IN_LT),AND(FIRST_PERIOD_IN_LT-PREVIOUS_PERIOD_LENGTH&lt;god_reagenty,AR$84&lt;FIRST_PERIOD_IN_LT))</f>
        <v>0</v>
      </c>
      <c r="AS87" s="15"/>
      <c r="AT87" s="15"/>
      <c r="AU87" s="37" t="b">
        <f>OR(AU$84&lt;god_reagenty,AND(FIRST_PERIOD_IN_LT&lt;god_reagenty,AU$84&gt;=FIRST_PERIOD_IN_LT),AND(FIRST_PERIOD_IN_LT-PREVIOUS_PERIOD_LENGTH&lt;god_reagenty,AU$84&lt;FIRST_PERIOD_IN_LT))</f>
        <v>0</v>
      </c>
      <c r="AV87" s="37" t="b">
        <f>OR(AV$84&lt;god_reagenty,AND(FIRST_PERIOD_IN_LT&lt;god_reagenty,AV$84&gt;=FIRST_PERIOD_IN_LT),AND(FIRST_PERIOD_IN_LT-PREVIOUS_PERIOD_LENGTH&lt;god_reagenty,AV$84&lt;FIRST_PERIOD_IN_LT))</f>
        <v>0</v>
      </c>
      <c r="AW87" s="15"/>
      <c r="AX87" s="15"/>
      <c r="AY87" s="37" t="b">
        <f>OR(AY$84&lt;god_reagenty,AND(FIRST_PERIOD_IN_LT&lt;god_reagenty,AY$84&gt;=FIRST_PERIOD_IN_LT),AND(FIRST_PERIOD_IN_LT-PREVIOUS_PERIOD_LENGTH&lt;god_reagenty,AY$84&lt;FIRST_PERIOD_IN_LT))</f>
        <v>0</v>
      </c>
      <c r="AZ87" s="15"/>
      <c r="BA87" s="15"/>
      <c r="BB87" s="38"/>
      <c r="BC87" s="38"/>
      <c r="BD87" s="38"/>
      <c r="BE87" s="39"/>
      <c r="BF87" s="39"/>
      <c r="BG87" s="39"/>
      <c r="BH87" s="39"/>
      <c r="BI87" s="39"/>
      <c r="BJ87" s="39"/>
      <c r="BK87" s="39"/>
      <c r="BL87" s="39"/>
      <c r="BM87" s="39"/>
      <c r="BN87" s="7"/>
    </row>
    <row r="88" spans="1:66" ht="12" hidden="1" customHeight="1" x14ac:dyDescent="0.25">
      <c r="A88" s="7"/>
      <c r="B88" s="2" t="b">
        <v>0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40"/>
      <c r="AB88" s="41" t="s">
        <v>70</v>
      </c>
      <c r="AC88" s="40"/>
      <c r="AD88" s="42" t="e">
        <f t="array" ref="AD88">#REF!</f>
        <v>#REF!</v>
      </c>
      <c r="AE88" s="42" t="b">
        <f>OR(AND(PREVIOUS_REGULATION_METHODS="Метод индексации",TYPE="Базовый",PREVIOUS_PERIOD_LENGTH&gt;3),AND(AE84&gt;FIRST_PERIOD_IN_LT,TYPE="Корректировка",AE84&lt;&gt;[2]Титульный!$AD$93))</f>
        <v>0</v>
      </c>
      <c r="AF88" s="42" t="b">
        <f>OR(AND(PREVIOUS_REGULATION_METHODS="Метод индексации",TYPE="Базовый"),AND(AF84&gt;FIRST_PERIOD_IN_LT,TYPE="Корректировка",AF84&lt;&gt;[2]Титульный!$AD$93))</f>
        <v>0</v>
      </c>
      <c r="AG88" s="15"/>
      <c r="AH88" s="15"/>
      <c r="AI88" s="42" t="b">
        <f>OR(AND(PREVIOUS_REGULATION_METHODS="Метод индексации",TYPE="Базовый"),AND(AI84&gt;FIRST_PERIOD_IN_LT,TYPE="Корректировка",AI84&lt;&gt;[2]Титульный!$AD$93))</f>
        <v>0</v>
      </c>
      <c r="AJ88" s="15"/>
      <c r="AK88" s="15"/>
      <c r="AL88" s="15"/>
      <c r="AM88" s="15"/>
      <c r="AN88" s="42" t="b">
        <f t="array" ref="AN88">AI88</f>
        <v>0</v>
      </c>
      <c r="AO88" s="42" t="b">
        <f>OR(AND(PREVIOUS_REGULATION_METHODS="Метод индексации",TYPE="Базовый"),AND(AO84&gt;FIRST_PERIOD_IN_LT,TYPE="Корректировка",AO84&lt;&gt;[2]Титульный!$AD$93))</f>
        <v>0</v>
      </c>
      <c r="AP88" s="15"/>
      <c r="AQ88" s="15"/>
      <c r="AR88" s="42" t="b">
        <f>OR(AND(PREVIOUS_REGULATION_METHODS="Метод индексации",TYPE="Базовый"),AND(AR84&gt;FIRST_PERIOD_IN_LT,TYPE="Корректировка",AR84&lt;&gt;[2]Титульный!$AD$93))</f>
        <v>0</v>
      </c>
      <c r="AS88" s="15"/>
      <c r="AT88" s="15"/>
      <c r="AU88" s="42" t="b">
        <v>0</v>
      </c>
      <c r="AV88" s="42" t="b">
        <v>1</v>
      </c>
      <c r="AW88" s="15"/>
      <c r="AX88" s="15"/>
      <c r="AY88" s="42" t="b">
        <v>1</v>
      </c>
      <c r="AZ88" s="15"/>
      <c r="BA88" s="15"/>
      <c r="BB88" s="43"/>
      <c r="BC88" s="43"/>
      <c r="BD88" s="43"/>
      <c r="BE88" s="44"/>
      <c r="BF88" s="44"/>
      <c r="BG88" s="44"/>
      <c r="BH88" s="44"/>
      <c r="BI88" s="44"/>
      <c r="BJ88" s="44"/>
      <c r="BK88" s="44"/>
      <c r="BL88" s="44"/>
      <c r="BM88" s="44"/>
      <c r="BN88" s="7"/>
    </row>
    <row r="89" spans="1:66" ht="12" hidden="1" customHeight="1" x14ac:dyDescent="0.25">
      <c r="A89" s="7"/>
      <c r="B89" s="2" t="b">
        <v>0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40"/>
      <c r="AB89" s="45" t="s">
        <v>71</v>
      </c>
      <c r="AC89" s="40"/>
      <c r="AD89" s="46">
        <f t="array" ref="AD89">[2]Индексы!$AD$92</f>
        <v>12</v>
      </c>
      <c r="AE89" s="46">
        <f t="array" ref="AE89">[2]Индексы!$AE$92</f>
        <v>12</v>
      </c>
      <c r="AF89" s="46">
        <f t="array" ref="AF89">[2]Индексы!$AG$92</f>
        <v>12</v>
      </c>
      <c r="AG89" s="47"/>
      <c r="AH89" s="47"/>
      <c r="AI89" s="46">
        <f t="array" ref="AI89">[2]Индексы!$AT$92</f>
        <v>12</v>
      </c>
      <c r="AJ89" s="47"/>
      <c r="AK89" s="47"/>
      <c r="AL89" s="47"/>
      <c r="AM89" s="47"/>
      <c r="AN89" s="46">
        <f t="array" ref="AN89">[2]Индексы!$AU$92</f>
        <v>12</v>
      </c>
      <c r="AO89" s="46">
        <f t="array" ref="AO89">[2]Индексы!$AI$92</f>
        <v>12</v>
      </c>
      <c r="AP89" s="47"/>
      <c r="AQ89" s="47"/>
      <c r="AR89" s="46">
        <f t="array" ref="AR89">[2]Индексы!$AV$92</f>
        <v>12</v>
      </c>
      <c r="AS89" s="47"/>
      <c r="AT89" s="47"/>
      <c r="AU89" s="46">
        <f t="array" ref="AU89">[2]Индексы!$AW$92</f>
        <v>12</v>
      </c>
      <c r="AV89" s="46" t="e">
        <f t="array" ref="AV89">#REF!</f>
        <v>#REF!</v>
      </c>
      <c r="AW89" s="47"/>
      <c r="AX89" s="47"/>
      <c r="AY89" s="46" t="e">
        <f t="array" ref="AY89">#REF!</f>
        <v>#REF!</v>
      </c>
      <c r="AZ89" s="47"/>
      <c r="BA89" s="47"/>
      <c r="BB89" s="48"/>
      <c r="BC89" s="48"/>
      <c r="BD89" s="48"/>
      <c r="BE89" s="44"/>
      <c r="BF89" s="49" t="e">
        <f t="array" ref="BF89">#REF!</f>
        <v>#REF!</v>
      </c>
      <c r="BG89" s="44"/>
      <c r="BH89" s="44"/>
      <c r="BI89" s="44"/>
      <c r="BJ89" s="44"/>
      <c r="BK89" s="44"/>
      <c r="BL89" s="44"/>
      <c r="BM89" s="44"/>
      <c r="BN89" s="7"/>
    </row>
    <row r="90" spans="1:66" ht="24" hidden="1" customHeight="1" x14ac:dyDescent="0.25">
      <c r="A90" s="8" t="b">
        <f>$AC$56="да"</f>
        <v>0</v>
      </c>
      <c r="B90" s="8" t="b">
        <f t="array" ref="B90">A90</f>
        <v>0</v>
      </c>
      <c r="C90" s="8" t="s">
        <v>72</v>
      </c>
      <c r="D90" s="8" t="s">
        <v>73</v>
      </c>
      <c r="E90" s="8" t="s">
        <v>74</v>
      </c>
      <c r="F90" s="8" t="s">
        <v>75</v>
      </c>
      <c r="G90" s="8" t="s">
        <v>74</v>
      </c>
      <c r="H90" s="8" t="s">
        <v>74</v>
      </c>
      <c r="I90" s="8" t="s">
        <v>74</v>
      </c>
      <c r="J90" s="8" t="s">
        <v>74</v>
      </c>
      <c r="K90" s="8" t="s">
        <v>74</v>
      </c>
      <c r="L90" s="7"/>
      <c r="M90" s="8">
        <f t="array" ref="M90">$AB$92</f>
        <v>0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15"/>
      <c r="AA90" s="15"/>
      <c r="AB90" s="50"/>
      <c r="AC90" s="15"/>
      <c r="AD90" s="51"/>
      <c r="AE90" s="51"/>
      <c r="AF90" s="51"/>
      <c r="AG90" s="52"/>
      <c r="AH90" s="51"/>
      <c r="AI90" s="51"/>
      <c r="AJ90" s="52"/>
      <c r="AK90" s="51"/>
      <c r="AL90" s="52"/>
      <c r="AM90" s="51"/>
      <c r="AN90" s="15"/>
      <c r="AO90" s="51"/>
      <c r="AP90" s="52"/>
      <c r="AQ90" s="51"/>
      <c r="AR90" s="51"/>
      <c r="AS90" s="52"/>
      <c r="AT90" s="51"/>
      <c r="AU90" s="15"/>
      <c r="AV90" s="51"/>
      <c r="AW90" s="52"/>
      <c r="AX90" s="51"/>
      <c r="AY90" s="51"/>
      <c r="AZ90" s="52"/>
      <c r="BA90" s="51"/>
      <c r="BB90" s="53"/>
      <c r="BC90" s="53"/>
      <c r="BD90" s="53"/>
      <c r="BE90" s="54"/>
      <c r="BF90" s="54"/>
      <c r="BG90" s="54"/>
      <c r="BH90" s="54"/>
      <c r="BI90" s="54"/>
      <c r="BJ90" s="54"/>
      <c r="BK90" s="54"/>
      <c r="BL90" s="54"/>
      <c r="BM90" s="54"/>
      <c r="BN90" s="15"/>
    </row>
    <row r="91" spans="1:66" ht="13.5" customHeight="1" x14ac:dyDescent="0.25">
      <c r="B91" s="2" t="b">
        <v>1</v>
      </c>
      <c r="M91" s="8">
        <f t="array" ref="M91">$AB$92</f>
        <v>0</v>
      </c>
      <c r="AA91" s="21"/>
      <c r="AB91" s="55"/>
      <c r="AC91" s="56"/>
      <c r="AD91" s="57"/>
      <c r="AE91" s="57"/>
      <c r="AF91" s="57"/>
      <c r="AG91" s="15"/>
      <c r="AH91" s="15"/>
      <c r="AI91" s="57"/>
      <c r="AJ91" s="15"/>
      <c r="AK91" s="15"/>
      <c r="AL91" s="15"/>
      <c r="AM91" s="15"/>
      <c r="AN91" s="57"/>
      <c r="AO91" s="57"/>
      <c r="AP91" s="15"/>
      <c r="AQ91" s="15"/>
      <c r="AR91" s="57"/>
      <c r="AS91" s="15"/>
      <c r="AT91" s="15"/>
      <c r="AU91" s="57"/>
      <c r="AV91" s="57"/>
      <c r="AW91" s="15"/>
      <c r="AX91" s="15"/>
      <c r="AY91" s="57"/>
      <c r="AZ91" s="15"/>
      <c r="BA91" s="15"/>
      <c r="BB91" s="58"/>
      <c r="BC91" s="58"/>
      <c r="BD91" s="58"/>
      <c r="BE91" s="59"/>
      <c r="BF91" s="59"/>
      <c r="BG91" s="59"/>
      <c r="BH91" s="59"/>
      <c r="BI91" s="59"/>
      <c r="BJ91" s="59"/>
      <c r="BK91" s="59"/>
      <c r="BL91" s="59"/>
      <c r="BM91" s="59"/>
    </row>
    <row r="92" spans="1:66" ht="13.5" hidden="1" customHeight="1" x14ac:dyDescent="0.25">
      <c r="A92" s="2" t="e">
        <f>COUNTIF([2]Тарифы!$AK$87:$AK$90,"с дифференциацией (несколько смет)")&gt;0</f>
        <v>#VALUE!</v>
      </c>
      <c r="B92" s="2" t="e">
        <f t="array" ref="B92">A92</f>
        <v>#VALUE!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8">
        <f t="array" ref="M92">$AB$92</f>
        <v>0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15"/>
      <c r="AA92" s="60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2"/>
      <c r="BC92" s="62"/>
      <c r="BD92" s="62"/>
      <c r="BE92" s="54"/>
      <c r="BF92" s="54"/>
      <c r="BG92" s="54"/>
      <c r="BH92" s="54"/>
      <c r="BI92" s="54"/>
      <c r="BJ92" s="54"/>
      <c r="BK92" s="54"/>
      <c r="BL92" s="54"/>
      <c r="BM92" s="54"/>
      <c r="BN92" s="15"/>
    </row>
    <row r="93" spans="1:66" ht="14.25" hidden="1" customHeight="1" outlineLevel="1" x14ac:dyDescent="0.25">
      <c r="A93" s="2" t="e">
        <f>COUNTIF([2]Тарифы!$AK$87:$AK$90,"с дифференциацией (несколько смет)")&gt;0</f>
        <v>#VALUE!</v>
      </c>
      <c r="B93" s="2" t="e">
        <f t="array" ref="B93">A93</f>
        <v>#VALUE!</v>
      </c>
      <c r="C93" s="8" t="s">
        <v>76</v>
      </c>
      <c r="D93" s="2" t="s">
        <v>77</v>
      </c>
      <c r="E93" s="8" t="s">
        <v>74</v>
      </c>
      <c r="F93" s="8" t="s">
        <v>74</v>
      </c>
      <c r="G93" s="8" t="s">
        <v>74</v>
      </c>
      <c r="H93" s="8" t="s">
        <v>74</v>
      </c>
      <c r="I93" s="8" t="s">
        <v>74</v>
      </c>
      <c r="J93" s="8" t="s">
        <v>74</v>
      </c>
      <c r="K93" s="8" t="s">
        <v>78</v>
      </c>
      <c r="L93" s="7"/>
      <c r="M93" s="8">
        <f t="array" ref="M93">$AB$92</f>
        <v>0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15"/>
      <c r="AA93" s="63"/>
      <c r="AB93" s="64"/>
      <c r="AC93" s="65"/>
      <c r="AD93" s="66"/>
      <c r="AE93" s="66"/>
      <c r="AF93" s="66"/>
      <c r="AG93" s="15"/>
      <c r="AH93" s="15"/>
      <c r="AI93" s="66"/>
      <c r="AJ93" s="15"/>
      <c r="AK93" s="15"/>
      <c r="AL93" s="15"/>
      <c r="AM93" s="15"/>
      <c r="AN93" s="66"/>
      <c r="AO93" s="66"/>
      <c r="AP93" s="15"/>
      <c r="AQ93" s="15"/>
      <c r="AR93" s="66"/>
      <c r="AS93" s="15"/>
      <c r="AT93" s="15"/>
      <c r="AU93" s="66"/>
      <c r="AV93" s="66"/>
      <c r="AW93" s="15"/>
      <c r="AX93" s="15"/>
      <c r="AY93" s="66"/>
      <c r="AZ93" s="15"/>
      <c r="BA93" s="15"/>
      <c r="BB93" s="67"/>
      <c r="BC93" s="67"/>
      <c r="BD93" s="67"/>
      <c r="BE93" s="68"/>
      <c r="BF93" s="68"/>
      <c r="BG93" s="68"/>
      <c r="BH93" s="68"/>
      <c r="BI93" s="68"/>
      <c r="BJ93" s="68"/>
      <c r="BK93" s="68"/>
      <c r="BL93" s="68"/>
      <c r="BM93" s="68"/>
      <c r="BN93" s="15"/>
    </row>
    <row r="94" spans="1:66" ht="14.25" hidden="1" customHeight="1" outlineLevel="1" x14ac:dyDescent="0.25">
      <c r="A94" s="2" t="e">
        <f>COUNTIF([2]Тарифы!$AK$87:$AK$90,"с дифференциацией (несколько смет)")&gt;0</f>
        <v>#VALUE!</v>
      </c>
      <c r="B94" s="2" t="e">
        <f t="array" ref="B94">A94</f>
        <v>#VALUE!</v>
      </c>
      <c r="C94" s="69" t="s">
        <v>79</v>
      </c>
      <c r="D94" s="70" t="s">
        <v>80</v>
      </c>
      <c r="E94" s="70" t="s">
        <v>81</v>
      </c>
      <c r="F94" s="70" t="s">
        <v>81</v>
      </c>
      <c r="G94" s="70" t="s">
        <v>81</v>
      </c>
      <c r="H94" s="70" t="s">
        <v>81</v>
      </c>
      <c r="I94" s="70" t="s">
        <v>81</v>
      </c>
      <c r="J94" s="70" t="s">
        <v>81</v>
      </c>
      <c r="K94" s="8" t="s">
        <v>78</v>
      </c>
      <c r="L94" s="7"/>
      <c r="M94" s="8">
        <f t="array" ref="M94">$AB$92</f>
        <v>0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15"/>
      <c r="AA94" s="71"/>
      <c r="AB94" s="72"/>
      <c r="AC94" s="73"/>
      <c r="AD94" s="66"/>
      <c r="AE94" s="66"/>
      <c r="AF94" s="66"/>
      <c r="AG94" s="15"/>
      <c r="AH94" s="15"/>
      <c r="AI94" s="66"/>
      <c r="AJ94" s="15"/>
      <c r="AK94" s="15"/>
      <c r="AL94" s="15"/>
      <c r="AM94" s="15"/>
      <c r="AN94" s="66"/>
      <c r="AO94" s="66"/>
      <c r="AP94" s="15"/>
      <c r="AQ94" s="15"/>
      <c r="AR94" s="66"/>
      <c r="AS94" s="15"/>
      <c r="AT94" s="15"/>
      <c r="AU94" s="66"/>
      <c r="AV94" s="66"/>
      <c r="AW94" s="15"/>
      <c r="AX94" s="15"/>
      <c r="AY94" s="66"/>
      <c r="AZ94" s="15"/>
      <c r="BA94" s="15"/>
      <c r="BB94" s="67"/>
      <c r="BC94" s="67"/>
      <c r="BD94" s="67"/>
      <c r="BE94" s="68"/>
      <c r="BF94" s="68"/>
      <c r="BG94" s="68"/>
      <c r="BH94" s="68"/>
      <c r="BI94" s="68"/>
      <c r="BJ94" s="68"/>
      <c r="BK94" s="68"/>
      <c r="BL94" s="68"/>
      <c r="BM94" s="68"/>
      <c r="BN94" s="15"/>
    </row>
    <row r="95" spans="1:66" ht="14.25" hidden="1" customHeight="1" outlineLevel="1" x14ac:dyDescent="0.25">
      <c r="A95" s="2" t="e">
        <f>COUNTIF([2]Тарифы!$AK$87:$AK$90,"с дифференциацией (несколько смет)")&gt;0</f>
        <v>#VALUE!</v>
      </c>
      <c r="B95" s="2" t="e">
        <f t="array" ref="B95">A95</f>
        <v>#VALUE!</v>
      </c>
      <c r="C95" s="69" t="s">
        <v>82</v>
      </c>
      <c r="D95" s="70" t="s">
        <v>83</v>
      </c>
      <c r="E95" s="70" t="s">
        <v>74</v>
      </c>
      <c r="F95" s="70" t="s">
        <v>74</v>
      </c>
      <c r="G95" s="70" t="s">
        <v>74</v>
      </c>
      <c r="H95" s="70" t="s">
        <v>74</v>
      </c>
      <c r="I95" s="70" t="s">
        <v>74</v>
      </c>
      <c r="J95" s="70" t="s">
        <v>74</v>
      </c>
      <c r="K95" s="8" t="s">
        <v>78</v>
      </c>
      <c r="L95" s="7"/>
      <c r="M95" s="8">
        <f t="array" ref="M95">$AB$92</f>
        <v>0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15"/>
      <c r="AA95" s="71"/>
      <c r="AB95" s="72"/>
      <c r="AC95" s="73"/>
      <c r="AD95" s="66"/>
      <c r="AE95" s="66"/>
      <c r="AF95" s="66"/>
      <c r="AG95" s="15"/>
      <c r="AH95" s="15"/>
      <c r="AI95" s="66"/>
      <c r="AJ95" s="15"/>
      <c r="AK95" s="15"/>
      <c r="AL95" s="15"/>
      <c r="AM95" s="15"/>
      <c r="AN95" s="66"/>
      <c r="AO95" s="66"/>
      <c r="AP95" s="15"/>
      <c r="AQ95" s="15"/>
      <c r="AR95" s="66"/>
      <c r="AS95" s="15"/>
      <c r="AT95" s="15"/>
      <c r="AU95" s="66"/>
      <c r="AV95" s="66"/>
      <c r="AW95" s="15"/>
      <c r="AX95" s="15"/>
      <c r="AY95" s="66"/>
      <c r="AZ95" s="15"/>
      <c r="BA95" s="15"/>
      <c r="BB95" s="67"/>
      <c r="BC95" s="67"/>
      <c r="BD95" s="67"/>
      <c r="BE95" s="68"/>
      <c r="BF95" s="68"/>
      <c r="BG95" s="68"/>
      <c r="BH95" s="68"/>
      <c r="BI95" s="68"/>
      <c r="BJ95" s="68"/>
      <c r="BK95" s="68"/>
      <c r="BL95" s="68"/>
      <c r="BM95" s="68"/>
      <c r="BN95" s="15"/>
    </row>
    <row r="96" spans="1:66" ht="14.25" hidden="1" customHeight="1" outlineLevel="1" x14ac:dyDescent="0.25">
      <c r="A96" s="2" t="e">
        <f>COUNTIF([2]Тарифы!$AK$87:$AK$90,"с дифференциацией (несколько смет)")&gt;0</f>
        <v>#VALUE!</v>
      </c>
      <c r="B96" s="2" t="e">
        <f t="array" ref="B96">A96</f>
        <v>#VALUE!</v>
      </c>
      <c r="C96" s="2" t="s">
        <v>84</v>
      </c>
      <c r="D96" s="2" t="s">
        <v>85</v>
      </c>
      <c r="E96" s="2" t="s">
        <v>74</v>
      </c>
      <c r="F96" s="2" t="s">
        <v>75</v>
      </c>
      <c r="G96" s="2" t="s">
        <v>86</v>
      </c>
      <c r="H96" s="2" t="s">
        <v>74</v>
      </c>
      <c r="I96" s="2" t="s">
        <v>74</v>
      </c>
      <c r="J96" s="2" t="s">
        <v>74</v>
      </c>
      <c r="K96" s="8" t="s">
        <v>78</v>
      </c>
      <c r="L96" s="7"/>
      <c r="M96" s="8">
        <f t="array" ref="M96">$AB$92</f>
        <v>0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15"/>
      <c r="AA96" s="63"/>
      <c r="AB96" s="74"/>
      <c r="AC96" s="75"/>
      <c r="AD96" s="76"/>
      <c r="AE96" s="76"/>
      <c r="AF96" s="76"/>
      <c r="AG96" s="15"/>
      <c r="AH96" s="15"/>
      <c r="AI96" s="76"/>
      <c r="AJ96" s="15"/>
      <c r="AK96" s="15"/>
      <c r="AL96" s="15"/>
      <c r="AM96" s="15"/>
      <c r="AN96" s="76"/>
      <c r="AO96" s="76"/>
      <c r="AP96" s="15"/>
      <c r="AQ96" s="15"/>
      <c r="AR96" s="76"/>
      <c r="AS96" s="15"/>
      <c r="AT96" s="15"/>
      <c r="AU96" s="76"/>
      <c r="AV96" s="76"/>
      <c r="AW96" s="15"/>
      <c r="AX96" s="15"/>
      <c r="AY96" s="76"/>
      <c r="AZ96" s="15"/>
      <c r="BA96" s="15"/>
      <c r="BB96" s="67"/>
      <c r="BC96" s="67"/>
      <c r="BD96" s="67"/>
      <c r="BE96" s="68"/>
      <c r="BF96" s="68"/>
      <c r="BG96" s="68"/>
      <c r="BH96" s="68"/>
      <c r="BI96" s="68"/>
      <c r="BJ96" s="68"/>
      <c r="BK96" s="68"/>
      <c r="BL96" s="68"/>
      <c r="BM96" s="68"/>
      <c r="BN96" s="15"/>
    </row>
    <row r="97" spans="1:66" ht="14.25" hidden="1" customHeight="1" outlineLevel="1" x14ac:dyDescent="0.15">
      <c r="A97" s="2" t="e">
        <f>COUNTIF([2]Тарифы!$AK$87:$AK$90,"с дифференциацией (несколько смет)")&gt;0</f>
        <v>#VALUE!</v>
      </c>
      <c r="B97" s="2" t="e">
        <f t="array" ref="B97">A97</f>
        <v>#VALUE!</v>
      </c>
      <c r="C97" s="77" t="s">
        <v>87</v>
      </c>
      <c r="D97" s="8" t="s">
        <v>88</v>
      </c>
      <c r="E97" s="2" t="s">
        <v>74</v>
      </c>
      <c r="F97" s="2" t="s">
        <v>75</v>
      </c>
      <c r="G97" s="2" t="s">
        <v>74</v>
      </c>
      <c r="H97" s="2" t="s">
        <v>74</v>
      </c>
      <c r="I97" s="2" t="s">
        <v>74</v>
      </c>
      <c r="J97" s="2" t="s">
        <v>74</v>
      </c>
      <c r="K97" s="8" t="s">
        <v>78</v>
      </c>
      <c r="L97" s="7"/>
      <c r="M97" s="8">
        <f t="array" ref="M97">$AB$92</f>
        <v>0</v>
      </c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15"/>
      <c r="AA97" s="71"/>
      <c r="AB97" s="72"/>
      <c r="AC97" s="73"/>
      <c r="AD97" s="76"/>
      <c r="AE97" s="76"/>
      <c r="AF97" s="76"/>
      <c r="AG97" s="15"/>
      <c r="AH97" s="15"/>
      <c r="AI97" s="76"/>
      <c r="AJ97" s="15"/>
      <c r="AK97" s="15"/>
      <c r="AL97" s="15"/>
      <c r="AM97" s="15"/>
      <c r="AN97" s="15"/>
      <c r="AO97" s="76"/>
      <c r="AP97" s="15"/>
      <c r="AQ97" s="15"/>
      <c r="AR97" s="76"/>
      <c r="AS97" s="15"/>
      <c r="AT97" s="15"/>
      <c r="AU97" s="15"/>
      <c r="AV97" s="76"/>
      <c r="AW97" s="15"/>
      <c r="AX97" s="15"/>
      <c r="AY97" s="76"/>
      <c r="AZ97" s="15"/>
      <c r="BA97" s="15"/>
      <c r="BB97" s="67"/>
      <c r="BC97" s="67"/>
      <c r="BD97" s="67"/>
      <c r="BE97" s="68"/>
      <c r="BF97" s="68"/>
      <c r="BG97" s="68"/>
      <c r="BH97" s="68"/>
      <c r="BI97" s="68"/>
      <c r="BJ97" s="68"/>
      <c r="BK97" s="68"/>
      <c r="BL97" s="68"/>
      <c r="BM97" s="68"/>
      <c r="BN97" s="15"/>
    </row>
    <row r="98" spans="1:66" ht="14.25" hidden="1" customHeight="1" outlineLevel="1" x14ac:dyDescent="0.15">
      <c r="A98" s="2" t="e">
        <f>COUNTIF([2]Тарифы!$AK$87:$AK$90,"с дифференциацией (несколько смет)")&gt;0</f>
        <v>#VALUE!</v>
      </c>
      <c r="B98" s="2" t="e">
        <f t="array" ref="B98">A98</f>
        <v>#VALUE!</v>
      </c>
      <c r="C98" s="77" t="s">
        <v>89</v>
      </c>
      <c r="D98" s="8" t="s">
        <v>90</v>
      </c>
      <c r="E98" s="2" t="s">
        <v>74</v>
      </c>
      <c r="F98" s="2" t="s">
        <v>75</v>
      </c>
      <c r="G98" s="2" t="s">
        <v>74</v>
      </c>
      <c r="H98" s="2" t="s">
        <v>74</v>
      </c>
      <c r="I98" s="2" t="s">
        <v>74</v>
      </c>
      <c r="J98" s="2" t="s">
        <v>74</v>
      </c>
      <c r="K98" s="8" t="s">
        <v>78</v>
      </c>
      <c r="L98" s="7"/>
      <c r="M98" s="8">
        <f t="array" ref="M98">$AB$92</f>
        <v>0</v>
      </c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15"/>
      <c r="AA98" s="71"/>
      <c r="AB98" s="72"/>
      <c r="AC98" s="73"/>
      <c r="AD98" s="76"/>
      <c r="AE98" s="76"/>
      <c r="AF98" s="76"/>
      <c r="AG98" s="15"/>
      <c r="AH98" s="15"/>
      <c r="AI98" s="76"/>
      <c r="AJ98" s="15"/>
      <c r="AK98" s="15"/>
      <c r="AL98" s="15"/>
      <c r="AM98" s="15"/>
      <c r="AN98" s="15"/>
      <c r="AO98" s="76"/>
      <c r="AP98" s="15"/>
      <c r="AQ98" s="15"/>
      <c r="AR98" s="76"/>
      <c r="AS98" s="15"/>
      <c r="AT98" s="15"/>
      <c r="AU98" s="15"/>
      <c r="AV98" s="76"/>
      <c r="AW98" s="15"/>
      <c r="AX98" s="15"/>
      <c r="AY98" s="76"/>
      <c r="AZ98" s="15"/>
      <c r="BA98" s="15"/>
      <c r="BB98" s="67"/>
      <c r="BC98" s="67"/>
      <c r="BD98" s="67"/>
      <c r="BE98" s="68"/>
      <c r="BF98" s="68"/>
      <c r="BG98" s="68"/>
      <c r="BH98" s="68"/>
      <c r="BI98" s="68"/>
      <c r="BJ98" s="68"/>
      <c r="BK98" s="68"/>
      <c r="BL98" s="68"/>
      <c r="BM98" s="68"/>
      <c r="BN98" s="15"/>
    </row>
    <row r="99" spans="1:66" ht="14.25" hidden="1" customHeight="1" outlineLevel="1" x14ac:dyDescent="0.25">
      <c r="A99" s="2" t="e">
        <f>COUNTIF([2]Тарифы!$AK$87:$AK$90,"с дифференциацией (несколько смет)")&gt;0</f>
        <v>#VALUE!</v>
      </c>
      <c r="B99" s="2" t="e">
        <f t="array" ref="B99">A99</f>
        <v>#VALUE!</v>
      </c>
      <c r="C99" s="2" t="s">
        <v>91</v>
      </c>
      <c r="D99" s="2" t="s">
        <v>92</v>
      </c>
      <c r="E99" s="2" t="s">
        <v>74</v>
      </c>
      <c r="F99" s="2" t="s">
        <v>75</v>
      </c>
      <c r="G99" s="2" t="s">
        <v>74</v>
      </c>
      <c r="H99" s="2" t="s">
        <v>74</v>
      </c>
      <c r="I99" s="2" t="s">
        <v>74</v>
      </c>
      <c r="J99" s="2" t="s">
        <v>74</v>
      </c>
      <c r="K99" s="8" t="s">
        <v>78</v>
      </c>
      <c r="L99" s="7"/>
      <c r="M99" s="8">
        <f t="array" ref="M99">$AB$92</f>
        <v>0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15"/>
      <c r="AA99" s="63"/>
      <c r="AB99" s="74"/>
      <c r="AC99" s="63"/>
      <c r="AD99" s="76"/>
      <c r="AE99" s="76"/>
      <c r="AF99" s="76"/>
      <c r="AG99" s="15"/>
      <c r="AH99" s="15"/>
      <c r="AI99" s="76"/>
      <c r="AJ99" s="15"/>
      <c r="AK99" s="15"/>
      <c r="AL99" s="15"/>
      <c r="AM99" s="15"/>
      <c r="AN99" s="76"/>
      <c r="AO99" s="76"/>
      <c r="AP99" s="15"/>
      <c r="AQ99" s="15"/>
      <c r="AR99" s="76"/>
      <c r="AS99" s="15"/>
      <c r="AT99" s="15"/>
      <c r="AU99" s="76"/>
      <c r="AV99" s="76"/>
      <c r="AW99" s="15"/>
      <c r="AX99" s="15"/>
      <c r="AY99" s="76"/>
      <c r="AZ99" s="15"/>
      <c r="BA99" s="15"/>
      <c r="BB99" s="67"/>
      <c r="BC99" s="67"/>
      <c r="BD99" s="67"/>
      <c r="BE99" s="68"/>
      <c r="BF99" s="68"/>
      <c r="BG99" s="68"/>
      <c r="BH99" s="68"/>
      <c r="BI99" s="68"/>
      <c r="BJ99" s="68"/>
      <c r="BK99" s="68"/>
      <c r="BL99" s="68"/>
      <c r="BM99" s="68"/>
      <c r="BN99" s="15"/>
    </row>
    <row r="100" spans="1:66" ht="14.25" hidden="1" customHeight="1" outlineLevel="1" x14ac:dyDescent="0.25">
      <c r="A100" s="2" t="e">
        <f>COUNTIF([2]Тарифы!$AK$87:$AK$90,"с дифференциацией (несколько смет)")&gt;0</f>
        <v>#VALUE!</v>
      </c>
      <c r="B100" s="2" t="e">
        <f t="array" ref="B100">A100</f>
        <v>#VALUE!</v>
      </c>
      <c r="C100" s="2" t="s">
        <v>93</v>
      </c>
      <c r="D100" s="2" t="s">
        <v>94</v>
      </c>
      <c r="E100" s="2" t="s">
        <v>74</v>
      </c>
      <c r="F100" s="2" t="s">
        <v>75</v>
      </c>
      <c r="G100" s="2" t="s">
        <v>74</v>
      </c>
      <c r="H100" s="2" t="s">
        <v>74</v>
      </c>
      <c r="I100" s="2" t="s">
        <v>74</v>
      </c>
      <c r="J100" s="2" t="s">
        <v>74</v>
      </c>
      <c r="K100" s="8" t="s">
        <v>78</v>
      </c>
      <c r="L100" s="7"/>
      <c r="M100" s="8">
        <f t="array" ref="M100">$AB$92</f>
        <v>0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15"/>
      <c r="AA100" s="71"/>
      <c r="AB100" s="72"/>
      <c r="AC100" s="78"/>
      <c r="AD100" s="79"/>
      <c r="AE100" s="79"/>
      <c r="AF100" s="79"/>
      <c r="AG100" s="15"/>
      <c r="AH100" s="15"/>
      <c r="AI100" s="79"/>
      <c r="AJ100" s="15"/>
      <c r="AK100" s="15"/>
      <c r="AL100" s="15"/>
      <c r="AM100" s="15"/>
      <c r="AN100" s="15"/>
      <c r="AO100" s="79"/>
      <c r="AP100" s="15"/>
      <c r="AQ100" s="15"/>
      <c r="AR100" s="79"/>
      <c r="AS100" s="15"/>
      <c r="AT100" s="15"/>
      <c r="AU100" s="15"/>
      <c r="AV100" s="79"/>
      <c r="AW100" s="15"/>
      <c r="AX100" s="15"/>
      <c r="AY100" s="79"/>
      <c r="AZ100" s="15"/>
      <c r="BA100" s="15"/>
      <c r="BB100" s="67"/>
      <c r="BC100" s="67"/>
      <c r="BD100" s="67"/>
      <c r="BE100" s="68"/>
      <c r="BF100" s="68"/>
      <c r="BG100" s="68"/>
      <c r="BH100" s="68"/>
      <c r="BI100" s="68"/>
      <c r="BJ100" s="68"/>
      <c r="BK100" s="68"/>
      <c r="BL100" s="68"/>
      <c r="BM100" s="68"/>
      <c r="BN100" s="15"/>
    </row>
    <row r="101" spans="1:66" ht="14.25" hidden="1" customHeight="1" outlineLevel="1" x14ac:dyDescent="0.25">
      <c r="A101" s="2" t="e">
        <f>COUNTIF([2]Тарифы!$AK$87:$AK$90,"с дифференциацией (несколько смет)")&gt;0</f>
        <v>#VALUE!</v>
      </c>
      <c r="B101" s="2" t="e">
        <f t="array" ref="B101">A101</f>
        <v>#VALUE!</v>
      </c>
      <c r="C101" s="2" t="s">
        <v>95</v>
      </c>
      <c r="D101" s="2" t="s">
        <v>96</v>
      </c>
      <c r="E101" s="2" t="s">
        <v>74</v>
      </c>
      <c r="F101" s="2" t="s">
        <v>75</v>
      </c>
      <c r="G101" s="2" t="s">
        <v>74</v>
      </c>
      <c r="H101" s="2" t="s">
        <v>74</v>
      </c>
      <c r="I101" s="2" t="s">
        <v>74</v>
      </c>
      <c r="J101" s="2" t="s">
        <v>74</v>
      </c>
      <c r="K101" s="8" t="s">
        <v>78</v>
      </c>
      <c r="L101" s="7"/>
      <c r="M101" s="8">
        <f t="array" ref="M101">$AB$92</f>
        <v>0</v>
      </c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15"/>
      <c r="AA101" s="71"/>
      <c r="AB101" s="72"/>
      <c r="AC101" s="73"/>
      <c r="AD101" s="79"/>
      <c r="AE101" s="79"/>
      <c r="AF101" s="79"/>
      <c r="AG101" s="15"/>
      <c r="AH101" s="15"/>
      <c r="AI101" s="79"/>
      <c r="AJ101" s="15"/>
      <c r="AK101" s="15"/>
      <c r="AL101" s="15"/>
      <c r="AM101" s="15"/>
      <c r="AN101" s="15"/>
      <c r="AO101" s="79"/>
      <c r="AP101" s="15"/>
      <c r="AQ101" s="15"/>
      <c r="AR101" s="79"/>
      <c r="AS101" s="15"/>
      <c r="AT101" s="15"/>
      <c r="AU101" s="15"/>
      <c r="AV101" s="79"/>
      <c r="AW101" s="15"/>
      <c r="AX101" s="15"/>
      <c r="AY101" s="79"/>
      <c r="AZ101" s="15"/>
      <c r="BA101" s="15"/>
      <c r="BB101" s="67"/>
      <c r="BC101" s="67"/>
      <c r="BD101" s="67"/>
      <c r="BE101" s="68"/>
      <c r="BF101" s="68"/>
      <c r="BG101" s="68"/>
      <c r="BH101" s="68"/>
      <c r="BI101" s="68"/>
      <c r="BJ101" s="68"/>
      <c r="BK101" s="68"/>
      <c r="BL101" s="68"/>
      <c r="BM101" s="68"/>
      <c r="BN101" s="15"/>
    </row>
    <row r="102" spans="1:66" ht="14.25" hidden="1" customHeight="1" outlineLevel="1" x14ac:dyDescent="0.25">
      <c r="A102" s="2" t="e">
        <f>COUNTIF([2]Тарифы!$AK$87:$AK$90,"с дифференциацией (несколько смет)")&gt;0</f>
        <v>#VALUE!</v>
      </c>
      <c r="B102" s="2" t="e">
        <f t="array" ref="B102">A102</f>
        <v>#VALUE!</v>
      </c>
      <c r="C102" s="2" t="s">
        <v>97</v>
      </c>
      <c r="D102" s="2" t="s">
        <v>98</v>
      </c>
      <c r="E102" s="2" t="s">
        <v>74</v>
      </c>
      <c r="F102" s="2" t="s">
        <v>75</v>
      </c>
      <c r="G102" s="2" t="s">
        <v>74</v>
      </c>
      <c r="H102" s="2" t="s">
        <v>74</v>
      </c>
      <c r="I102" s="2" t="s">
        <v>74</v>
      </c>
      <c r="J102" s="2" t="s">
        <v>74</v>
      </c>
      <c r="K102" s="8" t="s">
        <v>78</v>
      </c>
      <c r="L102" s="7"/>
      <c r="M102" s="8">
        <f t="array" ref="M102">$AB$92</f>
        <v>0</v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15"/>
      <c r="AA102" s="71"/>
      <c r="AB102" s="72"/>
      <c r="AC102" s="73"/>
      <c r="AD102" s="80"/>
      <c r="AE102" s="80"/>
      <c r="AF102" s="80"/>
      <c r="AG102" s="15"/>
      <c r="AH102" s="15"/>
      <c r="AI102" s="80"/>
      <c r="AJ102" s="15"/>
      <c r="AK102" s="15"/>
      <c r="AL102" s="15"/>
      <c r="AM102" s="15"/>
      <c r="AN102" s="80"/>
      <c r="AO102" s="80"/>
      <c r="AP102" s="15"/>
      <c r="AQ102" s="15"/>
      <c r="AR102" s="80"/>
      <c r="AS102" s="15"/>
      <c r="AT102" s="15"/>
      <c r="AU102" s="80"/>
      <c r="AV102" s="80"/>
      <c r="AW102" s="15"/>
      <c r="AX102" s="15"/>
      <c r="AY102" s="80"/>
      <c r="AZ102" s="15"/>
      <c r="BA102" s="15"/>
      <c r="BB102" s="67"/>
      <c r="BC102" s="67"/>
      <c r="BD102" s="67"/>
      <c r="BE102" s="68"/>
      <c r="BF102" s="68"/>
      <c r="BG102" s="68"/>
      <c r="BH102" s="68"/>
      <c r="BI102" s="68"/>
      <c r="BJ102" s="68"/>
      <c r="BK102" s="68"/>
      <c r="BL102" s="68"/>
      <c r="BM102" s="68"/>
      <c r="BN102" s="15"/>
    </row>
    <row r="103" spans="1:66" ht="14.25" hidden="1" customHeight="1" outlineLevel="1" x14ac:dyDescent="0.25">
      <c r="A103" s="2" t="e">
        <f>COUNTIF([2]Тарифы!$AK$87:$AK$90,"с дифференциацией (несколько смет)")&gt;0</f>
        <v>#VALUE!</v>
      </c>
      <c r="B103" s="81" t="e">
        <f>AND(NDS="да",A103)</f>
        <v>#VALUE!</v>
      </c>
      <c r="C103" s="2" t="s">
        <v>99</v>
      </c>
      <c r="D103" s="2" t="s">
        <v>100</v>
      </c>
      <c r="E103" s="2" t="s">
        <v>74</v>
      </c>
      <c r="F103" s="2" t="s">
        <v>75</v>
      </c>
      <c r="G103" s="2" t="s">
        <v>74</v>
      </c>
      <c r="H103" s="2" t="s">
        <v>74</v>
      </c>
      <c r="I103" s="2" t="s">
        <v>74</v>
      </c>
      <c r="J103" s="2" t="s">
        <v>74</v>
      </c>
      <c r="K103" s="8" t="s">
        <v>78</v>
      </c>
      <c r="L103" s="7"/>
      <c r="M103" s="8">
        <f t="array" ref="M103">$AB$92</f>
        <v>0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15"/>
      <c r="AA103" s="63"/>
      <c r="AB103" s="74"/>
      <c r="AC103" s="63"/>
      <c r="AD103" s="76"/>
      <c r="AE103" s="76"/>
      <c r="AF103" s="76"/>
      <c r="AG103" s="15"/>
      <c r="AH103" s="15"/>
      <c r="AI103" s="76"/>
      <c r="AJ103" s="15"/>
      <c r="AK103" s="15"/>
      <c r="AL103" s="15"/>
      <c r="AM103" s="15"/>
      <c r="AN103" s="76"/>
      <c r="AO103" s="76"/>
      <c r="AP103" s="15"/>
      <c r="AQ103" s="15"/>
      <c r="AR103" s="76"/>
      <c r="AS103" s="15"/>
      <c r="AT103" s="15"/>
      <c r="AU103" s="76"/>
      <c r="AV103" s="76"/>
      <c r="AW103" s="15"/>
      <c r="AX103" s="15"/>
      <c r="AY103" s="76"/>
      <c r="AZ103" s="15"/>
      <c r="BA103" s="15"/>
      <c r="BB103" s="67"/>
      <c r="BC103" s="67"/>
      <c r="BD103" s="67"/>
      <c r="BE103" s="68"/>
      <c r="BF103" s="68"/>
      <c r="BG103" s="68"/>
      <c r="BH103" s="68"/>
      <c r="BI103" s="68"/>
      <c r="BJ103" s="68"/>
      <c r="BK103" s="68"/>
      <c r="BL103" s="68"/>
      <c r="BM103" s="68"/>
      <c r="BN103" s="15"/>
    </row>
    <row r="104" spans="1:66" ht="14.25" hidden="1" customHeight="1" outlineLevel="1" x14ac:dyDescent="0.25">
      <c r="A104" s="2" t="e">
        <f>COUNTIF([2]Тарифы!$AK$87:$AK$90,"с дифференциацией (несколько смет)")&gt;0</f>
        <v>#VALUE!</v>
      </c>
      <c r="B104" s="81" t="e">
        <f>AND(NDS="да",A104)</f>
        <v>#VALUE!</v>
      </c>
      <c r="C104" s="2" t="s">
        <v>101</v>
      </c>
      <c r="D104" s="2" t="s">
        <v>102</v>
      </c>
      <c r="E104" s="2" t="s">
        <v>74</v>
      </c>
      <c r="F104" s="2" t="s">
        <v>75</v>
      </c>
      <c r="G104" s="2" t="s">
        <v>74</v>
      </c>
      <c r="H104" s="2" t="s">
        <v>74</v>
      </c>
      <c r="I104" s="2" t="s">
        <v>74</v>
      </c>
      <c r="J104" s="2" t="s">
        <v>74</v>
      </c>
      <c r="K104" s="8" t="s">
        <v>78</v>
      </c>
      <c r="L104" s="7"/>
      <c r="M104" s="8">
        <f t="array" ref="M104">$AB$92</f>
        <v>0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15"/>
      <c r="AA104" s="71"/>
      <c r="AB104" s="72"/>
      <c r="AC104" s="78"/>
      <c r="AD104" s="76"/>
      <c r="AE104" s="76"/>
      <c r="AF104" s="76"/>
      <c r="AG104" s="15"/>
      <c r="AH104" s="15"/>
      <c r="AI104" s="76"/>
      <c r="AJ104" s="15"/>
      <c r="AK104" s="15"/>
      <c r="AL104" s="15"/>
      <c r="AM104" s="15"/>
      <c r="AN104" s="76"/>
      <c r="AO104" s="76"/>
      <c r="AP104" s="15"/>
      <c r="AQ104" s="15"/>
      <c r="AR104" s="76"/>
      <c r="AS104" s="15"/>
      <c r="AT104" s="15"/>
      <c r="AU104" s="76"/>
      <c r="AV104" s="76"/>
      <c r="AW104" s="15"/>
      <c r="AX104" s="15"/>
      <c r="AY104" s="76"/>
      <c r="AZ104" s="15"/>
      <c r="BA104" s="15"/>
      <c r="BB104" s="67"/>
      <c r="BC104" s="67"/>
      <c r="BD104" s="67"/>
      <c r="BE104" s="68"/>
      <c r="BF104" s="68"/>
      <c r="BG104" s="68"/>
      <c r="BH104" s="68"/>
      <c r="BI104" s="68"/>
      <c r="BJ104" s="68"/>
      <c r="BK104" s="68"/>
      <c r="BL104" s="68"/>
      <c r="BM104" s="68"/>
      <c r="BN104" s="15"/>
    </row>
    <row r="105" spans="1:66" ht="14.25" hidden="1" customHeight="1" outlineLevel="1" x14ac:dyDescent="0.25">
      <c r="A105" s="2" t="e">
        <f>COUNTIF([2]Тарифы!$AK$87:$AK$90,"с дифференциацией (несколько смет)")&gt;0</f>
        <v>#VALUE!</v>
      </c>
      <c r="B105" s="81" t="e">
        <f>AND(NDS="да",A105)</f>
        <v>#VALUE!</v>
      </c>
      <c r="C105" s="2" t="s">
        <v>103</v>
      </c>
      <c r="D105" s="2" t="s">
        <v>104</v>
      </c>
      <c r="E105" s="2" t="s">
        <v>74</v>
      </c>
      <c r="F105" s="2" t="s">
        <v>75</v>
      </c>
      <c r="G105" s="2" t="s">
        <v>74</v>
      </c>
      <c r="H105" s="2" t="s">
        <v>74</v>
      </c>
      <c r="I105" s="2" t="s">
        <v>74</v>
      </c>
      <c r="J105" s="2" t="s">
        <v>74</v>
      </c>
      <c r="K105" s="8" t="s">
        <v>78</v>
      </c>
      <c r="L105" s="7"/>
      <c r="M105" s="8">
        <f t="array" ref="M105">$AB$92</f>
        <v>0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15"/>
      <c r="AA105" s="71"/>
      <c r="AB105" s="72"/>
      <c r="AC105" s="78"/>
      <c r="AD105" s="76"/>
      <c r="AE105" s="76"/>
      <c r="AF105" s="76"/>
      <c r="AG105" s="15"/>
      <c r="AH105" s="15"/>
      <c r="AI105" s="76"/>
      <c r="AJ105" s="15"/>
      <c r="AK105" s="15"/>
      <c r="AL105" s="15"/>
      <c r="AM105" s="15"/>
      <c r="AN105" s="76"/>
      <c r="AO105" s="76"/>
      <c r="AP105" s="15"/>
      <c r="AQ105" s="15"/>
      <c r="AR105" s="76"/>
      <c r="AS105" s="15"/>
      <c r="AT105" s="15"/>
      <c r="AU105" s="76"/>
      <c r="AV105" s="76"/>
      <c r="AW105" s="15"/>
      <c r="AX105" s="15"/>
      <c r="AY105" s="76"/>
      <c r="AZ105" s="15"/>
      <c r="BA105" s="15"/>
      <c r="BB105" s="67"/>
      <c r="BC105" s="67"/>
      <c r="BD105" s="67"/>
      <c r="BE105" s="68"/>
      <c r="BF105" s="68"/>
      <c r="BG105" s="68"/>
      <c r="BH105" s="68"/>
      <c r="BI105" s="68"/>
      <c r="BJ105" s="68"/>
      <c r="BK105" s="68"/>
      <c r="BL105" s="68"/>
      <c r="BM105" s="68"/>
      <c r="BN105" s="15"/>
    </row>
    <row r="106" spans="1:66" ht="14.25" hidden="1" customHeight="1" outlineLevel="1" x14ac:dyDescent="0.25">
      <c r="A106" s="2" t="e">
        <f>COUNTIF([2]Тарифы!$AK$87:$AK$90,"с дифференциацией (несколько смет)")&gt;0</f>
        <v>#VALUE!</v>
      </c>
      <c r="B106" s="81" t="e">
        <f>AND(NDS="да",A106)</f>
        <v>#VALUE!</v>
      </c>
      <c r="C106" s="2" t="s">
        <v>105</v>
      </c>
      <c r="D106" s="2" t="s">
        <v>106</v>
      </c>
      <c r="E106" s="2" t="s">
        <v>74</v>
      </c>
      <c r="F106" s="2" t="s">
        <v>75</v>
      </c>
      <c r="G106" s="2" t="s">
        <v>74</v>
      </c>
      <c r="H106" s="2" t="s">
        <v>74</v>
      </c>
      <c r="I106" s="2" t="s">
        <v>74</v>
      </c>
      <c r="J106" s="2" t="s">
        <v>74</v>
      </c>
      <c r="K106" s="8" t="s">
        <v>78</v>
      </c>
      <c r="L106" s="7"/>
      <c r="M106" s="8">
        <f t="array" ref="M106">$AB$92</f>
        <v>0</v>
      </c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5"/>
      <c r="AA106" s="71"/>
      <c r="AB106" s="72"/>
      <c r="AC106" s="78"/>
      <c r="AD106" s="80"/>
      <c r="AE106" s="80"/>
      <c r="AF106" s="80"/>
      <c r="AG106" s="15"/>
      <c r="AH106" s="15"/>
      <c r="AI106" s="80"/>
      <c r="AJ106" s="15"/>
      <c r="AK106" s="15"/>
      <c r="AL106" s="15"/>
      <c r="AM106" s="15"/>
      <c r="AN106" s="80"/>
      <c r="AO106" s="80"/>
      <c r="AP106" s="15"/>
      <c r="AQ106" s="15"/>
      <c r="AR106" s="80"/>
      <c r="AS106" s="15"/>
      <c r="AT106" s="15"/>
      <c r="AU106" s="80"/>
      <c r="AV106" s="80"/>
      <c r="AW106" s="15"/>
      <c r="AX106" s="15"/>
      <c r="AY106" s="80"/>
      <c r="AZ106" s="15"/>
      <c r="BA106" s="15"/>
      <c r="BB106" s="67"/>
      <c r="BC106" s="67"/>
      <c r="BD106" s="67"/>
      <c r="BE106" s="68"/>
      <c r="BF106" s="68"/>
      <c r="BG106" s="68"/>
      <c r="BH106" s="68"/>
      <c r="BI106" s="68"/>
      <c r="BJ106" s="68"/>
      <c r="BK106" s="68"/>
      <c r="BL106" s="68"/>
      <c r="BM106" s="68"/>
      <c r="BN106" s="15"/>
    </row>
    <row r="107" spans="1:66" ht="13.5" hidden="1" customHeight="1" x14ac:dyDescent="0.25">
      <c r="A107" s="7"/>
      <c r="B107" s="2" t="b">
        <f>SETTING_BASE="да"</f>
        <v>0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8" t="str">
        <f t="array" ref="M107">Y107</f>
        <v>1ХВС::1.1</v>
      </c>
      <c r="N107" s="7"/>
      <c r="O107" s="7"/>
      <c r="P107" s="7"/>
      <c r="Q107" s="7"/>
      <c r="R107" s="7"/>
      <c r="S107" s="2" t="str">
        <f t="array" ref="S107">INDEX([2]Тарифы!$AM$86:$AM$99,MATCH($X107,[2]Тарифы!$Y$86:$Y$99,0))</f>
        <v>да</v>
      </c>
      <c r="T107" s="2" t="str">
        <f t="array" ref="T107">INDEX([2]Тарифы!$AC$86:$AC$99,MATCH($X107,[2]Тарифы!$Y$86:$Y$99,0))</f>
        <v>Тариф на питьевую воду</v>
      </c>
      <c r="U107" s="2" t="str">
        <f t="array" ref="U107">INDEX([2]Тарифы!$AB$86:$AB$99,MATCH($X107,[2]Тарифы!$Y$86:$Y$99,0))</f>
        <v>Водоснабжение</v>
      </c>
      <c r="V107" s="2" t="str">
        <f t="array" ref="V107">INDEX([2]Тарифы!$AK$86:$AK$99,MATCH($X107,[2]Тарифы!$Y$86:$Y$99,0))</f>
        <v>без дифференциации</v>
      </c>
      <c r="W107" s="2" t="str">
        <f t="array" ref="W107">INDEX([2]Тарифы!$AD$86:$AD$99,MATCH($X107,[2]Тарифы!$Y$86:$Y$99,0))</f>
        <v>одноставочный</v>
      </c>
      <c r="X107" s="2" t="str">
        <f t="array" ref="X107">INDEX([2]Тарифы!$Y$86:$Y$99,MATCH($Y107,[2]Тарифы!$X$86:$X$99,0))</f>
        <v>1ХВС</v>
      </c>
      <c r="Y107" s="3" t="str">
        <f t="array" ref="Y107">[2]Тарифы!$X$87</f>
        <v>1ХВС::1.1</v>
      </c>
      <c r="Z107" s="7"/>
      <c r="AA107" s="82"/>
      <c r="AB107" s="83" t="str">
        <f t="array" ref="AB107">INDEX([2]Тарифы!$U$86:$U$99,MATCH($Y107,[2]Тарифы!$X$86:$X$99,0))</f>
        <v>1ХВС - Тариф на питьевую воду</v>
      </c>
      <c r="AC107" s="84"/>
      <c r="AD107" s="84"/>
      <c r="AE107" s="84"/>
      <c r="AF107" s="84"/>
      <c r="AG107" s="61"/>
      <c r="AH107" s="61"/>
      <c r="AI107" s="84"/>
      <c r="AJ107" s="61"/>
      <c r="AK107" s="61"/>
      <c r="AL107" s="61"/>
      <c r="AM107" s="61"/>
      <c r="AN107" s="84"/>
      <c r="AO107" s="84"/>
      <c r="AP107" s="61"/>
      <c r="AQ107" s="61"/>
      <c r="AR107" s="84"/>
      <c r="AS107" s="61"/>
      <c r="AT107" s="61"/>
      <c r="AU107" s="84"/>
      <c r="AV107" s="84"/>
      <c r="AW107" s="61"/>
      <c r="AX107" s="61"/>
      <c r="AY107" s="84"/>
      <c r="AZ107" s="61"/>
      <c r="BA107" s="61"/>
      <c r="BB107" s="85"/>
      <c r="BC107" s="85"/>
      <c r="BD107" s="85"/>
      <c r="BE107" s="44"/>
      <c r="BF107" s="44"/>
      <c r="BG107" s="44"/>
      <c r="BH107" s="44"/>
      <c r="BI107" s="44"/>
      <c r="BJ107" s="44"/>
      <c r="BK107" s="44"/>
      <c r="BL107" s="44"/>
      <c r="BM107" s="44"/>
      <c r="BN107" s="7"/>
    </row>
    <row r="108" spans="1:66" ht="14.25" customHeight="1" collapsed="1" x14ac:dyDescent="0.25">
      <c r="A108" s="2" t="b">
        <f>REGULATION_METHODS="Метод индексации"</f>
        <v>1</v>
      </c>
      <c r="B108" s="8" t="b">
        <f t="array" ref="B108">A108</f>
        <v>1</v>
      </c>
      <c r="M108" s="8" t="str">
        <f t="array" ref="M108">Y107</f>
        <v>1ХВС::1.1</v>
      </c>
      <c r="AA108" s="86">
        <v>0</v>
      </c>
      <c r="AB108" s="87" t="s">
        <v>107</v>
      </c>
      <c r="AC108" s="87"/>
      <c r="AD108" s="88"/>
      <c r="AE108" s="88"/>
      <c r="AF108" s="88"/>
      <c r="AG108" s="89"/>
      <c r="AH108" s="89"/>
      <c r="AI108" s="88"/>
      <c r="AJ108" s="89"/>
      <c r="AK108" s="89"/>
      <c r="AL108" s="89"/>
      <c r="AM108" s="89"/>
      <c r="AN108" s="88"/>
      <c r="AO108" s="88"/>
      <c r="AP108" s="89"/>
      <c r="AQ108" s="89"/>
      <c r="AR108" s="88"/>
      <c r="AS108" s="89"/>
      <c r="AT108" s="89"/>
      <c r="AU108" s="88"/>
      <c r="AV108" s="88"/>
      <c r="AW108" s="89"/>
      <c r="AX108" s="89"/>
      <c r="AY108" s="88"/>
      <c r="AZ108" s="89"/>
      <c r="BA108" s="89"/>
      <c r="BB108" s="90"/>
      <c r="BC108" s="90"/>
      <c r="BD108" s="90"/>
      <c r="BE108" s="91" t="s">
        <v>108</v>
      </c>
      <c r="BF108" s="91" t="s">
        <v>109</v>
      </c>
      <c r="BG108" s="92"/>
      <c r="BH108" s="92"/>
      <c r="BI108" s="92"/>
      <c r="BJ108" s="92"/>
      <c r="BK108" s="92"/>
      <c r="BL108" s="92"/>
      <c r="BM108" s="92"/>
    </row>
    <row r="109" spans="1:66" ht="14.25" hidden="1" customHeight="1" outlineLevel="1" x14ac:dyDescent="0.25">
      <c r="A109" s="2" t="b">
        <f t="array" ref="A109">A108</f>
        <v>1</v>
      </c>
      <c r="C109" s="93" t="s">
        <v>110</v>
      </c>
      <c r="D109" s="93" t="s">
        <v>111</v>
      </c>
      <c r="E109" s="2" t="s">
        <v>74</v>
      </c>
      <c r="F109" s="4" t="s">
        <v>75</v>
      </c>
      <c r="G109" s="93" t="s">
        <v>112</v>
      </c>
      <c r="H109" s="2" t="s">
        <v>74</v>
      </c>
      <c r="I109" s="2" t="s">
        <v>74</v>
      </c>
      <c r="K109" s="5" t="s">
        <v>74</v>
      </c>
      <c r="M109" s="8" t="str">
        <f t="array" ref="M109">Y107</f>
        <v>1ХВС::1.1</v>
      </c>
      <c r="AA109" s="94" t="str">
        <f>AA108&amp;".1"</f>
        <v>0.1</v>
      </c>
      <c r="AB109" s="95" t="s">
        <v>113</v>
      </c>
      <c r="AC109" s="96" t="s">
        <v>114</v>
      </c>
      <c r="AD109" s="97">
        <f>AD160+AD227+AD191+AD200-AD158</f>
        <v>0</v>
      </c>
      <c r="AE109" s="97">
        <f>AE160+AE227+AE191+AE200-AE158</f>
        <v>0</v>
      </c>
      <c r="AF109" s="97">
        <f>AF160+AF227+AF191+AF200-AF158</f>
        <v>0</v>
      </c>
      <c r="AG109" s="98"/>
      <c r="AH109" s="98"/>
      <c r="AI109" s="97">
        <f>AI160+AI227+AI191+AI200-AI158</f>
        <v>0</v>
      </c>
      <c r="AJ109" s="98"/>
      <c r="AK109" s="98"/>
      <c r="AL109" s="98"/>
      <c r="AM109" s="98"/>
      <c r="AN109" s="97" t="e">
        <f>AN160+AN227+AN191+AN200-AN158</f>
        <v>#REF!</v>
      </c>
      <c r="AO109" s="97">
        <f>AO160+AO227+AO191+AO200-AO158</f>
        <v>0</v>
      </c>
      <c r="AP109" s="98"/>
      <c r="AQ109" s="98"/>
      <c r="AR109" s="97">
        <f>AR160+AR227+AR191+AR200-AR158</f>
        <v>0</v>
      </c>
      <c r="AS109" s="98"/>
      <c r="AT109" s="98"/>
      <c r="AU109" s="97" t="e">
        <f>AU160+AU227+AU191+AU200-AU158</f>
        <v>#REF!</v>
      </c>
      <c r="AV109" s="97">
        <f>AV160+AV227+AV191+AV200-AV158</f>
        <v>-19.473364879377186</v>
      </c>
      <c r="AW109" s="98"/>
      <c r="AX109" s="98"/>
      <c r="AY109" s="97">
        <f>AY160+AY227+AY191+AY200-AY158</f>
        <v>-19.473364879377186</v>
      </c>
      <c r="AZ109" s="98"/>
      <c r="BA109" s="98"/>
      <c r="BB109" s="85"/>
      <c r="BC109" s="85"/>
      <c r="BD109" s="85"/>
      <c r="BE109" s="99" t="e">
        <f>SUM(AD109:BA109)</f>
        <v>#REF!</v>
      </c>
      <c r="BF109" s="100" t="e">
        <f>BF160+BF227+BF191+BF200-BF158</f>
        <v>#REF!</v>
      </c>
      <c r="BG109" s="101"/>
      <c r="BH109" s="101"/>
      <c r="BI109" s="101"/>
      <c r="BJ109" s="101"/>
      <c r="BK109" s="101"/>
      <c r="BL109" s="101"/>
      <c r="BM109" s="101"/>
    </row>
    <row r="110" spans="1:66" ht="14.25" hidden="1" customHeight="1" x14ac:dyDescent="0.25">
      <c r="A110" s="2" t="b">
        <f t="array" ref="A110">A109</f>
        <v>1</v>
      </c>
      <c r="M110" s="8" t="str">
        <f t="array" ref="M110">Y107</f>
        <v>1ХВС::1.1</v>
      </c>
      <c r="AA110" s="102">
        <v>1</v>
      </c>
      <c r="AB110" s="103" t="s">
        <v>115</v>
      </c>
      <c r="AC110" s="88"/>
      <c r="AD110" s="104"/>
      <c r="AE110" s="104"/>
      <c r="AF110" s="104"/>
      <c r="AG110" s="105"/>
      <c r="AH110" s="105"/>
      <c r="AI110" s="104"/>
      <c r="AJ110" s="105"/>
      <c r="AK110" s="105"/>
      <c r="AL110" s="105"/>
      <c r="AM110" s="105"/>
      <c r="AN110" s="106"/>
      <c r="AO110" s="106"/>
      <c r="AP110" s="105"/>
      <c r="AQ110" s="105"/>
      <c r="AR110" s="106"/>
      <c r="AS110" s="105"/>
      <c r="AT110" s="105"/>
      <c r="AU110" s="106"/>
      <c r="AV110" s="106"/>
      <c r="AW110" s="105"/>
      <c r="AX110" s="105"/>
      <c r="AY110" s="106"/>
      <c r="AZ110" s="105"/>
      <c r="BA110" s="105"/>
      <c r="BB110" s="85"/>
      <c r="BC110" s="85"/>
      <c r="BD110" s="85"/>
      <c r="BE110" s="101"/>
      <c r="BF110" s="99"/>
      <c r="BG110" s="101"/>
      <c r="BH110" s="101"/>
      <c r="BI110" s="101"/>
      <c r="BJ110" s="101"/>
      <c r="BK110" s="101"/>
      <c r="BL110" s="101"/>
      <c r="BM110" s="101"/>
    </row>
    <row r="111" spans="1:66" ht="14.25" hidden="1" customHeight="1" outlineLevel="1" x14ac:dyDescent="0.25">
      <c r="A111" s="2" t="b">
        <f t="array" ref="A111">A110</f>
        <v>1</v>
      </c>
      <c r="C111" s="2" t="s">
        <v>116</v>
      </c>
      <c r="D111" s="2" t="s">
        <v>117</v>
      </c>
      <c r="E111" s="8" t="str">
        <f t="array" ref="E111">AB111</f>
        <v>Коэффициент операционных расходов</v>
      </c>
      <c r="F111" s="4" t="s">
        <v>75</v>
      </c>
      <c r="G111" s="2" t="s">
        <v>74</v>
      </c>
      <c r="H111" s="2" t="s">
        <v>74</v>
      </c>
      <c r="I111" s="2" t="s">
        <v>74</v>
      </c>
      <c r="K111" s="5" t="s">
        <v>74</v>
      </c>
      <c r="L111" s="2" t="s">
        <v>118</v>
      </c>
      <c r="M111" s="8" t="str">
        <f t="array" ref="M111">Y107</f>
        <v>1ХВС::1.1</v>
      </c>
      <c r="AA111" s="107" t="str">
        <f>AA110&amp;".1"</f>
        <v>1.1</v>
      </c>
      <c r="AB111" s="108" t="s">
        <v>119</v>
      </c>
      <c r="AC111" s="109"/>
      <c r="AD111" s="7"/>
      <c r="AE111" s="110">
        <f>(1-AE113)*(1+AE114)*(1+AE115)*AE119</f>
        <v>1.03257</v>
      </c>
      <c r="AF111" s="110">
        <f>(1-AF113)*(1+AF114)*(1+AF115)*AF119</f>
        <v>1.0494000000000001</v>
      </c>
      <c r="AG111" s="15"/>
      <c r="AH111" s="15"/>
      <c r="AI111" s="110" t="e">
        <f>(1-AI113)*(1+AI114)*(1+AI115)*AI119</f>
        <v>#REF!</v>
      </c>
      <c r="AJ111" s="15"/>
      <c r="AK111" s="15"/>
      <c r="AL111" s="15"/>
      <c r="AM111" s="15"/>
      <c r="AN111" s="111" t="e">
        <f>(1-AN113)*(1+AN114)*(1+AN115)*AN119</f>
        <v>#REF!</v>
      </c>
      <c r="AO111" s="111">
        <f>(1-AO113)*(1+AO114)*(1+AO115)*AO119</f>
        <v>1.06128</v>
      </c>
      <c r="AP111" s="15"/>
      <c r="AQ111" s="15"/>
      <c r="AR111" s="111">
        <f>(1-AR113)*(1+AR114)*(1+AR115)*AR119</f>
        <v>1.06128</v>
      </c>
      <c r="AS111" s="15"/>
      <c r="AT111" s="15"/>
      <c r="AU111" s="111" t="e">
        <f>(1-AU113)*(1+AU114)*(1+AU115)*AU119</f>
        <v>#REF!</v>
      </c>
      <c r="AV111" s="111">
        <v>1.0315799999999999</v>
      </c>
      <c r="AW111" s="15"/>
      <c r="AX111" s="15"/>
      <c r="AY111" s="111" t="e">
        <f>(1-AY113)*(1+AY114)*(1+AY115)*AY119</f>
        <v>#REF!</v>
      </c>
      <c r="AZ111" s="15"/>
      <c r="BA111" s="15"/>
      <c r="BB111" s="85"/>
      <c r="BC111" s="85"/>
      <c r="BD111" s="85"/>
      <c r="BE111" s="99" t="e">
        <f t="shared" ref="BE111:BE127" si="0">SUM(AD111:BA111)</f>
        <v>#REF!</v>
      </c>
      <c r="BF111" s="100" t="e">
        <f>(1-BF113)*(1+BF114)*(1+BF115)*BF119</f>
        <v>#REF!</v>
      </c>
      <c r="BG111" s="101"/>
      <c r="BH111" s="101"/>
      <c r="BI111" s="101"/>
      <c r="BJ111" s="101"/>
      <c r="BK111" s="101"/>
      <c r="BL111" s="101"/>
      <c r="BM111" s="101"/>
    </row>
    <row r="112" spans="1:66" ht="14.25" hidden="1" customHeight="1" outlineLevel="1" x14ac:dyDescent="0.25">
      <c r="A112" s="2" t="b">
        <f t="array" ref="A112">A111</f>
        <v>1</v>
      </c>
      <c r="C112" s="112" t="s">
        <v>116</v>
      </c>
      <c r="D112" s="112" t="s">
        <v>117</v>
      </c>
      <c r="E112" s="113" t="str">
        <f t="array" ref="E112">AB112</f>
        <v>Коэффициент роста ОР к значению прошлого года</v>
      </c>
      <c r="F112" s="112" t="s">
        <v>75</v>
      </c>
      <c r="G112" s="112" t="s">
        <v>74</v>
      </c>
      <c r="H112" s="112" t="s">
        <v>74</v>
      </c>
      <c r="I112" s="112" t="s">
        <v>74</v>
      </c>
      <c r="J112" s="113"/>
      <c r="K112" s="114" t="s">
        <v>74</v>
      </c>
      <c r="L112" s="112" t="s">
        <v>118</v>
      </c>
      <c r="M112" s="8" t="str">
        <f t="array" ref="M112">Y107</f>
        <v>1ХВС::1.1</v>
      </c>
      <c r="AA112" s="107" t="str">
        <f>AA110&amp;".1*"</f>
        <v>1.1*</v>
      </c>
      <c r="AB112" s="108" t="s">
        <v>120</v>
      </c>
      <c r="AC112" s="109"/>
      <c r="AD112" s="115"/>
      <c r="AE112" s="116">
        <f>IF(AD158=0,0,AE158/AD158)</f>
        <v>1.0585380112841118</v>
      </c>
      <c r="AF112" s="110">
        <f>IF(AE158=0,0,AF158/AE158)</f>
        <v>1.1535569223394067</v>
      </c>
      <c r="AG112" s="15"/>
      <c r="AH112" s="15"/>
      <c r="AI112" s="110" t="e">
        <f>IF(#REF!=0,0,AI158/#REF!)</f>
        <v>#REF!</v>
      </c>
      <c r="AJ112" s="15"/>
      <c r="AK112" s="15"/>
      <c r="AL112" s="15"/>
      <c r="AM112" s="15"/>
      <c r="AN112" s="110" t="e">
        <f>IF(#REF!=0,0,AN158/#REF!)</f>
        <v>#REF!</v>
      </c>
      <c r="AO112" s="111">
        <f>IF(AF158=0,0,AO158/AF158)</f>
        <v>1.3426672098011516</v>
      </c>
      <c r="AP112" s="15"/>
      <c r="AQ112" s="15"/>
      <c r="AR112" s="111">
        <f>IF(AI158=0,0,AR158/AI158)</f>
        <v>1.3426672098011516</v>
      </c>
      <c r="AS112" s="15"/>
      <c r="AT112" s="15"/>
      <c r="AU112" s="111" t="e">
        <f>IF(AN158=0,0,AU158/AN158)</f>
        <v>#REF!</v>
      </c>
      <c r="AV112" s="111">
        <v>1.0315799999999999</v>
      </c>
      <c r="AW112" s="15"/>
      <c r="AX112" s="15"/>
      <c r="AY112" s="111">
        <f>IF(AR158=0,0,AY158/AR158)</f>
        <v>1.0315799999999999</v>
      </c>
      <c r="AZ112" s="15"/>
      <c r="BA112" s="15"/>
      <c r="BB112" s="85"/>
      <c r="BC112" s="85"/>
      <c r="BD112" s="85"/>
      <c r="BE112" s="99" t="e">
        <f t="shared" si="0"/>
        <v>#REF!</v>
      </c>
      <c r="BF112" s="99" t="e">
        <f t="array" ref="BF112">#REF!</f>
        <v>#REF!</v>
      </c>
      <c r="BG112" s="101"/>
      <c r="BH112" s="101"/>
      <c r="BI112" s="101"/>
      <c r="BJ112" s="101"/>
      <c r="BK112" s="101"/>
      <c r="BL112" s="101"/>
      <c r="BM112" s="101"/>
    </row>
    <row r="113" spans="1:66" ht="14.25" hidden="1" customHeight="1" outlineLevel="2" x14ac:dyDescent="0.25">
      <c r="A113" s="2" t="b">
        <f t="array" ref="A113">A111</f>
        <v>1</v>
      </c>
      <c r="C113" s="2" t="s">
        <v>116</v>
      </c>
      <c r="D113" s="2" t="s">
        <v>117</v>
      </c>
      <c r="E113" s="2" t="s">
        <v>121</v>
      </c>
      <c r="F113" s="4" t="s">
        <v>75</v>
      </c>
      <c r="G113" s="2" t="s">
        <v>74</v>
      </c>
      <c r="H113" s="2" t="s">
        <v>74</v>
      </c>
      <c r="I113" s="2" t="s">
        <v>74</v>
      </c>
      <c r="K113" s="5" t="s">
        <v>74</v>
      </c>
      <c r="L113" s="2" t="s">
        <v>118</v>
      </c>
      <c r="M113" s="8" t="str">
        <f t="array" ref="M113">Y107</f>
        <v>1ХВС::1.1</v>
      </c>
      <c r="AA113" s="107" t="str">
        <f>AA111&amp;".1"</f>
        <v>1.1.1</v>
      </c>
      <c r="AB113" s="117" t="s">
        <v>121</v>
      </c>
      <c r="AC113" s="109" t="s">
        <v>122</v>
      </c>
      <c r="AD113" s="118"/>
      <c r="AE113" s="119">
        <v>0.01</v>
      </c>
      <c r="AF113" s="120">
        <v>0.01</v>
      </c>
      <c r="AG113" s="15"/>
      <c r="AH113" s="15"/>
      <c r="AI113" s="119">
        <v>0.01</v>
      </c>
      <c r="AJ113" s="15"/>
      <c r="AK113" s="15"/>
      <c r="AL113" s="15"/>
      <c r="AM113" s="15"/>
      <c r="AN113" s="121">
        <f t="array" ref="AN113">AI113</f>
        <v>0.01</v>
      </c>
      <c r="AO113" s="122">
        <v>0.01</v>
      </c>
      <c r="AP113" s="15"/>
      <c r="AQ113" s="15"/>
      <c r="AR113" s="123">
        <v>0.01</v>
      </c>
      <c r="AS113" s="15"/>
      <c r="AT113" s="15"/>
      <c r="AU113" s="121">
        <f t="array" ref="AU113">AR113</f>
        <v>0.01</v>
      </c>
      <c r="AV113" s="122">
        <v>0.01</v>
      </c>
      <c r="AW113" s="15"/>
      <c r="AX113" s="15"/>
      <c r="AY113" s="123">
        <v>0.01</v>
      </c>
      <c r="AZ113" s="15"/>
      <c r="BA113" s="15"/>
      <c r="BB113" s="85"/>
      <c r="BC113" s="85"/>
      <c r="BD113" s="85"/>
      <c r="BE113" s="99">
        <f t="shared" si="0"/>
        <v>0.09</v>
      </c>
      <c r="BF113" s="99" t="e">
        <f t="array" ref="BF113">#REF!</f>
        <v>#REF!</v>
      </c>
      <c r="BG113" s="101"/>
      <c r="BH113" s="101"/>
      <c r="BI113" s="101"/>
      <c r="BJ113" s="101"/>
      <c r="BK113" s="101"/>
      <c r="BL113" s="101"/>
      <c r="BM113" s="101"/>
    </row>
    <row r="114" spans="1:66" ht="14.25" hidden="1" customHeight="1" outlineLevel="2" x14ac:dyDescent="0.25">
      <c r="A114" s="2" t="b">
        <f t="array" ref="A114">A113</f>
        <v>1</v>
      </c>
      <c r="C114" s="2" t="s">
        <v>116</v>
      </c>
      <c r="D114" s="2" t="s">
        <v>117</v>
      </c>
      <c r="E114" s="2" t="s">
        <v>123</v>
      </c>
      <c r="F114" s="4" t="s">
        <v>75</v>
      </c>
      <c r="G114" s="2" t="s">
        <v>74</v>
      </c>
      <c r="H114" s="2" t="s">
        <v>74</v>
      </c>
      <c r="I114" s="2" t="s">
        <v>74</v>
      </c>
      <c r="K114" s="5" t="s">
        <v>74</v>
      </c>
      <c r="L114" s="2" t="s">
        <v>118</v>
      </c>
      <c r="M114" s="8" t="str">
        <f t="array" ref="M114">Y107</f>
        <v>1ХВС::1.1</v>
      </c>
      <c r="AA114" s="107" t="str">
        <f>AA111&amp;".2"</f>
        <v>1.1.2</v>
      </c>
      <c r="AB114" s="117" t="s">
        <v>124</v>
      </c>
      <c r="AC114" s="109"/>
      <c r="AD114" s="7"/>
      <c r="AE114" s="124">
        <f>[2]Индексы!AE93-1</f>
        <v>4.2999999999999927E-2</v>
      </c>
      <c r="AF114" s="124">
        <f>[2]Индексы!AG93-1</f>
        <v>6.0000000000000053E-2</v>
      </c>
      <c r="AG114" s="15"/>
      <c r="AH114" s="15"/>
      <c r="AI114" s="124">
        <f>[2]Индексы!AT93-1</f>
        <v>6.0000000000000053E-2</v>
      </c>
      <c r="AJ114" s="15"/>
      <c r="AK114" s="15"/>
      <c r="AL114" s="15"/>
      <c r="AM114" s="15"/>
      <c r="AN114" s="125">
        <f>[2]Индексы!AU93-1</f>
        <v>5.8000000000000052E-2</v>
      </c>
      <c r="AO114" s="125">
        <f>[2]Индексы!AI93-1</f>
        <v>7.2000000000000064E-2</v>
      </c>
      <c r="AP114" s="15"/>
      <c r="AQ114" s="15"/>
      <c r="AR114" s="125">
        <f>[2]Индексы!AV93-1</f>
        <v>7.2000000000000064E-2</v>
      </c>
      <c r="AS114" s="15"/>
      <c r="AT114" s="15"/>
      <c r="AU114" s="125">
        <f>[2]Индексы!AW93-1</f>
        <v>7.2000000000000064E-2</v>
      </c>
      <c r="AV114" s="126">
        <v>4.2000000000000003E-2</v>
      </c>
      <c r="AW114" s="15"/>
      <c r="AX114" s="15"/>
      <c r="AY114" s="127">
        <v>4.2000000000000003E-2</v>
      </c>
      <c r="AZ114" s="15"/>
      <c r="BA114" s="15"/>
      <c r="BB114" s="85"/>
      <c r="BC114" s="85"/>
      <c r="BD114" s="85"/>
      <c r="BE114" s="99">
        <f t="shared" si="0"/>
        <v>0.52100000000000024</v>
      </c>
      <c r="BF114" s="99" t="e">
        <f t="array" ref="BF114">#REF!</f>
        <v>#REF!</v>
      </c>
      <c r="BG114" s="101"/>
      <c r="BH114" s="101"/>
      <c r="BI114" s="101"/>
      <c r="BJ114" s="101"/>
      <c r="BK114" s="101"/>
      <c r="BL114" s="101"/>
      <c r="BM114" s="101"/>
    </row>
    <row r="115" spans="1:66" ht="14.25" hidden="1" customHeight="1" outlineLevel="2" x14ac:dyDescent="0.25">
      <c r="A115" s="2" t="b">
        <f t="array" ref="A115">A114</f>
        <v>1</v>
      </c>
      <c r="C115" s="2" t="s">
        <v>116</v>
      </c>
      <c r="D115" s="2" t="s">
        <v>117</v>
      </c>
      <c r="E115" s="2" t="s">
        <v>125</v>
      </c>
      <c r="F115" s="4" t="s">
        <v>75</v>
      </c>
      <c r="G115" s="2" t="s">
        <v>74</v>
      </c>
      <c r="H115" s="2" t="s">
        <v>74</v>
      </c>
      <c r="I115" s="2" t="s">
        <v>74</v>
      </c>
      <c r="K115" s="5" t="s">
        <v>74</v>
      </c>
      <c r="L115" s="2" t="s">
        <v>118</v>
      </c>
      <c r="M115" s="8" t="str">
        <f t="array" ref="M115">Y107</f>
        <v>1ХВС::1.1</v>
      </c>
      <c r="AA115" s="107" t="str">
        <f>AA111&amp;".3"</f>
        <v>1.1.3</v>
      </c>
      <c r="AB115" s="117" t="s">
        <v>126</v>
      </c>
      <c r="AC115" s="109"/>
      <c r="AD115" s="7"/>
      <c r="AE115" s="128"/>
      <c r="AF115" s="129"/>
      <c r="AG115" s="15"/>
      <c r="AH115" s="15"/>
      <c r="AI115" s="128">
        <f t="array" ref="AI115">AF115</f>
        <v>0</v>
      </c>
      <c r="AJ115" s="15"/>
      <c r="AK115" s="15"/>
      <c r="AL115" s="15"/>
      <c r="AM115" s="15"/>
      <c r="AN115" s="130" t="e">
        <f>IF((#REF!*(1-AN113)*(1+AN114))=0,0,0.75*$AN$118*AN116+(AN117/(#REF!*(1-AN113)*(1+AN114))))</f>
        <v>#REF!</v>
      </c>
      <c r="AO115" s="126"/>
      <c r="AP115" s="15"/>
      <c r="AQ115" s="15"/>
      <c r="AR115" s="127">
        <f t="array" ref="AR115">AO115</f>
        <v>0</v>
      </c>
      <c r="AS115" s="15"/>
      <c r="AT115" s="15"/>
      <c r="AU115" s="131" t="e">
        <f>IF((AI159*(1-AU113)*(1+AU114))=0,0,0.75*$AN$118*AU116+(AU117/(AI159*(1-AU113)*(1+AU114))))</f>
        <v>#REF!</v>
      </c>
      <c r="AV115" s="126"/>
      <c r="AW115" s="15"/>
      <c r="AX115" s="15"/>
      <c r="AY115" s="127">
        <f t="array" ref="AY115">AV115</f>
        <v>0</v>
      </c>
      <c r="AZ115" s="15"/>
      <c r="BA115" s="15"/>
      <c r="BB115" s="85"/>
      <c r="BC115" s="85"/>
      <c r="BD115" s="85"/>
      <c r="BE115" s="99" t="e">
        <f t="shared" si="0"/>
        <v>#REF!</v>
      </c>
      <c r="BF115" s="99" t="e">
        <f t="array" ref="BF115">#REF!</f>
        <v>#REF!</v>
      </c>
      <c r="BG115" s="101"/>
      <c r="BH115" s="101"/>
      <c r="BI115" s="101"/>
      <c r="BJ115" s="101"/>
      <c r="BK115" s="101"/>
      <c r="BL115" s="101"/>
      <c r="BM115" s="101"/>
    </row>
    <row r="116" spans="1:66" ht="14.25" hidden="1" customHeight="1" outlineLevel="3" x14ac:dyDescent="0.25">
      <c r="A116" s="2" t="b">
        <f t="array" ref="A116">A115</f>
        <v>1</v>
      </c>
      <c r="C116" s="2" t="s">
        <v>116</v>
      </c>
      <c r="D116" s="2" t="s">
        <v>117</v>
      </c>
      <c r="E116" s="2" t="s">
        <v>127</v>
      </c>
      <c r="F116" s="4" t="s">
        <v>75</v>
      </c>
      <c r="G116" s="2" t="s">
        <v>74</v>
      </c>
      <c r="H116" s="2" t="s">
        <v>74</v>
      </c>
      <c r="I116" s="2" t="s">
        <v>74</v>
      </c>
      <c r="K116" s="5" t="s">
        <v>74</v>
      </c>
      <c r="L116" s="2" t="s">
        <v>118</v>
      </c>
      <c r="M116" s="8" t="str">
        <f t="array" ref="M116">Y107</f>
        <v>1ХВС::1.1</v>
      </c>
      <c r="AA116" s="107" t="str">
        <f>AA115&amp;".1"</f>
        <v>1.1.3.1</v>
      </c>
      <c r="AB116" s="132" t="s">
        <v>128</v>
      </c>
      <c r="AC116" s="109" t="s">
        <v>122</v>
      </c>
      <c r="AD116" s="7"/>
      <c r="AE116" s="7"/>
      <c r="AG116" s="15"/>
      <c r="AH116" s="15"/>
      <c r="AI116" s="7"/>
      <c r="AJ116" s="15"/>
      <c r="AK116" s="15"/>
      <c r="AL116" s="15"/>
      <c r="AM116" s="15"/>
      <c r="AN116" s="133">
        <f t="array" ref="AN116">'[2]Условные метры'!AW92</f>
        <v>6.3021027179772258E-3</v>
      </c>
      <c r="AP116" s="15"/>
      <c r="AQ116" s="15"/>
      <c r="AR116" s="7"/>
      <c r="AS116" s="15"/>
      <c r="AT116" s="15"/>
      <c r="AU116" s="121">
        <f>1*'[2]Условные метры'!BC92</f>
        <v>2.2838930608693763E-3</v>
      </c>
      <c r="AW116" s="15"/>
      <c r="AX116" s="15"/>
      <c r="AY116" s="7"/>
      <c r="AZ116" s="15"/>
      <c r="BA116" s="15"/>
      <c r="BB116" s="134"/>
      <c r="BC116" s="134"/>
      <c r="BD116" s="134"/>
      <c r="BE116" s="99">
        <f t="shared" si="0"/>
        <v>8.5859957788466026E-3</v>
      </c>
      <c r="BF116" s="99" t="e">
        <f t="array" ref="BF116">#REF!</f>
        <v>#REF!</v>
      </c>
      <c r="BG116" s="101"/>
      <c r="BH116" s="101"/>
      <c r="BI116" s="101"/>
      <c r="BJ116" s="101"/>
      <c r="BK116" s="101"/>
      <c r="BL116" s="101"/>
      <c r="BM116" s="101"/>
    </row>
    <row r="117" spans="1:66" ht="39" hidden="1" customHeight="1" outlineLevel="3" x14ac:dyDescent="0.25">
      <c r="A117" s="2" t="b">
        <f t="array" ref="A117">A116</f>
        <v>1</v>
      </c>
      <c r="C117" s="2" t="s">
        <v>129</v>
      </c>
      <c r="D117" s="2" t="s">
        <v>130</v>
      </c>
      <c r="E117" s="2" t="s">
        <v>74</v>
      </c>
      <c r="F117" s="4" t="s">
        <v>75</v>
      </c>
      <c r="G117" s="2" t="s">
        <v>74</v>
      </c>
      <c r="H117" s="2" t="s">
        <v>74</v>
      </c>
      <c r="I117" s="2" t="s">
        <v>74</v>
      </c>
      <c r="K117" s="5" t="s">
        <v>74</v>
      </c>
      <c r="L117" s="2" t="s">
        <v>118</v>
      </c>
      <c r="M117" s="8" t="str">
        <f t="array" ref="M117">Y107</f>
        <v>1ХВС::1.1</v>
      </c>
      <c r="AA117" s="107" t="str">
        <f>AA115&amp;".2"</f>
        <v>1.1.3.2</v>
      </c>
      <c r="AB117" s="132" t="s">
        <v>131</v>
      </c>
      <c r="AC117" s="109" t="s">
        <v>114</v>
      </c>
      <c r="AD117" s="7"/>
      <c r="AE117" s="7"/>
      <c r="AG117" s="15"/>
      <c r="AH117" s="15"/>
      <c r="AI117" s="7"/>
      <c r="AJ117" s="15"/>
      <c r="AK117" s="15"/>
      <c r="AL117" s="15"/>
      <c r="AM117" s="15"/>
      <c r="AN117" s="135" t="e">
        <f t="array" ref="AN117">#REF!</f>
        <v>#REF!</v>
      </c>
      <c r="AP117" s="15"/>
      <c r="AQ117" s="15"/>
      <c r="AR117" s="7"/>
      <c r="AS117" s="15"/>
      <c r="AT117" s="15"/>
      <c r="AU117" s="136" t="e">
        <f t="array" ref="AU117">#REF!</f>
        <v>#REF!</v>
      </c>
      <c r="AW117" s="15"/>
      <c r="AX117" s="15"/>
      <c r="AY117" s="7"/>
      <c r="AZ117" s="15"/>
      <c r="BA117" s="15"/>
      <c r="BB117" s="134"/>
      <c r="BC117" s="134"/>
      <c r="BD117" s="134"/>
      <c r="BE117" s="99" t="e">
        <f t="shared" si="0"/>
        <v>#REF!</v>
      </c>
      <c r="BF117" s="99" t="e">
        <f t="array" ref="BF117">#REF!</f>
        <v>#REF!</v>
      </c>
      <c r="BG117" s="101"/>
      <c r="BH117" s="101"/>
      <c r="BI117" s="101"/>
      <c r="BJ117" s="101"/>
      <c r="BK117" s="101"/>
      <c r="BL117" s="101"/>
      <c r="BM117" s="101"/>
    </row>
    <row r="118" spans="1:66" ht="14.25" hidden="1" customHeight="1" outlineLevel="3" x14ac:dyDescent="0.25">
      <c r="A118" s="2" t="b">
        <f t="array" ref="A118">A117</f>
        <v>1</v>
      </c>
      <c r="C118" s="2" t="s">
        <v>132</v>
      </c>
      <c r="D118" s="2" t="s">
        <v>133</v>
      </c>
      <c r="E118" s="2" t="s">
        <v>74</v>
      </c>
      <c r="F118" s="4" t="s">
        <v>75</v>
      </c>
      <c r="G118" s="2" t="s">
        <v>74</v>
      </c>
      <c r="H118" s="2" t="s">
        <v>74</v>
      </c>
      <c r="I118" s="2" t="s">
        <v>74</v>
      </c>
      <c r="K118" s="5" t="s">
        <v>74</v>
      </c>
      <c r="L118" s="2" t="s">
        <v>118</v>
      </c>
      <c r="M118" s="8" t="str">
        <f t="array" ref="M118">Y107</f>
        <v>1ХВС::1.1</v>
      </c>
      <c r="AA118" s="107" t="str">
        <f>AA115&amp;".3"</f>
        <v>1.1.3.3</v>
      </c>
      <c r="AB118" s="132" t="s">
        <v>134</v>
      </c>
      <c r="AC118" s="109"/>
      <c r="AD118" s="7"/>
      <c r="AE118" s="7"/>
      <c r="AG118" s="15"/>
      <c r="AH118" s="15"/>
      <c r="AI118" s="7"/>
      <c r="AJ118" s="15"/>
      <c r="AK118" s="15"/>
      <c r="AL118" s="15"/>
      <c r="AM118" s="15"/>
      <c r="AN118" s="137" t="e">
        <f t="array" ref="AN118">#REF!</f>
        <v>#REF!</v>
      </c>
      <c r="AP118" s="15"/>
      <c r="AQ118" s="15"/>
      <c r="AR118" s="7"/>
      <c r="AS118" s="15"/>
      <c r="AT118" s="15"/>
      <c r="AU118" s="7"/>
      <c r="AW118" s="15"/>
      <c r="AX118" s="15"/>
      <c r="AY118" s="7"/>
      <c r="AZ118" s="15"/>
      <c r="BA118" s="15"/>
      <c r="BB118" s="134"/>
      <c r="BC118" s="134"/>
      <c r="BD118" s="134"/>
      <c r="BE118" s="99" t="e">
        <f t="shared" si="0"/>
        <v>#REF!</v>
      </c>
      <c r="BF118" s="99" t="e">
        <f t="array" ref="BF118">#REF!</f>
        <v>#REF!</v>
      </c>
      <c r="BG118" s="101"/>
      <c r="BH118" s="101"/>
      <c r="BI118" s="101"/>
      <c r="BJ118" s="101"/>
      <c r="BK118" s="101"/>
      <c r="BL118" s="101"/>
      <c r="BM118" s="101"/>
    </row>
    <row r="119" spans="1:66" ht="14.25" hidden="1" customHeight="1" outlineLevel="2" x14ac:dyDescent="0.25">
      <c r="A119" s="2" t="b">
        <f t="array" ref="A119">A118</f>
        <v>1</v>
      </c>
      <c r="C119" s="2" t="s">
        <v>116</v>
      </c>
      <c r="D119" s="2" t="s">
        <v>117</v>
      </c>
      <c r="E119" s="2" t="s">
        <v>135</v>
      </c>
      <c r="F119" s="4" t="s">
        <v>75</v>
      </c>
      <c r="G119" s="2" t="s">
        <v>74</v>
      </c>
      <c r="H119" s="2" t="s">
        <v>74</v>
      </c>
      <c r="I119" s="2" t="s">
        <v>74</v>
      </c>
      <c r="K119" s="5" t="s">
        <v>74</v>
      </c>
      <c r="L119" s="2" t="s">
        <v>136</v>
      </c>
      <c r="M119" s="8" t="str">
        <f t="array" ref="M119">Y107</f>
        <v>1ХВС::1.1</v>
      </c>
      <c r="AA119" s="107" t="str">
        <f>AA111&amp;".4"</f>
        <v>1.1.4</v>
      </c>
      <c r="AB119" s="117" t="s">
        <v>135</v>
      </c>
      <c r="AC119" s="109"/>
      <c r="AD119" s="7"/>
      <c r="AE119" s="138">
        <f>IF(AD89=0,0,AE89/AD89)</f>
        <v>1</v>
      </c>
      <c r="AF119" s="139">
        <f>IF(AE89=0,0,AF89/AE89)</f>
        <v>1</v>
      </c>
      <c r="AG119" s="15"/>
      <c r="AH119" s="15"/>
      <c r="AI119" s="138" t="e">
        <f>IF(#REF!=0,0,AI89/#REF!)</f>
        <v>#REF!</v>
      </c>
      <c r="AJ119" s="15"/>
      <c r="AK119" s="15"/>
      <c r="AL119" s="15"/>
      <c r="AM119" s="15"/>
      <c r="AN119" s="138" t="e">
        <f t="array" ref="AN119">AI119</f>
        <v>#REF!</v>
      </c>
      <c r="AO119" s="140">
        <f>IF(AF89=0,0,AO89/AF89)</f>
        <v>1</v>
      </c>
      <c r="AP119" s="15"/>
      <c r="AQ119" s="15"/>
      <c r="AR119" s="131">
        <f>IF(AI89=0,0,AR89/AI89)</f>
        <v>1</v>
      </c>
      <c r="AS119" s="15"/>
      <c r="AT119" s="15"/>
      <c r="AU119" s="131">
        <f t="array" ref="AU119">AR119</f>
        <v>1</v>
      </c>
      <c r="AV119" s="131">
        <v>1</v>
      </c>
      <c r="AW119" s="15"/>
      <c r="AX119" s="15"/>
      <c r="AY119" s="131" t="e">
        <f>IF(AR89=0,0,AY89/AR89)</f>
        <v>#REF!</v>
      </c>
      <c r="AZ119" s="15"/>
      <c r="BA119" s="15"/>
      <c r="BB119" s="134"/>
      <c r="BC119" s="134"/>
      <c r="BD119" s="134"/>
      <c r="BE119" s="99" t="e">
        <f t="shared" si="0"/>
        <v>#REF!</v>
      </c>
      <c r="BF119" s="99" t="e">
        <f t="array" ref="BF119">#REF!</f>
        <v>#REF!</v>
      </c>
      <c r="BG119" s="101"/>
      <c r="BH119" s="101"/>
      <c r="BI119" s="101"/>
      <c r="BJ119" s="101"/>
      <c r="BK119" s="101"/>
      <c r="BL119" s="101"/>
      <c r="BM119" s="101"/>
    </row>
    <row r="120" spans="1:66" ht="14.25" hidden="1" customHeight="1" outlineLevel="1" x14ac:dyDescent="0.25">
      <c r="A120" s="2" t="b">
        <f t="array" ref="A120">A119</f>
        <v>1</v>
      </c>
      <c r="C120" s="2" t="s">
        <v>116</v>
      </c>
      <c r="D120" s="2" t="s">
        <v>117</v>
      </c>
      <c r="E120" s="2" t="s">
        <v>137</v>
      </c>
      <c r="F120" s="4" t="s">
        <v>75</v>
      </c>
      <c r="G120" s="2" t="s">
        <v>74</v>
      </c>
      <c r="H120" s="2" t="s">
        <v>74</v>
      </c>
      <c r="I120" s="2" t="s">
        <v>74</v>
      </c>
      <c r="K120" s="5" t="s">
        <v>74</v>
      </c>
      <c r="L120" s="2" t="s">
        <v>138</v>
      </c>
      <c r="M120" s="8" t="str">
        <f t="array" ref="M120">Y107</f>
        <v>1ХВС::1.1</v>
      </c>
      <c r="AA120" s="107" t="str">
        <f>AA110&amp;".2"</f>
        <v>1.2</v>
      </c>
      <c r="AB120" s="108" t="s">
        <v>137</v>
      </c>
      <c r="AC120" s="109"/>
      <c r="AD120" s="141"/>
      <c r="AE120" s="142">
        <f>[2]Индексы!AE95-1</f>
        <v>3.8000000000000034E-2</v>
      </c>
      <c r="AF120" s="143">
        <f>[2]Индексы!AG95-1</f>
        <v>9.000000000000008E-2</v>
      </c>
      <c r="AG120" s="144"/>
      <c r="AH120" s="144"/>
      <c r="AI120" s="124">
        <f>[2]Индексы!AT95-1</f>
        <v>9.000000000000008E-2</v>
      </c>
      <c r="AJ120" s="144"/>
      <c r="AK120" s="144"/>
      <c r="AL120" s="144"/>
      <c r="AM120" s="144"/>
      <c r="AN120" s="124">
        <f>[2]Индексы!AU95-1</f>
        <v>9.000000000000008E-2</v>
      </c>
      <c r="AO120" s="145">
        <f>[2]Индексы!AI95-1</f>
        <v>9.099999999999997E-2</v>
      </c>
      <c r="AP120" s="144"/>
      <c r="AQ120" s="144"/>
      <c r="AR120" s="125">
        <f>[2]Индексы!AV95-1</f>
        <v>9.099999999999997E-2</v>
      </c>
      <c r="AS120" s="144"/>
      <c r="AT120" s="144"/>
      <c r="AU120" s="125">
        <f>[2]Индексы!AW95-1</f>
        <v>9.099999999999997E-2</v>
      </c>
      <c r="AW120" s="144"/>
      <c r="AX120" s="144"/>
      <c r="AY120" s="7"/>
      <c r="AZ120" s="144"/>
      <c r="BA120" s="144"/>
      <c r="BB120" s="134"/>
      <c r="BC120" s="134"/>
      <c r="BD120" s="134"/>
      <c r="BE120" s="99">
        <f t="shared" si="0"/>
        <v>0.58100000000000018</v>
      </c>
      <c r="BF120" s="99" t="e">
        <f t="array" ref="BF120">#REF!</f>
        <v>#REF!</v>
      </c>
      <c r="BG120" s="101"/>
      <c r="BH120" s="101"/>
      <c r="BI120" s="101"/>
      <c r="BJ120" s="101"/>
      <c r="BK120" s="101"/>
      <c r="BL120" s="101"/>
      <c r="BM120" s="101"/>
    </row>
    <row r="121" spans="1:66" ht="14.25" customHeight="1" x14ac:dyDescent="0.25">
      <c r="A121" s="2" t="b">
        <f>$U107="Водоснабжение"</f>
        <v>1</v>
      </c>
      <c r="C121" s="8" t="s">
        <v>76</v>
      </c>
      <c r="D121" s="2" t="s">
        <v>77</v>
      </c>
      <c r="F121" s="4" t="s">
        <v>75</v>
      </c>
      <c r="G121" s="2" t="s">
        <v>74</v>
      </c>
      <c r="H121" s="2" t="s">
        <v>74</v>
      </c>
      <c r="I121" s="2" t="s">
        <v>74</v>
      </c>
      <c r="K121" s="5" t="s">
        <v>74</v>
      </c>
      <c r="M121" s="8" t="str">
        <f t="array" ref="M121">Y107</f>
        <v>1ХВС::1.1</v>
      </c>
      <c r="AA121" s="146">
        <f>AA110+1</f>
        <v>2</v>
      </c>
      <c r="AB121" s="103" t="s">
        <v>139</v>
      </c>
      <c r="AC121" s="147" t="s">
        <v>140</v>
      </c>
      <c r="AD121" s="148">
        <v>36428.146682999999</v>
      </c>
      <c r="AE121" s="149">
        <v>36582.441999999995</v>
      </c>
      <c r="AF121" s="150">
        <v>38270.42</v>
      </c>
      <c r="AG121" s="151"/>
      <c r="AH121" s="151"/>
      <c r="AI121" s="150">
        <f t="array" ref="AI121">AI131</f>
        <v>37979.728435999998</v>
      </c>
      <c r="AJ121" s="151"/>
      <c r="AK121" s="151"/>
      <c r="AL121" s="151"/>
      <c r="AM121" s="151"/>
      <c r="AN121" s="150">
        <f t="array" ref="AN121">AN131</f>
        <v>37845.331767000003</v>
      </c>
      <c r="AO121" s="152">
        <v>39220.371000000006</v>
      </c>
      <c r="AP121" s="151"/>
      <c r="AQ121" s="151"/>
      <c r="AR121" s="152">
        <f t="array" ref="AR121">AR131</f>
        <v>39220.371000000006</v>
      </c>
      <c r="AS121" s="151"/>
      <c r="AT121" s="151"/>
      <c r="AU121" s="152">
        <f t="array" ref="AU121">AU131</f>
        <v>28998.230000000003</v>
      </c>
      <c r="AV121" s="152">
        <v>39968.152999999998</v>
      </c>
      <c r="AW121" s="151"/>
      <c r="AX121" s="151"/>
      <c r="AY121" s="153">
        <f t="array" ref="AY121">AY131</f>
        <v>39968.152999999998</v>
      </c>
      <c r="AZ121" s="151"/>
      <c r="BA121" s="151"/>
      <c r="BB121" s="134"/>
      <c r="BC121" s="134"/>
      <c r="BD121" s="134"/>
      <c r="BE121" s="99">
        <f t="shared" si="0"/>
        <v>374481.34688599996</v>
      </c>
      <c r="BF121" s="100" t="e">
        <f t="array" ref="BF121">BF131</f>
        <v>#REF!</v>
      </c>
      <c r="BG121" s="101"/>
      <c r="BH121" s="101"/>
      <c r="BI121" s="101"/>
      <c r="BJ121" s="101"/>
      <c r="BK121" s="101"/>
      <c r="BL121" s="101"/>
      <c r="BM121" s="101"/>
    </row>
    <row r="122" spans="1:66" ht="14.25" customHeight="1" outlineLevel="2" x14ac:dyDescent="0.25">
      <c r="A122" s="2" t="b">
        <f>AND(A121)</f>
        <v>1</v>
      </c>
      <c r="B122" s="8" t="b">
        <f>AND(OR(isFIRST_PERIOD="да",$AC$56="нет"),A121)</f>
        <v>1</v>
      </c>
      <c r="C122" s="69" t="s">
        <v>79</v>
      </c>
      <c r="D122" s="70" t="s">
        <v>80</v>
      </c>
      <c r="E122" s="70" t="s">
        <v>74</v>
      </c>
      <c r="F122" s="154" t="s">
        <v>75</v>
      </c>
      <c r="G122" s="70" t="s">
        <v>74</v>
      </c>
      <c r="H122" s="70" t="s">
        <v>74</v>
      </c>
      <c r="I122" s="70" t="s">
        <v>74</v>
      </c>
      <c r="J122" s="70" t="s">
        <v>74</v>
      </c>
      <c r="K122" s="70" t="s">
        <v>74</v>
      </c>
      <c r="L122" s="70"/>
      <c r="M122" s="8" t="str">
        <f t="array" ref="M122">Y107</f>
        <v>1ХВС::1.1</v>
      </c>
      <c r="N122" s="70"/>
      <c r="AA122" s="107" t="str">
        <f>AA121&amp;".I"</f>
        <v>2.I</v>
      </c>
      <c r="AB122" s="155" t="s">
        <v>141</v>
      </c>
      <c r="AC122" s="156" t="s">
        <v>140</v>
      </c>
      <c r="AD122" s="157">
        <v>18214.0733415</v>
      </c>
      <c r="AE122" s="158">
        <v>18291.220999999998</v>
      </c>
      <c r="AF122" s="158">
        <v>19135.208218000003</v>
      </c>
      <c r="AG122" s="15"/>
      <c r="AH122" s="15"/>
      <c r="AI122" s="158">
        <f>1*'[2]Отпуск воды'!BP125</f>
        <v>19135.208218000003</v>
      </c>
      <c r="AJ122" s="15"/>
      <c r="AK122" s="15"/>
      <c r="AL122" s="15"/>
      <c r="AM122" s="15"/>
      <c r="AN122" s="158">
        <f>1*'[2]Отпуск воды'!BX125</f>
        <v>18922.665883500002</v>
      </c>
      <c r="AO122" s="158">
        <v>19610.185000000001</v>
      </c>
      <c r="AP122" s="15"/>
      <c r="AQ122" s="15"/>
      <c r="AR122" s="158">
        <f>1*'[2]Отпуск воды'!CD125</f>
        <v>19610.185000000001</v>
      </c>
      <c r="AS122" s="15"/>
      <c r="AT122" s="15"/>
      <c r="AU122" s="158">
        <f>1*'[2]Отпуск воды'!CK125</f>
        <v>14499.115000000002</v>
      </c>
      <c r="AV122" s="158">
        <v>19984.077000000001</v>
      </c>
      <c r="AW122" s="15"/>
      <c r="AX122" s="15"/>
      <c r="AY122" s="159">
        <f>1*'[2]Отпуск воды'!CQ125</f>
        <v>19984.077000000001</v>
      </c>
      <c r="AZ122" s="15"/>
      <c r="BA122" s="15"/>
      <c r="BB122" s="134"/>
      <c r="BC122" s="134"/>
      <c r="BD122" s="134"/>
      <c r="BE122" s="99">
        <f t="shared" si="0"/>
        <v>187386.01566099998</v>
      </c>
      <c r="BF122" s="99" t="e">
        <f t="array" ref="BF122">#REF!</f>
        <v>#REF!</v>
      </c>
      <c r="BG122" s="101"/>
      <c r="BH122" s="101"/>
      <c r="BI122" s="101"/>
      <c r="BJ122" s="101"/>
      <c r="BK122" s="101"/>
      <c r="BL122" s="101"/>
      <c r="BM122" s="101"/>
    </row>
    <row r="123" spans="1:66" ht="14.25" customHeight="1" outlineLevel="2" x14ac:dyDescent="0.25">
      <c r="A123" s="2" t="b">
        <f>AND(A121)</f>
        <v>1</v>
      </c>
      <c r="B123" s="8" t="b">
        <f>AND(OR(isFIRST_PERIOD="да",$AC$56="нет"),A121)</f>
        <v>1</v>
      </c>
      <c r="C123" s="69" t="s">
        <v>82</v>
      </c>
      <c r="D123" s="70" t="s">
        <v>83</v>
      </c>
      <c r="E123" s="70" t="s">
        <v>74</v>
      </c>
      <c r="F123" s="154" t="s">
        <v>75</v>
      </c>
      <c r="G123" s="70" t="s">
        <v>74</v>
      </c>
      <c r="H123" s="70" t="s">
        <v>74</v>
      </c>
      <c r="I123" s="70" t="s">
        <v>74</v>
      </c>
      <c r="J123" s="70" t="s">
        <v>74</v>
      </c>
      <c r="K123" s="70" t="s">
        <v>74</v>
      </c>
      <c r="L123" s="70"/>
      <c r="M123" s="8" t="str">
        <f t="array" ref="M123">Y107</f>
        <v>1ХВС::1.1</v>
      </c>
      <c r="N123" s="70"/>
      <c r="AA123" s="107" t="str">
        <f>AA121&amp;".II"</f>
        <v>2.II</v>
      </c>
      <c r="AB123" s="155" t="s">
        <v>142</v>
      </c>
      <c r="AC123" s="156" t="s">
        <v>140</v>
      </c>
      <c r="AD123" s="158">
        <v>18214.0733415</v>
      </c>
      <c r="AE123" s="158">
        <v>18291.220999999998</v>
      </c>
      <c r="AF123" s="158">
        <v>19135.211781999998</v>
      </c>
      <c r="AG123" s="144"/>
      <c r="AH123" s="144"/>
      <c r="AI123" s="158">
        <f>1*'[2]Отпуск воды'!BQ125</f>
        <v>18844.520217999998</v>
      </c>
      <c r="AJ123" s="144"/>
      <c r="AK123" s="144"/>
      <c r="AL123" s="144"/>
      <c r="AM123" s="144"/>
      <c r="AN123" s="158">
        <f>1*'[2]Отпуск воды'!BY125</f>
        <v>18922.665883500002</v>
      </c>
      <c r="AO123" s="158">
        <v>19610.185999999998</v>
      </c>
      <c r="AP123" s="144"/>
      <c r="AQ123" s="144"/>
      <c r="AR123" s="158">
        <f>1*'[2]Отпуск воды'!CE125</f>
        <v>19610.185999999998</v>
      </c>
      <c r="AS123" s="144"/>
      <c r="AT123" s="144"/>
      <c r="AU123" s="158">
        <f>1*'[2]Отпуск воды'!CL125</f>
        <v>14499.115000000002</v>
      </c>
      <c r="AV123" s="158">
        <v>19984.076000000001</v>
      </c>
      <c r="AW123" s="144"/>
      <c r="AX123" s="144"/>
      <c r="AY123" s="159">
        <f>1*'[2]Отпуск воды'!CR125</f>
        <v>19984.076000000001</v>
      </c>
      <c r="AZ123" s="144"/>
      <c r="BA123" s="144"/>
      <c r="BB123" s="134"/>
      <c r="BC123" s="134"/>
      <c r="BD123" s="134"/>
      <c r="BE123" s="99">
        <f t="shared" si="0"/>
        <v>187095.33122499997</v>
      </c>
      <c r="BF123" s="99" t="e">
        <f t="array" ref="BF123">#REF!</f>
        <v>#REF!</v>
      </c>
      <c r="BG123" s="101"/>
      <c r="BH123" s="101"/>
      <c r="BI123" s="101"/>
      <c r="BJ123" s="101"/>
      <c r="BK123" s="101"/>
      <c r="BL123" s="101"/>
      <c r="BM123" s="101"/>
    </row>
    <row r="124" spans="1:66" ht="33" customHeight="1" outlineLevel="3" x14ac:dyDescent="0.25">
      <c r="A124" s="2" t="b">
        <f>AND($U107="Водоснабжение",$T107&lt;&gt;"Тариф на транспортировку воды")</f>
        <v>1</v>
      </c>
      <c r="C124" s="160" t="s">
        <v>143</v>
      </c>
      <c r="D124" s="160" t="s">
        <v>144</v>
      </c>
      <c r="E124" s="154" t="s">
        <v>145</v>
      </c>
      <c r="F124" s="154" t="s">
        <v>75</v>
      </c>
      <c r="G124" s="154" t="s">
        <v>74</v>
      </c>
      <c r="H124" s="154" t="s">
        <v>74</v>
      </c>
      <c r="I124" s="154" t="s">
        <v>74</v>
      </c>
      <c r="J124" s="154" t="s">
        <v>74</v>
      </c>
      <c r="K124" s="154" t="s">
        <v>74</v>
      </c>
      <c r="L124" s="154"/>
      <c r="M124" s="8" t="str">
        <f t="array" ref="M124">Y107</f>
        <v>1ХВС::1.1</v>
      </c>
      <c r="N124" s="154"/>
      <c r="Y124" s="2">
        <v>1</v>
      </c>
      <c r="AA124" s="107" t="str">
        <f>AA121&amp;".1"</f>
        <v>2.1</v>
      </c>
      <c r="AB124" s="161" t="s">
        <v>146</v>
      </c>
      <c r="AC124" s="156" t="s">
        <v>140</v>
      </c>
      <c r="AD124" s="131">
        <v>48801.205683</v>
      </c>
      <c r="AE124" s="131">
        <v>48876.278202771697</v>
      </c>
      <c r="AF124" s="131">
        <v>53744.539999999994</v>
      </c>
      <c r="AG124" s="162"/>
      <c r="AH124" s="162"/>
      <c r="AI124" s="131">
        <f>AI125+AI127-AI126</f>
        <v>52478.128589668297</v>
      </c>
      <c r="AJ124" s="162"/>
      <c r="AK124" s="162"/>
      <c r="AL124" s="162"/>
      <c r="AM124" s="162"/>
      <c r="AN124" s="131">
        <f>AN125+AN127-AN126</f>
        <v>51460.707000000017</v>
      </c>
      <c r="AO124" s="131">
        <v>52434.004000000008</v>
      </c>
      <c r="AP124" s="162"/>
      <c r="AQ124" s="162"/>
      <c r="AR124" s="131">
        <f>AR125+AR127-AR126</f>
        <v>52434.003827000008</v>
      </c>
      <c r="AS124" s="162"/>
      <c r="AT124" s="162"/>
      <c r="AU124" s="131">
        <f>AU125+AU127-AU126</f>
        <v>43949.684000000001</v>
      </c>
      <c r="AV124" s="131">
        <v>53402.005999999987</v>
      </c>
      <c r="AW124" s="162"/>
      <c r="AX124" s="162"/>
      <c r="AY124" s="163">
        <f>AY125+AY127-AY126</f>
        <v>53402.005999999987</v>
      </c>
      <c r="AZ124" s="164"/>
      <c r="BA124" s="164"/>
      <c r="BB124" s="85"/>
      <c r="BC124" s="85"/>
      <c r="BD124" s="85"/>
      <c r="BE124" s="99">
        <f t="shared" si="0"/>
        <v>510982.56330243999</v>
      </c>
      <c r="BF124" s="99" t="e">
        <f t="array" ref="BF124">#REF!</f>
        <v>#REF!</v>
      </c>
      <c r="BG124" s="101"/>
      <c r="BH124" s="101"/>
      <c r="BI124" s="101"/>
      <c r="BJ124" s="101"/>
      <c r="BK124" s="101"/>
      <c r="BL124" s="101"/>
      <c r="BM124" s="101"/>
    </row>
    <row r="125" spans="1:66" ht="14.25" customHeight="1" outlineLevel="3" x14ac:dyDescent="0.25">
      <c r="A125" s="2" t="b">
        <f>AND($U107="Водоснабжение",$T107&lt;&gt;"Тариф на транспортировку воды",region_name&lt;&gt;"Белгородская область")</f>
        <v>1</v>
      </c>
      <c r="C125" s="160" t="s">
        <v>143</v>
      </c>
      <c r="D125" s="160" t="s">
        <v>144</v>
      </c>
      <c r="E125" s="154" t="s">
        <v>147</v>
      </c>
      <c r="F125" s="154" t="s">
        <v>75</v>
      </c>
      <c r="G125" s="154" t="s">
        <v>74</v>
      </c>
      <c r="H125" s="154" t="s">
        <v>74</v>
      </c>
      <c r="I125" s="154" t="s">
        <v>74</v>
      </c>
      <c r="J125" s="154" t="s">
        <v>74</v>
      </c>
      <c r="K125" s="154" t="s">
        <v>74</v>
      </c>
      <c r="L125" s="154"/>
      <c r="M125" s="8" t="str">
        <f t="array" ref="M125">Y107</f>
        <v>1ХВС::1.1</v>
      </c>
      <c r="N125" s="154"/>
      <c r="Y125" s="2">
        <f>COUNT($Y124:Y124)+1</f>
        <v>2</v>
      </c>
      <c r="AA125" s="107" t="str">
        <f>AA121&amp;"."&amp;Y125</f>
        <v>2.2</v>
      </c>
      <c r="AB125" s="161" t="str">
        <f>IF($AC$51="ФАС","Расходы на технологические нужды","Расходы и потери воды при производстве воды")</f>
        <v>Расходы на технологические нужды</v>
      </c>
      <c r="AC125" s="156" t="s">
        <v>140</v>
      </c>
      <c r="AD125" s="158">
        <v>3548.1590000000001</v>
      </c>
      <c r="AE125" s="158">
        <v>3540.076</v>
      </c>
      <c r="AF125" s="158">
        <v>2947.36</v>
      </c>
      <c r="AG125" s="165"/>
      <c r="AH125" s="165"/>
      <c r="AI125" s="158">
        <f t="array" ref="AI125">IF($AC$51="ФАС",'[2]Отпуск воды'!BO102,'[2]Отпуск воды'!BO103)</f>
        <v>2947.36</v>
      </c>
      <c r="AJ125" s="165"/>
      <c r="AK125" s="165"/>
      <c r="AL125" s="165"/>
      <c r="AM125" s="165"/>
      <c r="AN125" s="158">
        <f t="array" ref="AN125">IF($AC$51="ФАС",'[2]Отпуск воды'!BW102,'[2]Отпуск воды'!BW103)</f>
        <v>2910.855</v>
      </c>
      <c r="AO125" s="158">
        <v>2943.7669999999998</v>
      </c>
      <c r="AP125" s="165"/>
      <c r="AQ125" s="165"/>
      <c r="AR125" s="158">
        <f t="array" ref="AR125">IF($AC$51="ФАС",'[2]Отпуск воды'!CC102,'[2]Отпуск воды'!CC103)</f>
        <v>2943.7669999999998</v>
      </c>
      <c r="AS125" s="165"/>
      <c r="AT125" s="165"/>
      <c r="AU125" s="158">
        <f t="array" ref="AU125">IF($AC$51="ФАС",'[2]Отпуск воды'!CJ102,'[2]Отпуск воды'!CJ103)</f>
        <v>3058.86</v>
      </c>
      <c r="AV125" s="158">
        <v>2943.7669999999998</v>
      </c>
      <c r="AW125" s="165"/>
      <c r="AX125" s="165"/>
      <c r="AY125" s="159">
        <f t="array" ref="AY125">IF($AC$51="ФАС",'[2]Отпуск воды'!CP102,'[2]Отпуск воды'!CP103)</f>
        <v>2943.7669999999998</v>
      </c>
      <c r="AZ125" s="166"/>
      <c r="BA125" s="166"/>
      <c r="BB125" s="85"/>
      <c r="BC125" s="85"/>
      <c r="BD125" s="85"/>
      <c r="BE125" s="99">
        <f t="shared" si="0"/>
        <v>30727.738000000001</v>
      </c>
      <c r="BF125" s="99" t="e">
        <f t="array" ref="BF125">#REF!</f>
        <v>#REF!</v>
      </c>
      <c r="BG125" s="101"/>
      <c r="BH125" s="101"/>
      <c r="BI125" s="101"/>
      <c r="BJ125" s="101"/>
      <c r="BK125" s="101"/>
      <c r="BL125" s="101"/>
      <c r="BM125" s="101"/>
    </row>
    <row r="126" spans="1:66" ht="14.25" customHeight="1" outlineLevel="3" x14ac:dyDescent="0.25">
      <c r="A126" s="2" t="b">
        <f>$U107="Водоснабжение"</f>
        <v>1</v>
      </c>
      <c r="C126" s="160" t="s">
        <v>143</v>
      </c>
      <c r="D126" s="160" t="s">
        <v>144</v>
      </c>
      <c r="E126" s="154" t="s">
        <v>148</v>
      </c>
      <c r="F126" s="154" t="s">
        <v>75</v>
      </c>
      <c r="G126" s="154" t="s">
        <v>74</v>
      </c>
      <c r="H126" s="154" t="s">
        <v>74</v>
      </c>
      <c r="I126" s="154" t="s">
        <v>74</v>
      </c>
      <c r="J126" s="154" t="s">
        <v>74</v>
      </c>
      <c r="K126" s="154" t="s">
        <v>74</v>
      </c>
      <c r="L126" s="154"/>
      <c r="M126" s="8" t="str">
        <f t="array" ref="M126">Y107</f>
        <v>1ХВС::1.1</v>
      </c>
      <c r="N126" s="154"/>
      <c r="Y126" s="2">
        <f>COUNT($Y124:Y125)+1</f>
        <v>3</v>
      </c>
      <c r="AA126" s="107" t="str">
        <f>AA121&amp;"."&amp;Y126</f>
        <v>2.3</v>
      </c>
      <c r="AB126" s="161" t="str">
        <f>IF($T107="Тариф на транспортировку воды","Принято воды для передачи (транспортировки)","Получено воды со стороны")</f>
        <v>Получено воды со стороны</v>
      </c>
      <c r="AC126" s="156" t="s">
        <v>140</v>
      </c>
      <c r="AD126" s="158">
        <v>0</v>
      </c>
      <c r="AE126" s="158">
        <v>0</v>
      </c>
      <c r="AF126" s="158">
        <v>975.72</v>
      </c>
      <c r="AG126" s="165"/>
      <c r="AH126" s="165"/>
      <c r="AI126" s="158">
        <f>1*'[2]Отпуск воды'!BO106</f>
        <v>1951.44</v>
      </c>
      <c r="AJ126" s="165"/>
      <c r="AK126" s="165"/>
      <c r="AL126" s="165"/>
      <c r="AM126" s="165"/>
      <c r="AN126" s="158">
        <f>1*'[2]Отпуск воды'!BW106</f>
        <v>1029.566</v>
      </c>
      <c r="AO126" s="158">
        <v>1280.47</v>
      </c>
      <c r="AP126" s="165"/>
      <c r="AQ126" s="165"/>
      <c r="AR126" s="158">
        <f>1*'[2]Отпуск воды'!CC106</f>
        <v>1280.47</v>
      </c>
      <c r="AS126" s="165"/>
      <c r="AT126" s="165"/>
      <c r="AU126" s="158">
        <f>1*'[2]Отпуск воды'!CJ106</f>
        <v>0</v>
      </c>
      <c r="AV126" s="158">
        <v>1280.47</v>
      </c>
      <c r="AW126" s="165"/>
      <c r="AX126" s="165"/>
      <c r="AY126" s="159">
        <f>1*'[2]Отпуск воды'!CP106</f>
        <v>1280.47</v>
      </c>
      <c r="AZ126" s="166"/>
      <c r="BA126" s="166"/>
      <c r="BB126" s="85"/>
      <c r="BC126" s="85"/>
      <c r="BD126" s="85"/>
      <c r="BE126" s="99">
        <f t="shared" si="0"/>
        <v>9078.6059999999998</v>
      </c>
      <c r="BF126" s="99" t="e">
        <f t="array" ref="BF126">#REF!</f>
        <v>#REF!</v>
      </c>
      <c r="BG126" s="101"/>
      <c r="BH126" s="101"/>
      <c r="BI126" s="101"/>
      <c r="BJ126" s="101"/>
      <c r="BK126" s="101"/>
      <c r="BL126" s="101"/>
      <c r="BM126" s="101"/>
    </row>
    <row r="127" spans="1:66" ht="43.35" customHeight="1" outlineLevel="3" x14ac:dyDescent="0.25">
      <c r="A127" s="2" t="b">
        <f t="array" ref="A127">A126</f>
        <v>1</v>
      </c>
      <c r="C127" s="160" t="s">
        <v>143</v>
      </c>
      <c r="D127" s="160" t="s">
        <v>144</v>
      </c>
      <c r="E127" s="154" t="s">
        <v>149</v>
      </c>
      <c r="F127" s="154" t="s">
        <v>75</v>
      </c>
      <c r="G127" s="154" t="s">
        <v>74</v>
      </c>
      <c r="H127" s="154" t="s">
        <v>74</v>
      </c>
      <c r="I127" s="154" t="s">
        <v>74</v>
      </c>
      <c r="J127" s="154" t="s">
        <v>74</v>
      </c>
      <c r="K127" s="154" t="s">
        <v>74</v>
      </c>
      <c r="L127" s="154"/>
      <c r="M127" s="8" t="str">
        <f t="array" ref="M127">Y107</f>
        <v>1ХВС::1.1</v>
      </c>
      <c r="N127" s="154"/>
      <c r="Y127" s="2">
        <f>COUNT($Y124:Y126)+1</f>
        <v>4</v>
      </c>
      <c r="AA127" s="107" t="str">
        <f>AA121&amp;"."&amp;Y127</f>
        <v>2.4</v>
      </c>
      <c r="AB127" s="161" t="s">
        <v>149</v>
      </c>
      <c r="AC127" s="156" t="s">
        <v>140</v>
      </c>
      <c r="AD127" s="131">
        <v>45253.046683</v>
      </c>
      <c r="AE127" s="131">
        <v>45336.202202771696</v>
      </c>
      <c r="AF127" s="131">
        <v>51772.899999999994</v>
      </c>
      <c r="AG127" s="162"/>
      <c r="AH127" s="162"/>
      <c r="AI127" s="131">
        <f>AI131+AI128+AI129</f>
        <v>51482.208589668298</v>
      </c>
      <c r="AJ127" s="162"/>
      <c r="AK127" s="162"/>
      <c r="AL127" s="162"/>
      <c r="AM127" s="162"/>
      <c r="AN127" s="131">
        <f>AN131+AN128+AN129</f>
        <v>49579.418000000012</v>
      </c>
      <c r="AO127" s="131">
        <v>50770.707000000009</v>
      </c>
      <c r="AP127" s="162"/>
      <c r="AQ127" s="162"/>
      <c r="AR127" s="131">
        <f>AR131+AR128+AR129</f>
        <v>50770.706827000009</v>
      </c>
      <c r="AS127" s="162"/>
      <c r="AT127" s="162"/>
      <c r="AU127" s="131">
        <f>AU131+AU128+AU129</f>
        <v>40890.824000000001</v>
      </c>
      <c r="AV127" s="131">
        <v>51738.708999999988</v>
      </c>
      <c r="AW127" s="162"/>
      <c r="AX127" s="162"/>
      <c r="AY127" s="163">
        <f>AY131+AY128+AY129</f>
        <v>51738.708999999988</v>
      </c>
      <c r="AZ127" s="164"/>
      <c r="BA127" s="164"/>
      <c r="BB127" s="85"/>
      <c r="BC127" s="85"/>
      <c r="BD127" s="85"/>
      <c r="BE127" s="99">
        <f t="shared" si="0"/>
        <v>489333.43130244</v>
      </c>
      <c r="BF127" s="99" t="e">
        <f t="array" ref="BF127">#REF!</f>
        <v>#REF!</v>
      </c>
      <c r="BG127" s="101"/>
      <c r="BH127" s="101"/>
      <c r="BI127" s="101"/>
      <c r="BJ127" s="101"/>
      <c r="BK127" s="101"/>
      <c r="BL127" s="101"/>
      <c r="BM127" s="101"/>
    </row>
    <row r="128" spans="1:66" ht="14.25" hidden="1" customHeight="1" outlineLevel="3" x14ac:dyDescent="0.25">
      <c r="A128" s="2" t="b">
        <f>AND($U107="Водоснабжение",$AC$51&lt;&gt;"ФАС")</f>
        <v>0</v>
      </c>
      <c r="B128" s="7"/>
      <c r="C128" s="160" t="s">
        <v>143</v>
      </c>
      <c r="D128" s="160" t="s">
        <v>144</v>
      </c>
      <c r="E128" s="154" t="s">
        <v>150</v>
      </c>
      <c r="F128" s="154" t="s">
        <v>75</v>
      </c>
      <c r="G128" s="154" t="s">
        <v>74</v>
      </c>
      <c r="H128" s="154" t="s">
        <v>74</v>
      </c>
      <c r="I128" s="154" t="s">
        <v>74</v>
      </c>
      <c r="J128" s="154" t="s">
        <v>74</v>
      </c>
      <c r="K128" s="154" t="s">
        <v>74</v>
      </c>
      <c r="L128" s="154"/>
      <c r="M128" s="8" t="str">
        <f t="array" ref="M128">Y107</f>
        <v>1ХВС::1.1</v>
      </c>
      <c r="N128" s="15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15"/>
      <c r="AA128" s="167"/>
      <c r="AB128" s="168"/>
      <c r="AC128" s="169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62"/>
      <c r="BC128" s="62"/>
      <c r="BD128" s="62"/>
      <c r="BE128" s="170"/>
      <c r="BF128" s="170"/>
      <c r="BG128" s="68"/>
      <c r="BH128" s="68"/>
      <c r="BI128" s="68"/>
      <c r="BJ128" s="68"/>
      <c r="BK128" s="68"/>
      <c r="BL128" s="68"/>
      <c r="BM128" s="68"/>
      <c r="BN128" s="15"/>
    </row>
    <row r="129" spans="1:66" ht="14.25" customHeight="1" outlineLevel="3" x14ac:dyDescent="0.25">
      <c r="A129" s="2" t="b">
        <f>$U107="Водоснабжение"</f>
        <v>1</v>
      </c>
      <c r="C129" s="160" t="s">
        <v>143</v>
      </c>
      <c r="D129" s="160" t="s">
        <v>144</v>
      </c>
      <c r="E129" s="154" t="s">
        <v>151</v>
      </c>
      <c r="F129" s="154" t="s">
        <v>75</v>
      </c>
      <c r="G129" s="154" t="s">
        <v>74</v>
      </c>
      <c r="H129" s="154" t="s">
        <v>74</v>
      </c>
      <c r="I129" s="154" t="s">
        <v>74</v>
      </c>
      <c r="J129" s="154" t="s">
        <v>74</v>
      </c>
      <c r="K129" s="154" t="s">
        <v>74</v>
      </c>
      <c r="L129" s="154"/>
      <c r="M129" s="8" t="str">
        <f t="array" ref="M129">Y107</f>
        <v>1ХВС::1.1</v>
      </c>
      <c r="N129" s="154"/>
      <c r="AA129" s="107" t="str">
        <f>IF($AC$51="ФАС",AA127&amp;".1",AA127&amp;".2")</f>
        <v>2.4.1</v>
      </c>
      <c r="AB129" s="171" t="s">
        <v>151</v>
      </c>
      <c r="AC129" s="156" t="s">
        <v>140</v>
      </c>
      <c r="AD129" s="158">
        <v>8824.9</v>
      </c>
      <c r="AE129" s="158">
        <v>8753.7602027717003</v>
      </c>
      <c r="AF129" s="158">
        <v>13502.48</v>
      </c>
      <c r="AG129" s="165"/>
      <c r="AH129" s="165"/>
      <c r="AI129" s="158">
        <f>1*'[2]Отпуск воды'!BO120</f>
        <v>13502.480153668301</v>
      </c>
      <c r="AJ129" s="165"/>
      <c r="AK129" s="165"/>
      <c r="AL129" s="165"/>
      <c r="AM129" s="165"/>
      <c r="AN129" s="158">
        <f>1*'[2]Отпуск воды'!BW120</f>
        <v>11734.086233000011</v>
      </c>
      <c r="AO129" s="158">
        <v>11550.335999999999</v>
      </c>
      <c r="AP129" s="165"/>
      <c r="AQ129" s="165"/>
      <c r="AR129" s="158">
        <f>1*'[2]Отпуск воды'!CC120</f>
        <v>11550.335827000001</v>
      </c>
      <c r="AS129" s="165"/>
      <c r="AT129" s="165"/>
      <c r="AU129" s="158">
        <f>1*'[2]Отпуск воды'!CJ120</f>
        <v>11892.593999999999</v>
      </c>
      <c r="AV129" s="158">
        <v>11770.555999999988</v>
      </c>
      <c r="AW129" s="165"/>
      <c r="AX129" s="165"/>
      <c r="AY129" s="158">
        <f>1*'[2]Отпуск воды'!CP120</f>
        <v>11770.555999999988</v>
      </c>
      <c r="AZ129" s="165"/>
      <c r="BA129" s="165"/>
      <c r="BB129" s="85"/>
      <c r="BC129" s="85"/>
      <c r="BD129" s="85"/>
      <c r="BE129" s="99">
        <f t="shared" ref="BE129:BE137" si="1">SUM(AD129:BA129)</f>
        <v>114852.08441643998</v>
      </c>
      <c r="BF129" s="99" t="e">
        <f t="array" ref="BF129">#REF!</f>
        <v>#REF!</v>
      </c>
      <c r="BG129" s="101"/>
      <c r="BH129" s="101"/>
      <c r="BI129" s="101"/>
      <c r="BJ129" s="101"/>
      <c r="BK129" s="101"/>
      <c r="BL129" s="101"/>
      <c r="BM129" s="101"/>
    </row>
    <row r="130" spans="1:66" ht="14.25" customHeight="1" outlineLevel="3" x14ac:dyDescent="0.25">
      <c r="A130" s="2" t="b">
        <f t="array" ref="A130">A129</f>
        <v>1</v>
      </c>
      <c r="C130" s="160" t="s">
        <v>152</v>
      </c>
      <c r="D130" s="160" t="s">
        <v>153</v>
      </c>
      <c r="E130" s="154" t="s">
        <v>74</v>
      </c>
      <c r="F130" s="154" t="s">
        <v>75</v>
      </c>
      <c r="G130" s="154" t="s">
        <v>74</v>
      </c>
      <c r="H130" s="154" t="s">
        <v>74</v>
      </c>
      <c r="I130" s="154" t="s">
        <v>74</v>
      </c>
      <c r="J130" s="154" t="s">
        <v>74</v>
      </c>
      <c r="K130" s="154" t="s">
        <v>74</v>
      </c>
      <c r="L130" s="154"/>
      <c r="M130" s="8" t="str">
        <f t="array" ref="M130">Y107</f>
        <v>1ХВС::1.1</v>
      </c>
      <c r="N130" s="154"/>
      <c r="AA130" s="107" t="str">
        <f>AA129&amp;".1"</f>
        <v>2.4.1.1</v>
      </c>
      <c r="AB130" s="172" t="s">
        <v>154</v>
      </c>
      <c r="AC130" s="156" t="s">
        <v>122</v>
      </c>
      <c r="AD130" s="173">
        <v>19.501228418539185</v>
      </c>
      <c r="AE130" s="173">
        <v>19.308543233549734</v>
      </c>
      <c r="AF130" s="173">
        <v>26.080207985258696</v>
      </c>
      <c r="AG130" s="174"/>
      <c r="AH130" s="174"/>
      <c r="AI130" s="173">
        <f>IF(AI127=0,0,AI129/AI127)*100</f>
        <v>26.227468718927582</v>
      </c>
      <c r="AJ130" s="174"/>
      <c r="AK130" s="174"/>
      <c r="AL130" s="174"/>
      <c r="AM130" s="174"/>
      <c r="AN130" s="173">
        <f>IF(AN127=0,0,AN129/AN127)*100</f>
        <v>23.667252876990222</v>
      </c>
      <c r="AO130" s="173">
        <v>22.750000310218248</v>
      </c>
      <c r="AP130" s="174"/>
      <c r="AQ130" s="174"/>
      <c r="AR130" s="173">
        <f>IF(AR127=0,0,AR129/AR127)*100</f>
        <v>22.750000046990674</v>
      </c>
      <c r="AS130" s="174"/>
      <c r="AT130" s="174"/>
      <c r="AU130" s="173">
        <f>IF(AU127=0,0,AU129/AU127)*100</f>
        <v>29.083771948444959</v>
      </c>
      <c r="AV130" s="173">
        <v>22.749999424995298</v>
      </c>
      <c r="AW130" s="174"/>
      <c r="AX130" s="174"/>
      <c r="AY130" s="173">
        <f>IF(AY127=0,0,AY129/AY127)*100</f>
        <v>22.749999424995298</v>
      </c>
      <c r="AZ130" s="174"/>
      <c r="BA130" s="174"/>
      <c r="BB130" s="85"/>
      <c r="BC130" s="85"/>
      <c r="BD130" s="85"/>
      <c r="BE130" s="99">
        <f t="shared" si="1"/>
        <v>234.86847238890991</v>
      </c>
      <c r="BF130" s="99" t="e">
        <f t="array" ref="BF130">#REF!</f>
        <v>#REF!</v>
      </c>
      <c r="BG130" s="101"/>
      <c r="BH130" s="101"/>
      <c r="BI130" s="101"/>
      <c r="BJ130" s="101"/>
      <c r="BK130" s="101"/>
      <c r="BL130" s="101"/>
      <c r="BM130" s="101"/>
    </row>
    <row r="131" spans="1:66" ht="43.35" customHeight="1" outlineLevel="3" x14ac:dyDescent="0.25">
      <c r="A131" s="2" t="b">
        <f t="array" ref="A131">A130</f>
        <v>1</v>
      </c>
      <c r="C131" s="160" t="s">
        <v>143</v>
      </c>
      <c r="D131" s="160" t="s">
        <v>144</v>
      </c>
      <c r="E131" s="154" t="s">
        <v>155</v>
      </c>
      <c r="F131" s="154" t="s">
        <v>75</v>
      </c>
      <c r="G131" s="154" t="s">
        <v>74</v>
      </c>
      <c r="H131" s="154" t="s">
        <v>74</v>
      </c>
      <c r="I131" s="154" t="s">
        <v>74</v>
      </c>
      <c r="J131" s="154" t="s">
        <v>74</v>
      </c>
      <c r="K131" s="154" t="s">
        <v>74</v>
      </c>
      <c r="L131" s="154"/>
      <c r="M131" s="8" t="str">
        <f t="array" ref="M131">Y107</f>
        <v>1ХВС::1.1</v>
      </c>
      <c r="N131" s="154"/>
      <c r="Y131" s="2">
        <f>COUNT($Y124:Y130)+1</f>
        <v>5</v>
      </c>
      <c r="AA131" s="107" t="str">
        <f>AA121&amp;"."&amp;Y131</f>
        <v>2.5</v>
      </c>
      <c r="AB131" s="161" t="s">
        <v>156</v>
      </c>
      <c r="AC131" s="156" t="s">
        <v>140</v>
      </c>
      <c r="AD131" s="131">
        <v>36428.146682999999</v>
      </c>
      <c r="AE131" s="131">
        <v>36582.441999999995</v>
      </c>
      <c r="AF131" s="131">
        <v>38270.42</v>
      </c>
      <c r="AG131" s="162"/>
      <c r="AH131" s="162"/>
      <c r="AI131" s="131">
        <f>AI132+AI133</f>
        <v>37979.728435999998</v>
      </c>
      <c r="AJ131" s="162"/>
      <c r="AK131" s="162"/>
      <c r="AL131" s="162"/>
      <c r="AM131" s="162"/>
      <c r="AN131" s="131">
        <f>AN132+AN133</f>
        <v>37845.331767000003</v>
      </c>
      <c r="AO131" s="131">
        <v>39220.371000000006</v>
      </c>
      <c r="AP131" s="162"/>
      <c r="AQ131" s="162"/>
      <c r="AR131" s="131">
        <f>AR132+AR133</f>
        <v>39220.371000000006</v>
      </c>
      <c r="AS131" s="162"/>
      <c r="AT131" s="162"/>
      <c r="AU131" s="131">
        <f>AU132+AU133</f>
        <v>28998.230000000003</v>
      </c>
      <c r="AV131" s="131">
        <v>39968.152999999998</v>
      </c>
      <c r="AW131" s="162"/>
      <c r="AX131" s="162"/>
      <c r="AY131" s="131">
        <f>AY132+AY133</f>
        <v>39968.152999999998</v>
      </c>
      <c r="AZ131" s="162"/>
      <c r="BA131" s="162"/>
      <c r="BB131" s="85"/>
      <c r="BC131" s="85"/>
      <c r="BD131" s="85"/>
      <c r="BE131" s="99">
        <f t="shared" si="1"/>
        <v>374481.34688599996</v>
      </c>
      <c r="BF131" s="99" t="e">
        <f t="array" ref="BF131">#REF!</f>
        <v>#REF!</v>
      </c>
      <c r="BG131" s="101"/>
      <c r="BH131" s="101"/>
      <c r="BI131" s="101"/>
      <c r="BJ131" s="101"/>
      <c r="BK131" s="101"/>
      <c r="BL131" s="101"/>
      <c r="BM131" s="101"/>
    </row>
    <row r="132" spans="1:66" ht="14.25" customHeight="1" outlineLevel="3" x14ac:dyDescent="0.25">
      <c r="A132" s="2" t="b">
        <f t="array" ref="A132">A131</f>
        <v>1</v>
      </c>
      <c r="C132" s="160" t="s">
        <v>143</v>
      </c>
      <c r="D132" s="160" t="s">
        <v>144</v>
      </c>
      <c r="E132" s="154" t="s">
        <v>157</v>
      </c>
      <c r="F132" s="154" t="s">
        <v>75</v>
      </c>
      <c r="G132" s="154" t="s">
        <v>74</v>
      </c>
      <c r="H132" s="154" t="s">
        <v>74</v>
      </c>
      <c r="I132" s="154" t="s">
        <v>74</v>
      </c>
      <c r="J132" s="154" t="s">
        <v>74</v>
      </c>
      <c r="K132" s="154" t="s">
        <v>74</v>
      </c>
      <c r="L132" s="154"/>
      <c r="M132" s="8" t="str">
        <f t="array" ref="M132">Y107</f>
        <v>1ХВС::1.1</v>
      </c>
      <c r="N132" s="154"/>
      <c r="AA132" s="107" t="str">
        <f>AA131&amp;".1"</f>
        <v>2.5.1</v>
      </c>
      <c r="AB132" s="171" t="s">
        <v>158</v>
      </c>
      <c r="AC132" s="156" t="s">
        <v>140</v>
      </c>
      <c r="AD132" s="158">
        <v>49.098999999999997</v>
      </c>
      <c r="AE132" s="158">
        <v>51.587000000000003</v>
      </c>
      <c r="AF132" s="158">
        <v>0</v>
      </c>
      <c r="AG132" s="165"/>
      <c r="AH132" s="165"/>
      <c r="AI132" s="158">
        <f>1*'[2]Отпуск воды'!BO126</f>
        <v>0</v>
      </c>
      <c r="AJ132" s="165"/>
      <c r="AK132" s="165"/>
      <c r="AL132" s="165"/>
      <c r="AM132" s="165"/>
      <c r="AN132" s="158">
        <f>1*'[2]Отпуск воды'!BW126</f>
        <v>32.343879999999999</v>
      </c>
      <c r="AO132" s="158">
        <v>0</v>
      </c>
      <c r="AP132" s="165"/>
      <c r="AQ132" s="165"/>
      <c r="AR132" s="158">
        <f>1*'[2]Отпуск воды'!CC126</f>
        <v>0</v>
      </c>
      <c r="AS132" s="165"/>
      <c r="AT132" s="165"/>
      <c r="AU132" s="158">
        <f>1*'[2]Отпуск воды'!CJ126</f>
        <v>32.344000000000001</v>
      </c>
      <c r="AV132" s="158">
        <v>0</v>
      </c>
      <c r="AW132" s="165"/>
      <c r="AX132" s="165"/>
      <c r="AY132" s="158">
        <f>1*'[2]Отпуск воды'!CP126</f>
        <v>0</v>
      </c>
      <c r="AZ132" s="165"/>
      <c r="BA132" s="165"/>
      <c r="BB132" s="85"/>
      <c r="BC132" s="85"/>
      <c r="BD132" s="85"/>
      <c r="BE132" s="99">
        <f t="shared" si="1"/>
        <v>165.37387999999999</v>
      </c>
      <c r="BF132" s="99" t="e">
        <f t="array" ref="BF132">#REF!</f>
        <v>#REF!</v>
      </c>
      <c r="BG132" s="101"/>
      <c r="BH132" s="101"/>
      <c r="BI132" s="101"/>
      <c r="BJ132" s="101"/>
      <c r="BK132" s="101"/>
      <c r="BL132" s="101"/>
      <c r="BM132" s="101"/>
    </row>
    <row r="133" spans="1:66" ht="14.25" customHeight="1" outlineLevel="3" x14ac:dyDescent="0.25">
      <c r="A133" s="2" t="b">
        <f t="array" ref="A133">A132</f>
        <v>1</v>
      </c>
      <c r="C133" s="160" t="s">
        <v>143</v>
      </c>
      <c r="D133" s="160" t="s">
        <v>144</v>
      </c>
      <c r="E133" s="154" t="s">
        <v>159</v>
      </c>
      <c r="F133" s="154" t="s">
        <v>75</v>
      </c>
      <c r="G133" s="154" t="s">
        <v>74</v>
      </c>
      <c r="H133" s="154" t="s">
        <v>74</v>
      </c>
      <c r="I133" s="154" t="s">
        <v>74</v>
      </c>
      <c r="J133" s="154" t="s">
        <v>74</v>
      </c>
      <c r="K133" s="154" t="s">
        <v>74</v>
      </c>
      <c r="L133" s="154"/>
      <c r="M133" s="8" t="str">
        <f t="array" ref="M133">Y107</f>
        <v>1ХВС::1.1</v>
      </c>
      <c r="N133" s="154"/>
      <c r="AA133" s="107" t="str">
        <f>AA131&amp;".2"</f>
        <v>2.5.2</v>
      </c>
      <c r="AB133" s="171" t="s">
        <v>160</v>
      </c>
      <c r="AC133" s="156" t="s">
        <v>140</v>
      </c>
      <c r="AD133" s="131">
        <v>36379.047682999997</v>
      </c>
      <c r="AE133" s="131">
        <v>36530.854999999996</v>
      </c>
      <c r="AF133" s="131">
        <v>38270.42</v>
      </c>
      <c r="AG133" s="162"/>
      <c r="AH133" s="162"/>
      <c r="AI133" s="131">
        <f>SUM(AI134:AI137)</f>
        <v>37979.728435999998</v>
      </c>
      <c r="AJ133" s="162"/>
      <c r="AK133" s="162"/>
      <c r="AL133" s="162"/>
      <c r="AM133" s="162"/>
      <c r="AN133" s="131">
        <f>SUM(AN134:AN137)</f>
        <v>37812.987887000003</v>
      </c>
      <c r="AO133" s="131">
        <v>39220.371000000006</v>
      </c>
      <c r="AP133" s="162"/>
      <c r="AQ133" s="162"/>
      <c r="AR133" s="131">
        <f>SUM(AR134:AR137)</f>
        <v>39220.371000000006</v>
      </c>
      <c r="AS133" s="162"/>
      <c r="AT133" s="162"/>
      <c r="AU133" s="131">
        <f>SUM(AU134:AU137)</f>
        <v>28965.886000000002</v>
      </c>
      <c r="AV133" s="131">
        <v>39968.152999999998</v>
      </c>
      <c r="AW133" s="162"/>
      <c r="AX133" s="162"/>
      <c r="AY133" s="131">
        <f>SUM(AY134:AY137)</f>
        <v>39968.152999999998</v>
      </c>
      <c r="AZ133" s="162"/>
      <c r="BA133" s="162"/>
      <c r="BB133" s="85"/>
      <c r="BC133" s="85"/>
      <c r="BD133" s="85"/>
      <c r="BE133" s="99">
        <f t="shared" si="1"/>
        <v>374315.97300599999</v>
      </c>
      <c r="BF133" s="99" t="e">
        <f t="array" ref="BF133">#REF!</f>
        <v>#REF!</v>
      </c>
      <c r="BG133" s="101"/>
      <c r="BH133" s="101"/>
      <c r="BI133" s="101"/>
      <c r="BJ133" s="101"/>
      <c r="BK133" s="101"/>
      <c r="BL133" s="101"/>
      <c r="BM133" s="101"/>
    </row>
    <row r="134" spans="1:66" ht="14.25" customHeight="1" outlineLevel="3" x14ac:dyDescent="0.25">
      <c r="A134" s="2" t="b">
        <f t="array" ref="A134">A133</f>
        <v>1</v>
      </c>
      <c r="C134" s="160" t="s">
        <v>143</v>
      </c>
      <c r="D134" s="160" t="s">
        <v>144</v>
      </c>
      <c r="E134" s="154" t="s">
        <v>161</v>
      </c>
      <c r="F134" s="154" t="s">
        <v>75</v>
      </c>
      <c r="G134" s="154" t="s">
        <v>74</v>
      </c>
      <c r="H134" s="154" t="s">
        <v>74</v>
      </c>
      <c r="I134" s="154" t="s">
        <v>74</v>
      </c>
      <c r="J134" s="154" t="s">
        <v>74</v>
      </c>
      <c r="K134" s="154" t="s">
        <v>74</v>
      </c>
      <c r="L134" s="154"/>
      <c r="M134" s="8" t="str">
        <f t="array" ref="M134">Y107</f>
        <v>1ХВС::1.1</v>
      </c>
      <c r="N134" s="154"/>
      <c r="AA134" s="107" t="str">
        <f>AA133&amp;".1"</f>
        <v>2.5.2.1</v>
      </c>
      <c r="AB134" s="175" t="s">
        <v>162</v>
      </c>
      <c r="AC134" s="156" t="s">
        <v>140</v>
      </c>
      <c r="AD134" s="158">
        <v>27310.066999999999</v>
      </c>
      <c r="AE134" s="158">
        <v>27583.168000000001</v>
      </c>
      <c r="AF134" s="158">
        <v>27627.02</v>
      </c>
      <c r="AG134" s="165"/>
      <c r="AH134" s="165"/>
      <c r="AI134" s="158">
        <f>1*'[2]Отпуск воды'!BO135</f>
        <v>28911.0988043363</v>
      </c>
      <c r="AJ134" s="165"/>
      <c r="AK134" s="165"/>
      <c r="AL134" s="165"/>
      <c r="AM134" s="165"/>
      <c r="AN134" s="158">
        <f>1*'[2]Отпуск воды'!BW135</f>
        <v>28472.929716999999</v>
      </c>
      <c r="AO134" s="158">
        <v>28803.263999999999</v>
      </c>
      <c r="AP134" s="165"/>
      <c r="AQ134" s="165"/>
      <c r="AR134" s="158">
        <f>1*'[2]Отпуск воды'!CC135</f>
        <v>28803.263999999999</v>
      </c>
      <c r="AS134" s="165"/>
      <c r="AT134" s="165"/>
      <c r="AU134" s="158">
        <f>1*'[2]Отпуск воды'!CJ135</f>
        <v>28557.165000000001</v>
      </c>
      <c r="AV134" s="158">
        <v>29071.255000000001</v>
      </c>
      <c r="AW134" s="165"/>
      <c r="AX134" s="165"/>
      <c r="AY134" s="158">
        <f>1*'[2]Отпуск воды'!CP135</f>
        <v>29071.255000000001</v>
      </c>
      <c r="AZ134" s="165"/>
      <c r="BA134" s="165"/>
      <c r="BB134" s="85"/>
      <c r="BC134" s="85"/>
      <c r="BD134" s="85"/>
      <c r="BE134" s="99">
        <f t="shared" si="1"/>
        <v>284210.48652133631</v>
      </c>
      <c r="BF134" s="99" t="e">
        <f t="array" ref="BF134">#REF!</f>
        <v>#REF!</v>
      </c>
      <c r="BG134" s="101"/>
      <c r="BH134" s="101"/>
      <c r="BI134" s="101"/>
      <c r="BJ134" s="101"/>
      <c r="BK134" s="101"/>
      <c r="BL134" s="101"/>
      <c r="BM134" s="101"/>
    </row>
    <row r="135" spans="1:66" ht="14.25" customHeight="1" outlineLevel="3" x14ac:dyDescent="0.25">
      <c r="A135" s="2" t="b">
        <f t="array" ref="A135">A134</f>
        <v>1</v>
      </c>
      <c r="C135" s="160" t="s">
        <v>143</v>
      </c>
      <c r="D135" s="160" t="s">
        <v>144</v>
      </c>
      <c r="E135" s="154" t="s">
        <v>163</v>
      </c>
      <c r="F135" s="154" t="s">
        <v>75</v>
      </c>
      <c r="G135" s="154" t="s">
        <v>74</v>
      </c>
      <c r="H135" s="154" t="s">
        <v>74</v>
      </c>
      <c r="I135" s="154" t="s">
        <v>74</v>
      </c>
      <c r="J135" s="154" t="s">
        <v>74</v>
      </c>
      <c r="K135" s="154" t="s">
        <v>74</v>
      </c>
      <c r="L135" s="154"/>
      <c r="M135" s="8" t="str">
        <f t="array" ref="M135">Y107</f>
        <v>1ХВС::1.1</v>
      </c>
      <c r="N135" s="154"/>
      <c r="AA135" s="107" t="str">
        <f>AA133&amp;".2"</f>
        <v>2.5.2.2</v>
      </c>
      <c r="AB135" s="175" t="s">
        <v>164</v>
      </c>
      <c r="AC135" s="156" t="s">
        <v>140</v>
      </c>
      <c r="AD135" s="158">
        <v>1360.2670000000001</v>
      </c>
      <c r="AE135" s="158">
        <v>1373.87</v>
      </c>
      <c r="AF135" s="158">
        <v>1888.07</v>
      </c>
      <c r="AG135" s="165"/>
      <c r="AH135" s="165"/>
      <c r="AI135" s="158">
        <f>1*'[2]Отпуск воды'!BO132</f>
        <v>1440.0119418593999</v>
      </c>
      <c r="AJ135" s="165"/>
      <c r="AK135" s="165"/>
      <c r="AL135" s="165"/>
      <c r="AM135" s="165"/>
      <c r="AN135" s="158">
        <f>1*'[2]Отпуск воды'!BW132</f>
        <v>1460.205995</v>
      </c>
      <c r="AO135" s="158">
        <v>1352.1869999999999</v>
      </c>
      <c r="AP135" s="165"/>
      <c r="AQ135" s="165"/>
      <c r="AR135" s="158">
        <f>1*'[2]Отпуск воды'!CC132</f>
        <v>1352.1869999999999</v>
      </c>
      <c r="AS135" s="165"/>
      <c r="AT135" s="165"/>
      <c r="AU135" s="158">
        <f>1*'[2]Отпуск воды'!CJ132</f>
        <v>0</v>
      </c>
      <c r="AV135" s="158">
        <v>1378.732</v>
      </c>
      <c r="AW135" s="165"/>
      <c r="AX135" s="165"/>
      <c r="AY135" s="158">
        <f>1*'[2]Отпуск воды'!CP132</f>
        <v>1378.732</v>
      </c>
      <c r="AZ135" s="165"/>
      <c r="BA135" s="165"/>
      <c r="BB135" s="85"/>
      <c r="BC135" s="85"/>
      <c r="BD135" s="85"/>
      <c r="BE135" s="99">
        <f t="shared" si="1"/>
        <v>12984.262936859399</v>
      </c>
      <c r="BF135" s="99" t="e">
        <f t="array" ref="BF135">#REF!</f>
        <v>#REF!</v>
      </c>
      <c r="BG135" s="101"/>
      <c r="BH135" s="101"/>
      <c r="BI135" s="101"/>
      <c r="BJ135" s="101"/>
      <c r="BK135" s="101"/>
      <c r="BL135" s="101"/>
      <c r="BM135" s="101"/>
    </row>
    <row r="136" spans="1:66" ht="14.25" customHeight="1" outlineLevel="3" x14ac:dyDescent="0.25">
      <c r="A136" s="2" t="b">
        <f t="array" ref="A136">A135</f>
        <v>1</v>
      </c>
      <c r="C136" s="160" t="s">
        <v>143</v>
      </c>
      <c r="D136" s="160" t="s">
        <v>144</v>
      </c>
      <c r="E136" s="154" t="s">
        <v>165</v>
      </c>
      <c r="F136" s="154" t="s">
        <v>75</v>
      </c>
      <c r="G136" s="154" t="s">
        <v>74</v>
      </c>
      <c r="H136" s="154" t="s">
        <v>74</v>
      </c>
      <c r="I136" s="154" t="s">
        <v>74</v>
      </c>
      <c r="J136" s="154" t="s">
        <v>74</v>
      </c>
      <c r="K136" s="154" t="s">
        <v>74</v>
      </c>
      <c r="L136" s="154"/>
      <c r="M136" s="8" t="str">
        <f t="array" ref="M136">Y107</f>
        <v>1ХВС::1.1</v>
      </c>
      <c r="N136" s="154"/>
      <c r="AA136" s="107" t="str">
        <f>AA133&amp;".3"</f>
        <v>2.5.2.3</v>
      </c>
      <c r="AB136" s="175" t="s">
        <v>166</v>
      </c>
      <c r="AC136" s="156" t="s">
        <v>140</v>
      </c>
      <c r="AD136" s="158">
        <v>7413.060923</v>
      </c>
      <c r="AE136" s="158">
        <v>7278.2269999999999</v>
      </c>
      <c r="AF136" s="158">
        <v>8755.33</v>
      </c>
      <c r="AG136" s="165"/>
      <c r="AH136" s="165"/>
      <c r="AI136" s="158">
        <f>1*'[2]Отпуск воды'!BO140</f>
        <v>7628.6176898043004</v>
      </c>
      <c r="AJ136" s="165"/>
      <c r="AK136" s="165"/>
      <c r="AL136" s="165"/>
      <c r="AM136" s="165"/>
      <c r="AN136" s="158">
        <f>1*'[2]Отпуск воды'!BW140</f>
        <v>7026.8501749999996</v>
      </c>
      <c r="AO136" s="158">
        <v>8616.232</v>
      </c>
      <c r="AP136" s="165"/>
      <c r="AQ136" s="165"/>
      <c r="AR136" s="158">
        <f>1*'[2]Отпуск воды'!CC140</f>
        <v>8616.232</v>
      </c>
      <c r="AS136" s="165"/>
      <c r="AT136" s="165"/>
      <c r="AU136" s="158">
        <f>1*'[2]Отпуск воды'!CJ140</f>
        <v>0</v>
      </c>
      <c r="AV136" s="158">
        <v>9069.4779999999992</v>
      </c>
      <c r="AW136" s="165"/>
      <c r="AX136" s="165"/>
      <c r="AY136" s="158">
        <f>1*'[2]Отпуск воды'!CP140</f>
        <v>9069.4779999999992</v>
      </c>
      <c r="AZ136" s="165"/>
      <c r="BA136" s="165"/>
      <c r="BB136" s="85"/>
      <c r="BC136" s="85"/>
      <c r="BD136" s="85"/>
      <c r="BE136" s="99">
        <f t="shared" si="1"/>
        <v>73473.505787804315</v>
      </c>
      <c r="BF136" s="99" t="e">
        <f t="array" ref="BF136">#REF!</f>
        <v>#REF!</v>
      </c>
      <c r="BG136" s="101"/>
      <c r="BH136" s="101"/>
      <c r="BI136" s="101"/>
      <c r="BJ136" s="101"/>
      <c r="BK136" s="101"/>
      <c r="BL136" s="101"/>
      <c r="BM136" s="101"/>
    </row>
    <row r="137" spans="1:66" ht="14.25" customHeight="1" outlineLevel="3" x14ac:dyDescent="0.25">
      <c r="A137" s="2" t="b">
        <f t="array" ref="A137">A136</f>
        <v>1</v>
      </c>
      <c r="C137" s="160" t="s">
        <v>143</v>
      </c>
      <c r="D137" s="160" t="s">
        <v>144</v>
      </c>
      <c r="E137" s="154" t="s">
        <v>167</v>
      </c>
      <c r="F137" s="154" t="s">
        <v>75</v>
      </c>
      <c r="G137" s="154" t="s">
        <v>74</v>
      </c>
      <c r="H137" s="154" t="s">
        <v>74</v>
      </c>
      <c r="I137" s="154" t="s">
        <v>74</v>
      </c>
      <c r="J137" s="154" t="s">
        <v>74</v>
      </c>
      <c r="K137" s="154" t="s">
        <v>74</v>
      </c>
      <c r="L137" s="154"/>
      <c r="M137" s="8" t="str">
        <f t="array" ref="M137">Y107</f>
        <v>1ХВС::1.1</v>
      </c>
      <c r="N137" s="154"/>
      <c r="AA137" s="107" t="str">
        <f>AA133&amp;".4"</f>
        <v>2.5.2.4</v>
      </c>
      <c r="AB137" s="175" t="s">
        <v>168</v>
      </c>
      <c r="AC137" s="156" t="s">
        <v>140</v>
      </c>
      <c r="AD137" s="158">
        <v>295.65276</v>
      </c>
      <c r="AE137" s="158">
        <v>295.58999999999997</v>
      </c>
      <c r="AF137" s="158">
        <v>0</v>
      </c>
      <c r="AG137" s="165"/>
      <c r="AH137" s="165"/>
      <c r="AI137" s="158">
        <f>1*'[2]Отпуск воды'!BO143</f>
        <v>0</v>
      </c>
      <c r="AJ137" s="165"/>
      <c r="AK137" s="165"/>
      <c r="AL137" s="165"/>
      <c r="AM137" s="165"/>
      <c r="AN137" s="158">
        <f>1*'[2]Отпуск воды'!BW143</f>
        <v>853.00199999999995</v>
      </c>
      <c r="AO137" s="158">
        <v>448.68799999999999</v>
      </c>
      <c r="AP137" s="165"/>
      <c r="AQ137" s="165"/>
      <c r="AR137" s="158">
        <f>1*'[2]Отпуск воды'!CC143</f>
        <v>448.68799999999999</v>
      </c>
      <c r="AS137" s="165"/>
      <c r="AT137" s="165"/>
      <c r="AU137" s="158">
        <f>1*'[2]Отпуск воды'!CJ143</f>
        <v>408.721</v>
      </c>
      <c r="AV137" s="158">
        <v>448.68799999999999</v>
      </c>
      <c r="AW137" s="165"/>
      <c r="AX137" s="165"/>
      <c r="AY137" s="158">
        <f>1*'[2]Отпуск воды'!CP143</f>
        <v>448.68799999999999</v>
      </c>
      <c r="AZ137" s="165"/>
      <c r="BA137" s="165"/>
      <c r="BB137" s="85"/>
      <c r="BC137" s="85"/>
      <c r="BD137" s="85"/>
      <c r="BE137" s="99">
        <f t="shared" si="1"/>
        <v>3647.7177600000005</v>
      </c>
      <c r="BF137" s="99" t="e">
        <f t="array" ref="BF137">#REF!</f>
        <v>#REF!</v>
      </c>
      <c r="BG137" s="101"/>
      <c r="BH137" s="101"/>
      <c r="BI137" s="101"/>
      <c r="BJ137" s="101"/>
      <c r="BK137" s="101"/>
      <c r="BL137" s="101"/>
      <c r="BM137" s="101"/>
    </row>
    <row r="138" spans="1:66" ht="14.25" hidden="1" customHeight="1" x14ac:dyDescent="0.25">
      <c r="A138" s="2" t="b">
        <f>$U107="Водоотведение"</f>
        <v>0</v>
      </c>
      <c r="B138" s="7"/>
      <c r="C138" s="8" t="s">
        <v>169</v>
      </c>
      <c r="D138" s="8" t="s">
        <v>170</v>
      </c>
      <c r="E138" s="176" t="s">
        <v>74</v>
      </c>
      <c r="F138" s="154" t="s">
        <v>75</v>
      </c>
      <c r="G138" s="154" t="s">
        <v>74</v>
      </c>
      <c r="H138" s="154" t="s">
        <v>74</v>
      </c>
      <c r="I138" s="154" t="s">
        <v>74</v>
      </c>
      <c r="J138" s="154" t="s">
        <v>74</v>
      </c>
      <c r="K138" s="154" t="s">
        <v>74</v>
      </c>
      <c r="L138" s="154"/>
      <c r="M138" s="8" t="str">
        <f t="array" ref="M138">Y107</f>
        <v>1ХВС::1.1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15"/>
      <c r="AA138" s="63"/>
      <c r="AB138" s="64"/>
      <c r="AC138" s="65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62"/>
      <c r="BC138" s="62"/>
      <c r="BD138" s="62"/>
      <c r="BE138" s="170"/>
      <c r="BF138" s="178"/>
      <c r="BG138" s="68"/>
      <c r="BH138" s="68"/>
      <c r="BI138" s="68"/>
      <c r="BJ138" s="68"/>
      <c r="BK138" s="68"/>
      <c r="BL138" s="68"/>
      <c r="BM138" s="68"/>
      <c r="BN138" s="15"/>
    </row>
    <row r="139" spans="1:66" ht="14.25" hidden="1" customHeight="1" outlineLevel="2" x14ac:dyDescent="0.25">
      <c r="A139" s="2" t="b">
        <f>AND(A138)</f>
        <v>0</v>
      </c>
      <c r="B139" s="8" t="b">
        <f>AND(OR(isFIRST_PERIOD="да",$AC$56="нет"),A138)</f>
        <v>0</v>
      </c>
      <c r="C139" s="176" t="s">
        <v>171</v>
      </c>
      <c r="D139" s="179" t="s">
        <v>172</v>
      </c>
      <c r="E139" s="176" t="s">
        <v>74</v>
      </c>
      <c r="F139" s="176" t="s">
        <v>75</v>
      </c>
      <c r="G139" s="176" t="s">
        <v>74</v>
      </c>
      <c r="H139" s="176" t="s">
        <v>74</v>
      </c>
      <c r="I139" s="176" t="s">
        <v>74</v>
      </c>
      <c r="J139" s="176" t="s">
        <v>74</v>
      </c>
      <c r="K139" s="176" t="s">
        <v>74</v>
      </c>
      <c r="L139" s="176"/>
      <c r="M139" s="8" t="str">
        <f t="array" ref="M139">Y107</f>
        <v>1ХВС::1.1</v>
      </c>
      <c r="N139" s="180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15"/>
      <c r="AA139" s="167"/>
      <c r="AB139" s="181"/>
      <c r="AC139" s="169"/>
      <c r="AD139" s="165"/>
      <c r="AE139" s="165"/>
      <c r="AF139" s="165"/>
      <c r="AG139" s="15"/>
      <c r="AH139" s="15"/>
      <c r="AI139" s="165"/>
      <c r="AJ139" s="15"/>
      <c r="AK139" s="15"/>
      <c r="AL139" s="15"/>
      <c r="AM139" s="15"/>
      <c r="AN139" s="165"/>
      <c r="AO139" s="165"/>
      <c r="AP139" s="15"/>
      <c r="AQ139" s="15"/>
      <c r="AR139" s="165"/>
      <c r="AS139" s="15"/>
      <c r="AT139" s="15"/>
      <c r="AU139" s="165"/>
      <c r="AV139" s="165"/>
      <c r="AW139" s="15"/>
      <c r="AX139" s="15"/>
      <c r="AY139" s="165"/>
      <c r="AZ139" s="15"/>
      <c r="BA139" s="15"/>
      <c r="BB139" s="62"/>
      <c r="BC139" s="62"/>
      <c r="BD139" s="62"/>
      <c r="BE139" s="170"/>
      <c r="BF139" s="170"/>
      <c r="BG139" s="68"/>
      <c r="BH139" s="68"/>
      <c r="BI139" s="68"/>
      <c r="BJ139" s="68"/>
      <c r="BK139" s="68"/>
      <c r="BL139" s="68"/>
      <c r="BM139" s="68"/>
      <c r="BN139" s="15"/>
    </row>
    <row r="140" spans="1:66" ht="14.25" hidden="1" customHeight="1" outlineLevel="2" x14ac:dyDescent="0.25">
      <c r="A140" s="2" t="b">
        <f>AND(A138)</f>
        <v>0</v>
      </c>
      <c r="B140" s="8" t="b">
        <f>AND(OR(isFIRST_PERIOD="да",$AC$56="нет"),A138)</f>
        <v>0</v>
      </c>
      <c r="C140" s="176" t="s">
        <v>173</v>
      </c>
      <c r="D140" s="179" t="s">
        <v>174</v>
      </c>
      <c r="E140" s="176" t="s">
        <v>74</v>
      </c>
      <c r="F140" s="176" t="s">
        <v>75</v>
      </c>
      <c r="G140" s="176" t="s">
        <v>74</v>
      </c>
      <c r="H140" s="176" t="s">
        <v>74</v>
      </c>
      <c r="I140" s="176" t="s">
        <v>74</v>
      </c>
      <c r="J140" s="176" t="s">
        <v>74</v>
      </c>
      <c r="K140" s="176" t="s">
        <v>74</v>
      </c>
      <c r="L140" s="176"/>
      <c r="M140" s="8" t="str">
        <f t="array" ref="M140">Y107</f>
        <v>1ХВС::1.1</v>
      </c>
      <c r="N140" s="180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15"/>
      <c r="AA140" s="167"/>
      <c r="AB140" s="181"/>
      <c r="AC140" s="169"/>
      <c r="AD140" s="165"/>
      <c r="AE140" s="165"/>
      <c r="AF140" s="165"/>
      <c r="AG140" s="144"/>
      <c r="AH140" s="144"/>
      <c r="AI140" s="165"/>
      <c r="AJ140" s="144"/>
      <c r="AK140" s="144"/>
      <c r="AL140" s="144"/>
      <c r="AM140" s="144"/>
      <c r="AN140" s="165"/>
      <c r="AO140" s="165"/>
      <c r="AP140" s="144"/>
      <c r="AQ140" s="144"/>
      <c r="AR140" s="165"/>
      <c r="AS140" s="144"/>
      <c r="AT140" s="144"/>
      <c r="AU140" s="165"/>
      <c r="AV140" s="165"/>
      <c r="AW140" s="144"/>
      <c r="AX140" s="144"/>
      <c r="AY140" s="165"/>
      <c r="AZ140" s="144"/>
      <c r="BA140" s="144"/>
      <c r="BB140" s="62"/>
      <c r="BC140" s="62"/>
      <c r="BD140" s="62"/>
      <c r="BE140" s="170"/>
      <c r="BF140" s="170"/>
      <c r="BG140" s="68"/>
      <c r="BH140" s="68"/>
      <c r="BI140" s="68"/>
      <c r="BJ140" s="68"/>
      <c r="BK140" s="68"/>
      <c r="BL140" s="68"/>
      <c r="BM140" s="68"/>
      <c r="BN140" s="15"/>
    </row>
    <row r="141" spans="1:66" ht="14.25" hidden="1" customHeight="1" outlineLevel="3" x14ac:dyDescent="0.25">
      <c r="A141" s="2" t="b">
        <f>AND(A138,region_name="Республика Татарстан")</f>
        <v>0</v>
      </c>
      <c r="B141" s="7"/>
      <c r="C141" s="176" t="s">
        <v>143</v>
      </c>
      <c r="D141" s="176" t="s">
        <v>144</v>
      </c>
      <c r="E141" s="176" t="s">
        <v>175</v>
      </c>
      <c r="F141" s="176" t="s">
        <v>75</v>
      </c>
      <c r="G141" s="176" t="s">
        <v>74</v>
      </c>
      <c r="H141" s="176" t="s">
        <v>74</v>
      </c>
      <c r="I141" s="176" t="s">
        <v>74</v>
      </c>
      <c r="J141" s="176" t="s">
        <v>74</v>
      </c>
      <c r="K141" s="176" t="s">
        <v>74</v>
      </c>
      <c r="L141" s="176"/>
      <c r="M141" s="8" t="str">
        <f t="array" ref="M141">Y107</f>
        <v>1ХВС::1.1</v>
      </c>
      <c r="N141" s="180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15"/>
      <c r="AA141" s="167"/>
      <c r="AB141" s="182"/>
      <c r="AC141" s="169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62"/>
      <c r="BC141" s="62"/>
      <c r="BD141" s="62"/>
      <c r="BE141" s="170"/>
      <c r="BF141" s="170"/>
      <c r="BG141" s="68"/>
      <c r="BH141" s="68"/>
      <c r="BI141" s="68"/>
      <c r="BJ141" s="68"/>
      <c r="BK141" s="68"/>
      <c r="BL141" s="68"/>
      <c r="BM141" s="68"/>
      <c r="BN141" s="15"/>
    </row>
    <row r="142" spans="1:66" ht="14.25" hidden="1" customHeight="1" outlineLevel="3" x14ac:dyDescent="0.25">
      <c r="A142" s="2" t="b">
        <f>AND(A138,region_name="Республика Татарстан")</f>
        <v>0</v>
      </c>
      <c r="B142" s="7"/>
      <c r="C142" s="176" t="s">
        <v>143</v>
      </c>
      <c r="D142" s="176" t="s">
        <v>144</v>
      </c>
      <c r="E142" s="176" t="s">
        <v>176</v>
      </c>
      <c r="F142" s="176" t="s">
        <v>75</v>
      </c>
      <c r="G142" s="176" t="s">
        <v>74</v>
      </c>
      <c r="H142" s="176" t="s">
        <v>74</v>
      </c>
      <c r="I142" s="176" t="s">
        <v>74</v>
      </c>
      <c r="J142" s="176" t="s">
        <v>74</v>
      </c>
      <c r="K142" s="176" t="s">
        <v>74</v>
      </c>
      <c r="L142" s="176"/>
      <c r="M142" s="8" t="str">
        <f t="array" ref="M142">Y107</f>
        <v>1ХВС::1.1</v>
      </c>
      <c r="N142" s="180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15"/>
      <c r="AA142" s="167"/>
      <c r="AB142" s="168"/>
      <c r="AC142" s="169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62"/>
      <c r="BC142" s="62"/>
      <c r="BD142" s="62"/>
      <c r="BE142" s="170"/>
      <c r="BF142" s="170"/>
      <c r="BG142" s="68"/>
      <c r="BH142" s="68"/>
      <c r="BI142" s="68"/>
      <c r="BJ142" s="68"/>
      <c r="BK142" s="68"/>
      <c r="BL142" s="68"/>
      <c r="BM142" s="68"/>
      <c r="BN142" s="15"/>
    </row>
    <row r="143" spans="1:66" ht="14.25" hidden="1" customHeight="1" outlineLevel="3" x14ac:dyDescent="0.25">
      <c r="A143" s="2" t="b">
        <f t="array" ref="A143">A138</f>
        <v>0</v>
      </c>
      <c r="B143" s="7"/>
      <c r="C143" s="176" t="s">
        <v>143</v>
      </c>
      <c r="D143" s="176" t="s">
        <v>144</v>
      </c>
      <c r="E143" s="176" t="s">
        <v>177</v>
      </c>
      <c r="F143" s="176" t="s">
        <v>75</v>
      </c>
      <c r="G143" s="176" t="s">
        <v>74</v>
      </c>
      <c r="H143" s="176" t="s">
        <v>74</v>
      </c>
      <c r="I143" s="176" t="s">
        <v>74</v>
      </c>
      <c r="J143" s="176" t="s">
        <v>74</v>
      </c>
      <c r="K143" s="176" t="s">
        <v>74</v>
      </c>
      <c r="L143" s="176"/>
      <c r="M143" s="8" t="str">
        <f t="array" ref="M143">Y107</f>
        <v>1ХВС::1.1</v>
      </c>
      <c r="N143" s="180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15"/>
      <c r="AA143" s="167"/>
      <c r="AB143" s="182"/>
      <c r="AC143" s="169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62"/>
      <c r="BC143" s="62"/>
      <c r="BD143" s="62"/>
      <c r="BE143" s="170"/>
      <c r="BF143" s="170"/>
      <c r="BG143" s="68"/>
      <c r="BH143" s="68"/>
      <c r="BI143" s="68"/>
      <c r="BJ143" s="68"/>
      <c r="BK143" s="68"/>
      <c r="BL143" s="68"/>
      <c r="BM143" s="68"/>
      <c r="BN143" s="15"/>
    </row>
    <row r="144" spans="1:66" ht="14.25" hidden="1" customHeight="1" outlineLevel="3" x14ac:dyDescent="0.25">
      <c r="A144" s="2" t="b">
        <f t="array" ref="A144">A143</f>
        <v>0</v>
      </c>
      <c r="B144" s="7"/>
      <c r="C144" s="176" t="s">
        <v>143</v>
      </c>
      <c r="D144" s="176" t="s">
        <v>144</v>
      </c>
      <c r="E144" s="176" t="s">
        <v>178</v>
      </c>
      <c r="F144" s="176" t="s">
        <v>75</v>
      </c>
      <c r="G144" s="176" t="s">
        <v>74</v>
      </c>
      <c r="H144" s="176" t="s">
        <v>74</v>
      </c>
      <c r="I144" s="176" t="s">
        <v>74</v>
      </c>
      <c r="J144" s="176" t="s">
        <v>74</v>
      </c>
      <c r="K144" s="176" t="s">
        <v>74</v>
      </c>
      <c r="L144" s="176"/>
      <c r="M144" s="8" t="str">
        <f t="array" ref="M144">Y107</f>
        <v>1ХВС::1.1</v>
      </c>
      <c r="N144" s="180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15"/>
      <c r="AA144" s="167"/>
      <c r="AB144" s="168"/>
      <c r="AC144" s="169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62"/>
      <c r="BC144" s="62"/>
      <c r="BD144" s="62"/>
      <c r="BE144" s="170"/>
      <c r="BF144" s="170"/>
      <c r="BG144" s="68"/>
      <c r="BH144" s="68"/>
      <c r="BI144" s="68"/>
      <c r="BJ144" s="68"/>
      <c r="BK144" s="68"/>
      <c r="BL144" s="68"/>
      <c r="BM144" s="68"/>
      <c r="BN144" s="15"/>
    </row>
    <row r="145" spans="1:66" ht="14.25" hidden="1" customHeight="1" outlineLevel="3" x14ac:dyDescent="0.25">
      <c r="A145" s="2" t="b">
        <f t="array" ref="A145">A144</f>
        <v>0</v>
      </c>
      <c r="B145" s="7"/>
      <c r="C145" s="176" t="s">
        <v>143</v>
      </c>
      <c r="D145" s="176" t="s">
        <v>144</v>
      </c>
      <c r="E145" s="176" t="s">
        <v>179</v>
      </c>
      <c r="F145" s="176" t="s">
        <v>75</v>
      </c>
      <c r="G145" s="176" t="s">
        <v>74</v>
      </c>
      <c r="H145" s="176" t="s">
        <v>74</v>
      </c>
      <c r="I145" s="176" t="s">
        <v>74</v>
      </c>
      <c r="J145" s="176" t="s">
        <v>74</v>
      </c>
      <c r="K145" s="176" t="s">
        <v>74</v>
      </c>
      <c r="L145" s="176"/>
      <c r="M145" s="8" t="str">
        <f t="array" ref="M145">Y107</f>
        <v>1ХВС::1.1</v>
      </c>
      <c r="N145" s="180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15"/>
      <c r="AA145" s="167"/>
      <c r="AB145" s="168"/>
      <c r="AC145" s="169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62"/>
      <c r="BC145" s="62"/>
      <c r="BD145" s="62"/>
      <c r="BE145" s="170"/>
      <c r="BF145" s="170"/>
      <c r="BG145" s="68"/>
      <c r="BH145" s="68"/>
      <c r="BI145" s="68"/>
      <c r="BJ145" s="68"/>
      <c r="BK145" s="68"/>
      <c r="BL145" s="68"/>
      <c r="BM145" s="68"/>
      <c r="BN145" s="15"/>
    </row>
    <row r="146" spans="1:66" ht="14.25" hidden="1" customHeight="1" outlineLevel="3" x14ac:dyDescent="0.25">
      <c r="A146" s="2" t="b">
        <f t="array" ref="A146">A145</f>
        <v>0</v>
      </c>
      <c r="B146" s="7"/>
      <c r="C146" s="154" t="s">
        <v>143</v>
      </c>
      <c r="D146" s="154" t="s">
        <v>144</v>
      </c>
      <c r="E146" s="154" t="s">
        <v>180</v>
      </c>
      <c r="F146" s="154" t="s">
        <v>75</v>
      </c>
      <c r="G146" s="154" t="s">
        <v>74</v>
      </c>
      <c r="H146" s="154" t="s">
        <v>74</v>
      </c>
      <c r="I146" s="154" t="s">
        <v>74</v>
      </c>
      <c r="J146" s="154" t="s">
        <v>74</v>
      </c>
      <c r="K146" s="154" t="s">
        <v>74</v>
      </c>
      <c r="L146" s="154"/>
      <c r="M146" s="8" t="str">
        <f t="array" ref="M146">Y107</f>
        <v>1ХВС::1.1</v>
      </c>
      <c r="N146" s="15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15"/>
      <c r="AA146" s="167"/>
      <c r="AB146" s="183"/>
      <c r="AC146" s="169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62"/>
      <c r="BC146" s="62"/>
      <c r="BD146" s="62"/>
      <c r="BE146" s="170"/>
      <c r="BF146" s="170"/>
      <c r="BG146" s="68"/>
      <c r="BH146" s="68"/>
      <c r="BI146" s="68"/>
      <c r="BJ146" s="68"/>
      <c r="BK146" s="68"/>
      <c r="BL146" s="68"/>
      <c r="BM146" s="68"/>
      <c r="BN146" s="15"/>
    </row>
    <row r="147" spans="1:66" ht="14.25" hidden="1" customHeight="1" outlineLevel="3" x14ac:dyDescent="0.25">
      <c r="A147" s="2" t="b">
        <f t="array" ref="A147">A146</f>
        <v>0</v>
      </c>
      <c r="B147" s="7"/>
      <c r="C147" s="154" t="s">
        <v>143</v>
      </c>
      <c r="D147" s="154" t="s">
        <v>144</v>
      </c>
      <c r="E147" s="154" t="s">
        <v>181</v>
      </c>
      <c r="F147" s="154" t="s">
        <v>75</v>
      </c>
      <c r="G147" s="154" t="s">
        <v>74</v>
      </c>
      <c r="H147" s="154" t="s">
        <v>74</v>
      </c>
      <c r="I147" s="154" t="s">
        <v>74</v>
      </c>
      <c r="J147" s="154" t="s">
        <v>74</v>
      </c>
      <c r="K147" s="154" t="s">
        <v>74</v>
      </c>
      <c r="L147" s="154"/>
      <c r="M147" s="8" t="str">
        <f t="array" ref="M147">Y107</f>
        <v>1ХВС::1.1</v>
      </c>
      <c r="N147" s="15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15"/>
      <c r="AA147" s="167"/>
      <c r="AB147" s="184"/>
      <c r="AC147" s="169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62"/>
      <c r="BC147" s="62"/>
      <c r="BD147" s="62"/>
      <c r="BE147" s="170"/>
      <c r="BF147" s="170"/>
      <c r="BG147" s="68"/>
      <c r="BH147" s="68"/>
      <c r="BI147" s="68"/>
      <c r="BJ147" s="68"/>
      <c r="BK147" s="68"/>
      <c r="BL147" s="68"/>
      <c r="BM147" s="68"/>
      <c r="BN147" s="15"/>
    </row>
    <row r="148" spans="1:66" ht="14.25" hidden="1" customHeight="1" outlineLevel="3" x14ac:dyDescent="0.25">
      <c r="A148" s="2" t="b">
        <f t="array" ref="A148">A147</f>
        <v>0</v>
      </c>
      <c r="B148" s="7"/>
      <c r="C148" s="154" t="s">
        <v>143</v>
      </c>
      <c r="D148" s="154" t="s">
        <v>144</v>
      </c>
      <c r="E148" s="154" t="s">
        <v>182</v>
      </c>
      <c r="F148" s="154" t="s">
        <v>75</v>
      </c>
      <c r="G148" s="154" t="s">
        <v>74</v>
      </c>
      <c r="H148" s="154" t="s">
        <v>74</v>
      </c>
      <c r="I148" s="154" t="s">
        <v>74</v>
      </c>
      <c r="J148" s="154" t="s">
        <v>74</v>
      </c>
      <c r="K148" s="154" t="s">
        <v>74</v>
      </c>
      <c r="L148" s="154"/>
      <c r="M148" s="8" t="str">
        <f t="array" ref="M148">Y107</f>
        <v>1ХВС::1.1</v>
      </c>
      <c r="N148" s="15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15"/>
      <c r="AA148" s="167"/>
      <c r="AB148" s="184"/>
      <c r="AC148" s="169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62"/>
      <c r="BC148" s="62"/>
      <c r="BD148" s="62"/>
      <c r="BE148" s="170"/>
      <c r="BF148" s="170"/>
      <c r="BG148" s="68"/>
      <c r="BH148" s="68"/>
      <c r="BI148" s="68"/>
      <c r="BJ148" s="68"/>
      <c r="BK148" s="68"/>
      <c r="BL148" s="68"/>
      <c r="BM148" s="68"/>
      <c r="BN148" s="15"/>
    </row>
    <row r="149" spans="1:66" ht="14.25" hidden="1" customHeight="1" outlineLevel="3" x14ac:dyDescent="0.25">
      <c r="A149" s="2" t="b">
        <f t="array" ref="A149">A148</f>
        <v>0</v>
      </c>
      <c r="B149" s="7"/>
      <c r="C149" s="154" t="s">
        <v>143</v>
      </c>
      <c r="D149" s="154" t="s">
        <v>144</v>
      </c>
      <c r="E149" s="154" t="s">
        <v>183</v>
      </c>
      <c r="F149" s="154" t="s">
        <v>75</v>
      </c>
      <c r="G149" s="154" t="s">
        <v>74</v>
      </c>
      <c r="H149" s="154" t="s">
        <v>74</v>
      </c>
      <c r="I149" s="154" t="s">
        <v>74</v>
      </c>
      <c r="J149" s="154" t="s">
        <v>74</v>
      </c>
      <c r="K149" s="154" t="s">
        <v>74</v>
      </c>
      <c r="L149" s="154"/>
      <c r="M149" s="8" t="str">
        <f t="array" ref="M149">Y107</f>
        <v>1ХВС::1.1</v>
      </c>
      <c r="N149" s="15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15"/>
      <c r="AA149" s="167"/>
      <c r="AB149" s="184"/>
      <c r="AC149" s="169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62"/>
      <c r="BC149" s="62"/>
      <c r="BD149" s="62"/>
      <c r="BE149" s="170"/>
      <c r="BF149" s="170"/>
      <c r="BG149" s="68"/>
      <c r="BH149" s="68"/>
      <c r="BI149" s="68"/>
      <c r="BJ149" s="68"/>
      <c r="BK149" s="68"/>
      <c r="BL149" s="68"/>
      <c r="BM149" s="68"/>
      <c r="BN149" s="15"/>
    </row>
    <row r="150" spans="1:66" ht="14.25" hidden="1" customHeight="1" outlineLevel="3" x14ac:dyDescent="0.25">
      <c r="A150" s="2" t="b">
        <f t="array" ref="A150">A149</f>
        <v>0</v>
      </c>
      <c r="B150" s="7"/>
      <c r="C150" s="154" t="s">
        <v>143</v>
      </c>
      <c r="D150" s="154" t="s">
        <v>144</v>
      </c>
      <c r="E150" s="154" t="s">
        <v>184</v>
      </c>
      <c r="F150" s="154" t="s">
        <v>75</v>
      </c>
      <c r="G150" s="154" t="s">
        <v>74</v>
      </c>
      <c r="H150" s="154" t="s">
        <v>74</v>
      </c>
      <c r="I150" s="154" t="s">
        <v>74</v>
      </c>
      <c r="J150" s="154" t="s">
        <v>74</v>
      </c>
      <c r="K150" s="154" t="s">
        <v>74</v>
      </c>
      <c r="L150" s="154"/>
      <c r="M150" s="8" t="str">
        <f t="array" ref="M150">Y107</f>
        <v>1ХВС::1.1</v>
      </c>
      <c r="N150" s="15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5"/>
      <c r="AA150" s="167"/>
      <c r="AB150" s="183"/>
      <c r="AC150" s="169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62"/>
      <c r="BC150" s="62"/>
      <c r="BD150" s="62"/>
      <c r="BE150" s="170"/>
      <c r="BF150" s="170"/>
      <c r="BG150" s="68"/>
      <c r="BH150" s="68"/>
      <c r="BI150" s="68"/>
      <c r="BJ150" s="68"/>
      <c r="BK150" s="68"/>
      <c r="BL150" s="68"/>
      <c r="BM150" s="68"/>
      <c r="BN150" s="15"/>
    </row>
    <row r="151" spans="1:66" ht="14.25" hidden="1" customHeight="1" outlineLevel="3" x14ac:dyDescent="0.25">
      <c r="A151" s="2" t="b">
        <f t="array" ref="A151">A150</f>
        <v>0</v>
      </c>
      <c r="B151" s="7"/>
      <c r="C151" s="154" t="s">
        <v>143</v>
      </c>
      <c r="D151" s="154" t="s">
        <v>144</v>
      </c>
      <c r="E151" s="154" t="s">
        <v>185</v>
      </c>
      <c r="F151" s="154" t="s">
        <v>75</v>
      </c>
      <c r="G151" s="154" t="s">
        <v>74</v>
      </c>
      <c r="H151" s="154" t="s">
        <v>74</v>
      </c>
      <c r="I151" s="154" t="s">
        <v>74</v>
      </c>
      <c r="J151" s="154" t="s">
        <v>74</v>
      </c>
      <c r="K151" s="154" t="s">
        <v>74</v>
      </c>
      <c r="L151" s="154"/>
      <c r="M151" s="8" t="str">
        <f t="array" ref="M151">Y107</f>
        <v>1ХВС::1.1</v>
      </c>
      <c r="N151" s="15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5"/>
      <c r="AA151" s="167"/>
      <c r="AB151" s="168"/>
      <c r="AC151" s="169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62"/>
      <c r="BC151" s="62"/>
      <c r="BD151" s="62"/>
      <c r="BE151" s="170"/>
      <c r="BF151" s="170"/>
      <c r="BG151" s="68"/>
      <c r="BH151" s="68"/>
      <c r="BI151" s="68"/>
      <c r="BJ151" s="68"/>
      <c r="BK151" s="68"/>
      <c r="BL151" s="68"/>
      <c r="BM151" s="68"/>
      <c r="BN151" s="15"/>
    </row>
    <row r="152" spans="1:66" ht="14.25" hidden="1" customHeight="1" outlineLevel="3" x14ac:dyDescent="0.25">
      <c r="A152" s="2" t="b">
        <f t="array" ref="A152">A151</f>
        <v>0</v>
      </c>
      <c r="B152" s="7"/>
      <c r="C152" s="154" t="s">
        <v>143</v>
      </c>
      <c r="D152" s="154" t="s">
        <v>144</v>
      </c>
      <c r="E152" s="154" t="s">
        <v>186</v>
      </c>
      <c r="F152" s="154" t="s">
        <v>75</v>
      </c>
      <c r="G152" s="154" t="s">
        <v>74</v>
      </c>
      <c r="H152" s="154" t="s">
        <v>74</v>
      </c>
      <c r="I152" s="154" t="s">
        <v>74</v>
      </c>
      <c r="J152" s="154" t="s">
        <v>74</v>
      </c>
      <c r="K152" s="154" t="s">
        <v>74</v>
      </c>
      <c r="L152" s="154"/>
      <c r="M152" s="8" t="str">
        <f t="array" ref="M152">Y107</f>
        <v>1ХВС::1.1</v>
      </c>
      <c r="N152" s="15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5"/>
      <c r="AA152" s="167"/>
      <c r="AB152" s="182"/>
      <c r="AC152" s="169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62"/>
      <c r="BC152" s="62"/>
      <c r="BD152" s="62"/>
      <c r="BE152" s="170"/>
      <c r="BF152" s="170"/>
      <c r="BG152" s="68"/>
      <c r="BH152" s="68"/>
      <c r="BI152" s="68"/>
      <c r="BJ152" s="68"/>
      <c r="BK152" s="68"/>
      <c r="BL152" s="68"/>
      <c r="BM152" s="68"/>
      <c r="BN152" s="15"/>
    </row>
    <row r="153" spans="1:66" ht="14.25" hidden="1" customHeight="1" outlineLevel="3" x14ac:dyDescent="0.25">
      <c r="A153" s="2" t="b">
        <f t="array" ref="A153">A152</f>
        <v>0</v>
      </c>
      <c r="B153" s="7"/>
      <c r="C153" s="154" t="s">
        <v>143</v>
      </c>
      <c r="D153" s="154" t="s">
        <v>144</v>
      </c>
      <c r="E153" s="154" t="s">
        <v>187</v>
      </c>
      <c r="F153" s="154" t="s">
        <v>75</v>
      </c>
      <c r="G153" s="154" t="s">
        <v>74</v>
      </c>
      <c r="H153" s="154" t="s">
        <v>74</v>
      </c>
      <c r="I153" s="154" t="s">
        <v>74</v>
      </c>
      <c r="J153" s="154" t="s">
        <v>74</v>
      </c>
      <c r="K153" s="154" t="s">
        <v>74</v>
      </c>
      <c r="L153" s="154"/>
      <c r="M153" s="8" t="str">
        <f t="array" ref="M153">Y107</f>
        <v>1ХВС::1.1</v>
      </c>
      <c r="N153" s="15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5"/>
      <c r="AA153" s="167"/>
      <c r="AB153" s="168"/>
      <c r="AC153" s="169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62"/>
      <c r="BC153" s="62"/>
      <c r="BD153" s="62"/>
      <c r="BE153" s="170"/>
      <c r="BF153" s="170"/>
      <c r="BG153" s="68"/>
      <c r="BH153" s="68"/>
      <c r="BI153" s="68"/>
      <c r="BJ153" s="68"/>
      <c r="BK153" s="68"/>
      <c r="BL153" s="68"/>
      <c r="BM153" s="68"/>
      <c r="BN153" s="15"/>
    </row>
    <row r="154" spans="1:66" ht="14.25" hidden="1" customHeight="1" outlineLevel="3" x14ac:dyDescent="0.25">
      <c r="A154" s="2" t="b">
        <f t="array" ref="A154">A153</f>
        <v>0</v>
      </c>
      <c r="B154" s="7"/>
      <c r="C154" s="154" t="s">
        <v>143</v>
      </c>
      <c r="D154" s="154" t="s">
        <v>144</v>
      </c>
      <c r="E154" s="154" t="s">
        <v>188</v>
      </c>
      <c r="F154" s="154" t="s">
        <v>75</v>
      </c>
      <c r="G154" s="154" t="s">
        <v>74</v>
      </c>
      <c r="H154" s="154" t="s">
        <v>74</v>
      </c>
      <c r="I154" s="154" t="s">
        <v>74</v>
      </c>
      <c r="J154" s="154" t="s">
        <v>74</v>
      </c>
      <c r="K154" s="154" t="s">
        <v>74</v>
      </c>
      <c r="L154" s="154"/>
      <c r="M154" s="8" t="str">
        <f t="array" ref="M154">Y107</f>
        <v>1ХВС::1.1</v>
      </c>
      <c r="N154" s="15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5"/>
      <c r="AA154" s="167"/>
      <c r="AB154" s="168"/>
      <c r="AC154" s="169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62"/>
      <c r="BC154" s="62"/>
      <c r="BD154" s="62"/>
      <c r="BE154" s="170"/>
      <c r="BF154" s="170"/>
      <c r="BG154" s="68"/>
      <c r="BH154" s="68"/>
      <c r="BI154" s="68"/>
      <c r="BJ154" s="68"/>
      <c r="BK154" s="68"/>
      <c r="BL154" s="68"/>
      <c r="BM154" s="68"/>
      <c r="BN154" s="15"/>
    </row>
    <row r="155" spans="1:66" ht="14.25" hidden="1" customHeight="1" outlineLevel="3" x14ac:dyDescent="0.25">
      <c r="A155" s="2" t="b">
        <f t="array" ref="A155">A154</f>
        <v>0</v>
      </c>
      <c r="B155" s="7"/>
      <c r="C155" s="185" t="s">
        <v>143</v>
      </c>
      <c r="D155" s="185" t="s">
        <v>144</v>
      </c>
      <c r="E155" s="185" t="s">
        <v>189</v>
      </c>
      <c r="F155" s="154" t="s">
        <v>75</v>
      </c>
      <c r="G155" s="185" t="s">
        <v>74</v>
      </c>
      <c r="H155" s="185" t="s">
        <v>74</v>
      </c>
      <c r="I155" s="185" t="s">
        <v>74</v>
      </c>
      <c r="J155" s="185" t="s">
        <v>74</v>
      </c>
      <c r="K155" s="185" t="s">
        <v>74</v>
      </c>
      <c r="L155" s="185"/>
      <c r="M155" s="8" t="str">
        <f t="array" ref="M155">Y107</f>
        <v>1ХВС::1.1</v>
      </c>
      <c r="N155" s="15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15"/>
      <c r="AA155" s="167"/>
      <c r="AB155" s="182"/>
      <c r="AC155" s="169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62"/>
      <c r="BC155" s="62"/>
      <c r="BD155" s="62"/>
      <c r="BE155" s="170"/>
      <c r="BF155" s="170"/>
      <c r="BG155" s="68"/>
      <c r="BH155" s="68"/>
      <c r="BI155" s="68"/>
      <c r="BJ155" s="68"/>
      <c r="BK155" s="68"/>
      <c r="BL155" s="68"/>
      <c r="BM155" s="68"/>
      <c r="BN155" s="15"/>
    </row>
    <row r="156" spans="1:66" ht="14.25" customHeight="1" x14ac:dyDescent="0.25">
      <c r="C156" s="2" t="s">
        <v>84</v>
      </c>
      <c r="D156" s="2" t="s">
        <v>85</v>
      </c>
      <c r="E156" s="2" t="s">
        <v>74</v>
      </c>
      <c r="F156" s="2" t="s">
        <v>75</v>
      </c>
      <c r="G156" s="2" t="s">
        <v>190</v>
      </c>
      <c r="H156" s="2" t="s">
        <v>74</v>
      </c>
      <c r="I156" s="2" t="s">
        <v>74</v>
      </c>
      <c r="K156" s="5" t="s">
        <v>74</v>
      </c>
      <c r="L156" s="2" t="s">
        <v>136</v>
      </c>
      <c r="M156" s="8" t="str">
        <f t="array" ref="M156">Y107</f>
        <v>1ХВС::1.1</v>
      </c>
      <c r="AA156" s="146">
        <f t="array" ref="AA156">IF($U107="Водоснабжение",AA121,AA138)+1</f>
        <v>3</v>
      </c>
      <c r="AB156" s="186" t="s">
        <v>190</v>
      </c>
      <c r="AC156" s="146" t="s">
        <v>114</v>
      </c>
      <c r="AD156" s="187">
        <f>845713.719999999+1216.06</f>
        <v>846929.7799999991</v>
      </c>
      <c r="AE156" s="187">
        <f>846749.171198798+6988.64</f>
        <v>853737.81119879801</v>
      </c>
      <c r="AF156" s="187">
        <v>1072813.3076290896</v>
      </c>
      <c r="AG156" s="188"/>
      <c r="AH156" s="188"/>
      <c r="AI156" s="187" t="e">
        <f>AI157+AI302+AI309+AI318</f>
        <v>#VALUE!</v>
      </c>
      <c r="AJ156" s="188"/>
      <c r="AK156" s="188"/>
      <c r="AL156" s="188"/>
      <c r="AM156" s="188"/>
      <c r="AN156" s="187" t="e">
        <f>AN157+AN302+AN309+AN318</f>
        <v>#REF!</v>
      </c>
      <c r="AO156" s="187">
        <v>1372364.0131180484</v>
      </c>
      <c r="AP156" s="188"/>
      <c r="AQ156" s="188"/>
      <c r="AR156" s="187" t="e">
        <f>AR157+AR302+AR309+AR318</f>
        <v>#VALUE!</v>
      </c>
      <c r="AS156" s="188"/>
      <c r="AT156" s="188"/>
      <c r="AU156" s="187" t="e">
        <f>AU157+AU302+AU309+AU318</f>
        <v>#REF!</v>
      </c>
      <c r="AV156" s="187">
        <v>1432356.8491968573</v>
      </c>
      <c r="AW156" s="188"/>
      <c r="AX156" s="188"/>
      <c r="AY156" s="187" t="e">
        <f>AY157+AY302+AY309+AY318</f>
        <v>#VALUE!</v>
      </c>
      <c r="AZ156" s="188"/>
      <c r="BA156" s="188"/>
      <c r="BB156" s="85"/>
      <c r="BC156" s="85"/>
      <c r="BD156" s="85"/>
      <c r="BE156" s="99" t="e">
        <f t="shared" ref="BE156:BE188" si="2">SUM(AD156:BA156)</f>
        <v>#VALUE!</v>
      </c>
      <c r="BF156" s="100" t="e">
        <f>BF157+BF302+BF309+BF318</f>
        <v>#REF!</v>
      </c>
      <c r="BG156" s="101"/>
      <c r="BH156" s="101"/>
      <c r="BI156" s="101"/>
      <c r="BJ156" s="101"/>
      <c r="BK156" s="101"/>
      <c r="BL156" s="101"/>
      <c r="BM156" s="101"/>
    </row>
    <row r="157" spans="1:66" ht="14.25" customHeight="1" outlineLevel="1" x14ac:dyDescent="0.25">
      <c r="C157" s="2" t="s">
        <v>84</v>
      </c>
      <c r="D157" s="2" t="s">
        <v>85</v>
      </c>
      <c r="E157" s="2" t="s">
        <v>74</v>
      </c>
      <c r="F157" s="2" t="s">
        <v>75</v>
      </c>
      <c r="G157" s="2" t="s">
        <v>191</v>
      </c>
      <c r="H157" s="2" t="s">
        <v>74</v>
      </c>
      <c r="I157" s="2" t="s">
        <v>74</v>
      </c>
      <c r="K157" s="5" t="s">
        <v>74</v>
      </c>
      <c r="L157" s="2" t="s">
        <v>136</v>
      </c>
      <c r="M157" s="8" t="str">
        <f t="array" ref="M157">Y107</f>
        <v>1ХВС::1.1</v>
      </c>
      <c r="AA157" s="189" t="str">
        <f>AA156&amp;".1"</f>
        <v>3.1</v>
      </c>
      <c r="AB157" s="190" t="s">
        <v>191</v>
      </c>
      <c r="AC157" s="191" t="s">
        <v>114</v>
      </c>
      <c r="AD157" s="173">
        <v>746368.72999999905</v>
      </c>
      <c r="AE157" s="173">
        <v>791677.32119879825</v>
      </c>
      <c r="AF157" s="173">
        <v>936639.9569167546</v>
      </c>
      <c r="AG157" s="174"/>
      <c r="AH157" s="174"/>
      <c r="AI157" s="173" t="e">
        <f>AI158+AI241+AI258</f>
        <v>#VALUE!</v>
      </c>
      <c r="AJ157" s="174"/>
      <c r="AK157" s="174"/>
      <c r="AL157" s="174"/>
      <c r="AM157" s="174"/>
      <c r="AN157" s="173" t="e">
        <f>AN158+AN241+AN258</f>
        <v>#REF!</v>
      </c>
      <c r="AO157" s="173">
        <v>1326338.5183180484</v>
      </c>
      <c r="AP157" s="174"/>
      <c r="AQ157" s="174"/>
      <c r="AR157" s="173" t="e">
        <f>AR158+AR241+AR258</f>
        <v>#VALUE!</v>
      </c>
      <c r="AS157" s="174"/>
      <c r="AT157" s="174"/>
      <c r="AU157" s="173" t="e">
        <f>AU158+AU241+AU258</f>
        <v>#REF!</v>
      </c>
      <c r="AV157" s="173">
        <v>1385951.7744068573</v>
      </c>
      <c r="AW157" s="174"/>
      <c r="AX157" s="174"/>
      <c r="AY157" s="173" t="e">
        <f>AY158+AY241+AY258</f>
        <v>#VALUE!</v>
      </c>
      <c r="AZ157" s="174"/>
      <c r="BA157" s="174"/>
      <c r="BB157" s="85"/>
      <c r="BC157" s="85"/>
      <c r="BD157" s="85"/>
      <c r="BE157" s="99" t="e">
        <f t="shared" si="2"/>
        <v>#VALUE!</v>
      </c>
      <c r="BF157" s="100" t="e">
        <f>BF158+BF241+BF258</f>
        <v>#REF!</v>
      </c>
      <c r="BG157" s="101"/>
      <c r="BH157" s="101"/>
      <c r="BI157" s="101"/>
      <c r="BJ157" s="101"/>
      <c r="BK157" s="101"/>
      <c r="BL157" s="101"/>
      <c r="BM157" s="101"/>
    </row>
    <row r="158" spans="1:66" ht="14.25" customHeight="1" outlineLevel="2" x14ac:dyDescent="0.25">
      <c r="C158" s="2" t="s">
        <v>84</v>
      </c>
      <c r="D158" s="2" t="s">
        <v>85</v>
      </c>
      <c r="E158" s="2" t="s">
        <v>74</v>
      </c>
      <c r="F158" s="2" t="s">
        <v>75</v>
      </c>
      <c r="G158" s="2" t="s">
        <v>192</v>
      </c>
      <c r="H158" s="2" t="s">
        <v>74</v>
      </c>
      <c r="I158" s="2" t="s">
        <v>74</v>
      </c>
      <c r="K158" s="5" t="s">
        <v>74</v>
      </c>
      <c r="L158" s="2" t="s">
        <v>136</v>
      </c>
      <c r="M158" s="8" t="str">
        <f t="array" ref="M158">Y107</f>
        <v>1ХВС::1.1</v>
      </c>
      <c r="AA158" s="192" t="str">
        <f>AA157&amp;".1"</f>
        <v>3.1.1</v>
      </c>
      <c r="AB158" s="193" t="s">
        <v>193</v>
      </c>
      <c r="AC158" s="194" t="s">
        <v>114</v>
      </c>
      <c r="AD158" s="173">
        <v>515320.58999999909</v>
      </c>
      <c r="AE158" s="173">
        <v>545486.43251235422</v>
      </c>
      <c r="AF158" s="173">
        <v>629249.65026685374</v>
      </c>
      <c r="AG158" s="174"/>
      <c r="AH158" s="174"/>
      <c r="AI158" s="173">
        <f>'ВС 2021-2025'!$AI$160+'ВС 2021-2025'!$AI$227+'ВС 2021-2025'!$AI$191+'ВС 2021-2025'!$AI$200</f>
        <v>629249.65026685374</v>
      </c>
      <c r="AJ158" s="174"/>
      <c r="AK158" s="174"/>
      <c r="AL158" s="174"/>
      <c r="AM158" s="174"/>
      <c r="AN158" s="173" t="e">
        <f>AN160+AN227+AN191+AN200</f>
        <v>#REF!</v>
      </c>
      <c r="AO158" s="173">
        <v>844872.87219214696</v>
      </c>
      <c r="AP158" s="174"/>
      <c r="AQ158" s="174"/>
      <c r="AR158" s="173">
        <f>'ВС 2021-2025'!$AR$160+'ВС 2021-2025'!$AR$227+'ВС 2021-2025'!$AR$191+'ВС 2021-2025'!$AR$200</f>
        <v>844872.87219214696</v>
      </c>
      <c r="AS158" s="174"/>
      <c r="AT158" s="174"/>
      <c r="AU158" s="173" t="e">
        <f>AU160+AU227+AU191+AU200</f>
        <v>#REF!</v>
      </c>
      <c r="AV158" s="195">
        <v>871553.95749597496</v>
      </c>
      <c r="AW158" s="174"/>
      <c r="AX158" s="174"/>
      <c r="AY158" s="136">
        <v>871553.95749597496</v>
      </c>
      <c r="AZ158" s="174"/>
      <c r="BA158" s="174"/>
      <c r="BB158" s="85"/>
      <c r="BC158" s="85"/>
      <c r="BD158" s="85"/>
      <c r="BE158" s="99" t="e">
        <f t="shared" si="2"/>
        <v>#REF!</v>
      </c>
      <c r="BF158" s="100" t="e">
        <f>BF160+BF227+BF191+BF200</f>
        <v>#REF!</v>
      </c>
      <c r="BG158" s="101"/>
      <c r="BH158" s="101"/>
      <c r="BI158" s="101"/>
      <c r="BJ158" s="101"/>
      <c r="BK158" s="101"/>
      <c r="BL158" s="101"/>
      <c r="BM158" s="101"/>
    </row>
    <row r="159" spans="1:66" ht="14.25" customHeight="1" outlineLevel="3" x14ac:dyDescent="0.25">
      <c r="C159" s="2" t="str">
        <f>IF(mark="Разметка","M0513","Не определено")</f>
        <v>M0513</v>
      </c>
      <c r="D159" s="2" t="s">
        <v>85</v>
      </c>
      <c r="E159" s="2" t="s">
        <v>74</v>
      </c>
      <c r="F159" s="2" t="s">
        <v>75</v>
      </c>
      <c r="G159" s="2" t="str">
        <f>IF(mark="Разметка","Скорректированные операционные расходы (индексируемые от первого года)","Не определено")</f>
        <v>Скорректированные операционные расходы (индексируемые от первого года)</v>
      </c>
      <c r="H159" s="2" t="s">
        <v>74</v>
      </c>
      <c r="I159" s="2" t="s">
        <v>74</v>
      </c>
      <c r="K159" s="5" t="s">
        <v>74</v>
      </c>
      <c r="L159" s="2" t="s">
        <v>136</v>
      </c>
      <c r="M159" s="8" t="str">
        <f t="array" ref="M159">Y107</f>
        <v>1ХВС::1.1</v>
      </c>
      <c r="AA159" s="107" t="str">
        <f>AA158&amp;".К"</f>
        <v>3.1.1.К</v>
      </c>
      <c r="AB159" s="196" t="s">
        <v>194</v>
      </c>
      <c r="AC159" s="197" t="s">
        <v>114</v>
      </c>
      <c r="AD159" s="136">
        <v>515320.58999999909</v>
      </c>
      <c r="AE159" s="173">
        <v>545486.43251235422</v>
      </c>
      <c r="AF159" s="173">
        <v>629249.65026685374</v>
      </c>
      <c r="AG159" s="15"/>
      <c r="AH159" s="15"/>
      <c r="AI159" s="136">
        <f t="array" ref="AI159">IF(AI$88,#REF!*AN$111,AI158)</f>
        <v>629249.65026685374</v>
      </c>
      <c r="AJ159" s="15"/>
      <c r="AK159" s="15"/>
      <c r="AL159" s="15"/>
      <c r="AM159" s="15"/>
      <c r="AN159" s="173">
        <f t="array" ref="AN159">AI159</f>
        <v>629249.65026685374</v>
      </c>
      <c r="AO159" s="173">
        <v>844872.87219214696</v>
      </c>
      <c r="AP159" s="15"/>
      <c r="AQ159" s="15"/>
      <c r="AR159" s="136">
        <f t="array" ref="AR159">IF('ВС 2021-2025'!AR$88,'ВС 2021-2025'!AI159*'ВС 2021-2025'!AU$111,'ВС 2021-2025'!AR158)</f>
        <v>844872.87219214696</v>
      </c>
      <c r="AS159" s="15"/>
      <c r="AT159" s="15"/>
      <c r="AU159" s="173">
        <f t="array" ref="AU159">AR159</f>
        <v>844872.87219214696</v>
      </c>
      <c r="AW159" s="15"/>
      <c r="AX159" s="15"/>
      <c r="AY159" s="7"/>
      <c r="AZ159" s="15"/>
      <c r="BA159" s="15"/>
      <c r="BB159" s="85"/>
      <c r="BC159" s="85"/>
      <c r="BD159" s="85"/>
      <c r="BE159" s="99">
        <f t="shared" si="2"/>
        <v>5483174.5898893559</v>
      </c>
      <c r="BF159" s="99" t="e">
        <f t="array" ref="BF159">#REF!</f>
        <v>#REF!</v>
      </c>
      <c r="BG159" s="101"/>
      <c r="BH159" s="101"/>
      <c r="BI159" s="101"/>
      <c r="BJ159" s="101"/>
      <c r="BK159" s="101"/>
      <c r="BL159" s="101"/>
      <c r="BM159" s="101"/>
    </row>
    <row r="160" spans="1:66" ht="14.25" customHeight="1" outlineLevel="3" x14ac:dyDescent="0.25">
      <c r="C160" s="2" t="s">
        <v>84</v>
      </c>
      <c r="D160" s="2" t="s">
        <v>85</v>
      </c>
      <c r="E160" s="2" t="s">
        <v>74</v>
      </c>
      <c r="F160" s="2" t="s">
        <v>75</v>
      </c>
      <c r="G160" s="2" t="s">
        <v>195</v>
      </c>
      <c r="H160" s="2" t="s">
        <v>74</v>
      </c>
      <c r="I160" s="2" t="s">
        <v>74</v>
      </c>
      <c r="K160" s="5" t="s">
        <v>74</v>
      </c>
      <c r="L160" s="2" t="s">
        <v>196</v>
      </c>
      <c r="M160" s="8" t="str">
        <f t="array" ref="M160">Y107</f>
        <v>1ХВС::1.1</v>
      </c>
      <c r="AA160" s="107" t="str">
        <f>AA158&amp;".1"</f>
        <v>3.1.1.1</v>
      </c>
      <c r="AB160" s="196" t="s">
        <v>197</v>
      </c>
      <c r="AC160" s="197" t="s">
        <v>114</v>
      </c>
      <c r="AD160" s="173">
        <v>445723.33652988757</v>
      </c>
      <c r="AE160" s="173">
        <v>471815.09423326614</v>
      </c>
      <c r="AF160" s="173">
        <v>544265.56801700348</v>
      </c>
      <c r="AG160" s="174"/>
      <c r="AH160" s="174"/>
      <c r="AI160" s="173">
        <f>AI161+AI165+AI166+AI172+AI173+AI181</f>
        <v>544265.56801700348</v>
      </c>
      <c r="AJ160" s="174"/>
      <c r="AK160" s="174"/>
      <c r="AL160" s="174"/>
      <c r="AM160" s="174"/>
      <c r="AN160" s="173" t="e">
        <f>AN161+AN165+AN166+AN172+AN173+AN181</f>
        <v>#REF!</v>
      </c>
      <c r="AO160" s="173">
        <v>551693.74767181999</v>
      </c>
      <c r="AP160" s="174"/>
      <c r="AQ160" s="174"/>
      <c r="AR160" s="173">
        <f>AR161+AR165+AR166+AR172+AR173+AR181</f>
        <v>551693.74767181999</v>
      </c>
      <c r="AS160" s="174"/>
      <c r="AT160" s="174"/>
      <c r="AU160" s="173" t="e">
        <f>AU161+AU165+AU166+AU172+AU173+AU181</f>
        <v>#REF!</v>
      </c>
      <c r="AV160" s="173">
        <v>569116.23622329673</v>
      </c>
      <c r="AW160" s="174"/>
      <c r="AX160" s="174"/>
      <c r="AY160" s="173">
        <f>AY161+AY165+AY166+AY172+AY173+AY181</f>
        <v>569116.23622329673</v>
      </c>
      <c r="AZ160" s="174"/>
      <c r="BA160" s="174"/>
      <c r="BB160" s="85"/>
      <c r="BC160" s="85"/>
      <c r="BD160" s="85"/>
      <c r="BE160" s="99" t="e">
        <f t="shared" si="2"/>
        <v>#REF!</v>
      </c>
      <c r="BF160" s="100" t="e">
        <f>BF161+BF165+BF166+BF172+BF173+BF181</f>
        <v>#REF!</v>
      </c>
      <c r="BG160" s="101"/>
      <c r="BH160" s="101"/>
      <c r="BI160" s="101"/>
      <c r="BJ160" s="101"/>
      <c r="BK160" s="101"/>
      <c r="BL160" s="101"/>
      <c r="BM160" s="101"/>
    </row>
    <row r="161" spans="1:65" ht="14.25" customHeight="1" outlineLevel="4" x14ac:dyDescent="0.25">
      <c r="C161" s="2" t="s">
        <v>84</v>
      </c>
      <c r="D161" s="2" t="s">
        <v>85</v>
      </c>
      <c r="E161" s="2" t="s">
        <v>74</v>
      </c>
      <c r="F161" s="2" t="s">
        <v>75</v>
      </c>
      <c r="G161" s="2" t="s">
        <v>198</v>
      </c>
      <c r="H161" s="2" t="s">
        <v>74</v>
      </c>
      <c r="I161" s="2" t="s">
        <v>74</v>
      </c>
      <c r="K161" s="5" t="s">
        <v>74</v>
      </c>
      <c r="L161" s="2" t="s">
        <v>196</v>
      </c>
      <c r="M161" s="8" t="str">
        <f t="array" ref="M161">Y107</f>
        <v>1ХВС::1.1</v>
      </c>
      <c r="AA161" s="107" t="str">
        <f>AA160&amp;".1"</f>
        <v>3.1.1.1.1</v>
      </c>
      <c r="AB161" s="198" t="s">
        <v>199</v>
      </c>
      <c r="AC161" s="197" t="s">
        <v>114</v>
      </c>
      <c r="AD161" s="173">
        <v>148191.01375861123</v>
      </c>
      <c r="AE161" s="173">
        <v>156865.82099421701</v>
      </c>
      <c r="AF161" s="173">
        <v>180953.65368633359</v>
      </c>
      <c r="AG161" s="174"/>
      <c r="AH161" s="174"/>
      <c r="AI161" s="173">
        <f>AI162+AI163+AI164</f>
        <v>180953.65368633359</v>
      </c>
      <c r="AJ161" s="174"/>
      <c r="AK161" s="174"/>
      <c r="AL161" s="174"/>
      <c r="AM161" s="174"/>
      <c r="AN161" s="173" t="e">
        <f>AN162+AN163+AN164</f>
        <v>#REF!</v>
      </c>
      <c r="AO161" s="173">
        <v>18382.444349400001</v>
      </c>
      <c r="AP161" s="174"/>
      <c r="AQ161" s="174"/>
      <c r="AR161" s="173">
        <f>AR162+AR163+AR164</f>
        <v>18382.444349400001</v>
      </c>
      <c r="AS161" s="174"/>
      <c r="AT161" s="174"/>
      <c r="AU161" s="173" t="e">
        <f>AU162+AU163+AU164</f>
        <v>#REF!</v>
      </c>
      <c r="AV161" s="173">
        <v>18962.961941953999</v>
      </c>
      <c r="AW161" s="174"/>
      <c r="AX161" s="174"/>
      <c r="AY161" s="173">
        <f>AY162+AY163+AY164</f>
        <v>18962.961941953999</v>
      </c>
      <c r="AZ161" s="174"/>
      <c r="BA161" s="174"/>
      <c r="BB161" s="85"/>
      <c r="BC161" s="85"/>
      <c r="BD161" s="85"/>
      <c r="BE161" s="99" t="e">
        <f t="shared" si="2"/>
        <v>#REF!</v>
      </c>
      <c r="BF161" s="100" t="e">
        <f>BF162+BF163+BF164</f>
        <v>#REF!</v>
      </c>
      <c r="BG161" s="101"/>
      <c r="BH161" s="101"/>
      <c r="BI161" s="101"/>
      <c r="BJ161" s="101"/>
      <c r="BK161" s="101"/>
      <c r="BL161" s="101"/>
      <c r="BM161" s="101"/>
    </row>
    <row r="162" spans="1:65" ht="14.25" customHeight="1" outlineLevel="4" x14ac:dyDescent="0.25">
      <c r="C162" s="2" t="s">
        <v>84</v>
      </c>
      <c r="D162" s="2" t="s">
        <v>85</v>
      </c>
      <c r="E162" s="2" t="s">
        <v>74</v>
      </c>
      <c r="F162" s="2" t="s">
        <v>75</v>
      </c>
      <c r="G162" s="2" t="s">
        <v>200</v>
      </c>
      <c r="H162" s="2" t="s">
        <v>74</v>
      </c>
      <c r="I162" s="2" t="s">
        <v>74</v>
      </c>
      <c r="K162" s="5" t="s">
        <v>74</v>
      </c>
      <c r="L162" s="2" t="s">
        <v>196</v>
      </c>
      <c r="M162" s="8" t="str">
        <f t="array" ref="M162">Y107</f>
        <v>1ХВС::1.1</v>
      </c>
      <c r="AA162" s="107" t="str">
        <f>AA161&amp;".1"</f>
        <v>3.1.1.1.1.1</v>
      </c>
      <c r="AB162" s="199" t="s">
        <v>200</v>
      </c>
      <c r="AC162" s="197" t="s">
        <v>114</v>
      </c>
      <c r="AD162" s="200">
        <v>133458.885031821</v>
      </c>
      <c r="AE162" s="200">
        <v>141271.30274977899</v>
      </c>
      <c r="AF162" s="201">
        <v>162964.48921491401</v>
      </c>
      <c r="AG162" s="202"/>
      <c r="AH162" s="202"/>
      <c r="AI162" s="200">
        <v>162964.48921491401</v>
      </c>
      <c r="AJ162" s="202"/>
      <c r="AK162" s="202"/>
      <c r="AL162" s="202"/>
      <c r="AM162" s="202"/>
      <c r="AN162" s="203">
        <f>IF(AN87,IF($AN$81="Методика",AI162/AI$158*AN$159,'[2]СиМ (детально)'!AK94-AN272),0)</f>
        <v>125124.46515755507</v>
      </c>
      <c r="AO162" s="173">
        <v>0</v>
      </c>
      <c r="AP162" s="202"/>
      <c r="AQ162" s="202"/>
      <c r="AR162" s="173">
        <f>0</f>
        <v>0</v>
      </c>
      <c r="AS162" s="202"/>
      <c r="AT162" s="202"/>
      <c r="AU162" s="203">
        <f>IF(AU87,'[2]СиМ (детально)'!AP94-AU272,0)</f>
        <v>0</v>
      </c>
      <c r="AV162" s="195">
        <v>0</v>
      </c>
      <c r="AW162" s="202"/>
      <c r="AX162" s="202"/>
      <c r="AY162" s="136">
        <f>IF(AY$88,AR162*AY$112,SUMIF('[2]СиМ (детально)'!$AG$95:$AG$228,'[2]СиМ (детально)'!$AG$94,'[2]СиМ (детально)'!AR95:AR228))</f>
        <v>0</v>
      </c>
      <c r="AZ162" s="202"/>
      <c r="BA162" s="202"/>
      <c r="BB162" s="85"/>
      <c r="BC162" s="85"/>
      <c r="BD162" s="85"/>
      <c r="BE162" s="99">
        <f t="shared" si="2"/>
        <v>725783.63136898307</v>
      </c>
      <c r="BF162" s="99" t="e">
        <f t="array" ref="BF162">#REF!</f>
        <v>#REF!</v>
      </c>
      <c r="BG162" s="101"/>
      <c r="BH162" s="101"/>
      <c r="BI162" s="101"/>
      <c r="BJ162" s="101"/>
      <c r="BK162" s="101"/>
      <c r="BL162" s="101"/>
      <c r="BM162" s="101"/>
    </row>
    <row r="163" spans="1:65" ht="14.25" customHeight="1" outlineLevel="4" x14ac:dyDescent="0.25">
      <c r="C163" s="2" t="s">
        <v>84</v>
      </c>
      <c r="D163" s="2" t="s">
        <v>85</v>
      </c>
      <c r="E163" s="2" t="s">
        <v>74</v>
      </c>
      <c r="F163" s="2" t="s">
        <v>75</v>
      </c>
      <c r="G163" s="2" t="s">
        <v>201</v>
      </c>
      <c r="H163" s="2" t="s">
        <v>74</v>
      </c>
      <c r="I163" s="2" t="s">
        <v>74</v>
      </c>
      <c r="K163" s="5" t="s">
        <v>74</v>
      </c>
      <c r="L163" s="2" t="s">
        <v>196</v>
      </c>
      <c r="M163" s="8" t="str">
        <f t="array" ref="M163">Y107</f>
        <v>1ХВС::1.1</v>
      </c>
      <c r="AA163" s="107" t="str">
        <f>AA161&amp;".2"</f>
        <v>3.1.1.1.1.2</v>
      </c>
      <c r="AB163" s="199" t="s">
        <v>201</v>
      </c>
      <c r="AC163" s="197" t="s">
        <v>114</v>
      </c>
      <c r="AD163" s="136">
        <v>9179.3192421154999</v>
      </c>
      <c r="AE163" s="136">
        <v>9716.6583354908998</v>
      </c>
      <c r="AF163" s="195">
        <v>11208.718484912401</v>
      </c>
      <c r="AG163" s="202"/>
      <c r="AH163" s="202"/>
      <c r="AI163" s="136">
        <v>11208.718484912401</v>
      </c>
      <c r="AJ163" s="202"/>
      <c r="AK163" s="202"/>
      <c r="AL163" s="202"/>
      <c r="AM163" s="202"/>
      <c r="AN163" s="204" t="e">
        <f t="array" ref="AN163">IF('ВС 2021-2025'!$AN$81="Методика",IF('ВС 2021-2025'!AI$158=0,0,'ВС 2021-2025'!AI163/'ВС 2021-2025'!AI$158*'ВС 2021-2025'!AN$159),'ВС 2021-2025'!#REF!)</f>
        <v>#REF!</v>
      </c>
      <c r="AO163" s="195">
        <v>7819.4923494000004</v>
      </c>
      <c r="AP163" s="202"/>
      <c r="AQ163" s="202"/>
      <c r="AR163" s="136">
        <v>7819.4923494000004</v>
      </c>
      <c r="AS163" s="202"/>
      <c r="AT163" s="202"/>
      <c r="AU163" s="204" t="e">
        <f t="array" ref="AU163">'ВС 2021-2025'!#REF!</f>
        <v>#REF!</v>
      </c>
      <c r="AV163" s="195">
        <v>8066.4319177939997</v>
      </c>
      <c r="AW163" s="202"/>
      <c r="AX163" s="202"/>
      <c r="AY163" s="136">
        <v>8066.4319177939997</v>
      </c>
      <c r="AZ163" s="202"/>
      <c r="BA163" s="202"/>
      <c r="BB163" s="85"/>
      <c r="BC163" s="85"/>
      <c r="BD163" s="85"/>
      <c r="BE163" s="99" t="e">
        <f t="shared" si="2"/>
        <v>#REF!</v>
      </c>
      <c r="BF163" s="99" t="e">
        <f t="array" ref="BF163">#REF!</f>
        <v>#REF!</v>
      </c>
      <c r="BG163" s="101"/>
      <c r="BH163" s="101"/>
      <c r="BI163" s="101"/>
      <c r="BJ163" s="101"/>
      <c r="BK163" s="101"/>
      <c r="BL163" s="101"/>
      <c r="BM163" s="101"/>
    </row>
    <row r="164" spans="1:65" ht="46.9" customHeight="1" outlineLevel="4" x14ac:dyDescent="0.25">
      <c r="C164" s="2" t="s">
        <v>84</v>
      </c>
      <c r="D164" s="2" t="s">
        <v>85</v>
      </c>
      <c r="E164" s="2" t="s">
        <v>74</v>
      </c>
      <c r="F164" s="2" t="s">
        <v>75</v>
      </c>
      <c r="G164" s="2" t="s">
        <v>202</v>
      </c>
      <c r="H164" s="2" t="s">
        <v>74</v>
      </c>
      <c r="I164" s="2" t="s">
        <v>74</v>
      </c>
      <c r="K164" s="5" t="s">
        <v>74</v>
      </c>
      <c r="L164" s="2" t="s">
        <v>196</v>
      </c>
      <c r="M164" s="8" t="str">
        <f t="array" ref="M164">Y107</f>
        <v>1ХВС::1.1</v>
      </c>
      <c r="AA164" s="107" t="str">
        <f>AA161&amp;".3"</f>
        <v>3.1.1.1.1.3</v>
      </c>
      <c r="AB164" s="199" t="s">
        <v>202</v>
      </c>
      <c r="AC164" s="197" t="s">
        <v>114</v>
      </c>
      <c r="AD164" s="136">
        <v>5552.8094846746999</v>
      </c>
      <c r="AE164" s="136">
        <v>5877.8599089470999</v>
      </c>
      <c r="AF164" s="195">
        <v>6780.4459865072004</v>
      </c>
      <c r="AG164" s="202"/>
      <c r="AH164" s="202"/>
      <c r="AI164" s="136">
        <v>6780.4459865072004</v>
      </c>
      <c r="AJ164" s="202"/>
      <c r="AK164" s="202"/>
      <c r="AL164" s="202"/>
      <c r="AM164" s="202"/>
      <c r="AN164" s="204" t="e">
        <f t="array" ref="AN164">IF('ВС 2021-2025'!$AN$81="Методика",IF('ВС 2021-2025'!AI$158=0,0,'ВС 2021-2025'!AI164/'ВС 2021-2025'!AI$158*'ВС 2021-2025'!AN$159),'ВС 2021-2025'!#REF!)</f>
        <v>#REF!</v>
      </c>
      <c r="AO164" s="195">
        <v>10562.951999999999</v>
      </c>
      <c r="AP164" s="202"/>
      <c r="AQ164" s="202"/>
      <c r="AR164" s="136">
        <v>10562.951999999999</v>
      </c>
      <c r="AS164" s="202"/>
      <c r="AT164" s="202"/>
      <c r="AU164" s="204" t="e">
        <f t="array" ref="AU164">'ВС 2021-2025'!#REF!</f>
        <v>#REF!</v>
      </c>
      <c r="AV164" s="195">
        <v>10896.53002416</v>
      </c>
      <c r="AW164" s="202"/>
      <c r="AX164" s="202"/>
      <c r="AY164" s="136">
        <v>10896.53002416</v>
      </c>
      <c r="AZ164" s="202"/>
      <c r="BA164" s="202"/>
      <c r="BB164" s="85"/>
      <c r="BC164" s="85"/>
      <c r="BD164" s="85"/>
      <c r="BE164" s="99" t="e">
        <f t="shared" si="2"/>
        <v>#REF!</v>
      </c>
      <c r="BF164" s="99" t="e">
        <f t="array" ref="BF164">#REF!</f>
        <v>#REF!</v>
      </c>
      <c r="BG164" s="101"/>
      <c r="BH164" s="101"/>
      <c r="BI164" s="101"/>
      <c r="BJ164" s="101"/>
      <c r="BK164" s="101"/>
      <c r="BL164" s="101"/>
      <c r="BM164" s="101"/>
    </row>
    <row r="165" spans="1:65" ht="22.5" customHeight="1" outlineLevel="4" x14ac:dyDescent="0.25">
      <c r="C165" s="2" t="s">
        <v>84</v>
      </c>
      <c r="D165" s="2" t="s">
        <v>85</v>
      </c>
      <c r="E165" s="2" t="s">
        <v>74</v>
      </c>
      <c r="F165" s="2" t="s">
        <v>75</v>
      </c>
      <c r="G165" s="2" t="s">
        <v>203</v>
      </c>
      <c r="H165" s="2" t="s">
        <v>74</v>
      </c>
      <c r="I165" s="2" t="s">
        <v>74</v>
      </c>
      <c r="K165" s="5" t="s">
        <v>74</v>
      </c>
      <c r="L165" s="2" t="s">
        <v>196</v>
      </c>
      <c r="M165" s="8" t="str">
        <f t="array" ref="M165">Y107</f>
        <v>1ХВС::1.1</v>
      </c>
      <c r="AA165" s="107" t="str">
        <f>AA160&amp;".2"</f>
        <v>3.1.1.1.2</v>
      </c>
      <c r="AB165" s="198" t="s">
        <v>204</v>
      </c>
      <c r="AC165" s="197" t="s">
        <v>114</v>
      </c>
      <c r="AD165" s="136"/>
      <c r="AE165" s="136"/>
      <c r="AF165" s="195"/>
      <c r="AG165" s="202"/>
      <c r="AH165" s="202"/>
      <c r="AI165" s="136">
        <f t="array" ref="AI165">'ВС 2021-2025'!$AF$165</f>
        <v>0</v>
      </c>
      <c r="AJ165" s="202"/>
      <c r="AK165" s="202"/>
      <c r="AL165" s="202"/>
      <c r="AM165" s="202"/>
      <c r="AN165" s="136" t="e">
        <f t="array" ref="AN165">IF('ВС 2021-2025'!$AN$81="Методика",IF('ВС 2021-2025'!AI$158=0,0,'ВС 2021-2025'!AI165/'ВС 2021-2025'!AI$158*'ВС 2021-2025'!AN$159),#REF!)</f>
        <v>#REF!</v>
      </c>
      <c r="AO165" s="195"/>
      <c r="AP165" s="202"/>
      <c r="AQ165" s="202"/>
      <c r="AR165" s="136">
        <f t="array" ref="AR165">'ВС 2021-2025'!$AO$165</f>
        <v>0</v>
      </c>
      <c r="AS165" s="202"/>
      <c r="AT165" s="202"/>
      <c r="AU165" s="136" t="e">
        <f t="array" ref="AU165">#REF!</f>
        <v>#REF!</v>
      </c>
      <c r="AV165" s="195">
        <v>0</v>
      </c>
      <c r="AW165" s="202"/>
      <c r="AX165" s="202"/>
      <c r="AY165" s="136">
        <f>IF(AY$88,AR165*AY$112,AV165*1)</f>
        <v>0</v>
      </c>
      <c r="AZ165" s="202"/>
      <c r="BA165" s="202"/>
      <c r="BB165" s="85"/>
      <c r="BC165" s="85"/>
      <c r="BD165" s="85"/>
      <c r="BE165" s="99" t="e">
        <f t="shared" si="2"/>
        <v>#REF!</v>
      </c>
      <c r="BF165" s="99" t="e">
        <f t="array" ref="BF165">#REF!</f>
        <v>#REF!</v>
      </c>
      <c r="BG165" s="101"/>
      <c r="BH165" s="101"/>
      <c r="BI165" s="101"/>
      <c r="BJ165" s="101"/>
      <c r="BK165" s="101"/>
      <c r="BL165" s="101"/>
      <c r="BM165" s="101"/>
    </row>
    <row r="166" spans="1:65" ht="30" customHeight="1" outlineLevel="4" x14ac:dyDescent="0.25">
      <c r="C166" s="2" t="s">
        <v>84</v>
      </c>
      <c r="D166" s="2" t="s">
        <v>85</v>
      </c>
      <c r="E166" s="2" t="s">
        <v>74</v>
      </c>
      <c r="F166" s="2" t="s">
        <v>75</v>
      </c>
      <c r="G166" s="2" t="s">
        <v>205</v>
      </c>
      <c r="H166" s="2" t="s">
        <v>206</v>
      </c>
      <c r="I166" s="2" t="s">
        <v>74</v>
      </c>
      <c r="K166" s="5" t="s">
        <v>74</v>
      </c>
      <c r="L166" s="2" t="s">
        <v>196</v>
      </c>
      <c r="M166" s="8" t="str">
        <f t="array" ref="M166">Y107</f>
        <v>1ХВС::1.1</v>
      </c>
      <c r="AA166" s="107" t="str">
        <f>AA160&amp;".3"</f>
        <v>3.1.1.1.3</v>
      </c>
      <c r="AB166" s="198" t="s">
        <v>207</v>
      </c>
      <c r="AC166" s="197" t="s">
        <v>114</v>
      </c>
      <c r="AD166" s="173">
        <v>245215.9360200855</v>
      </c>
      <c r="AE166" s="173">
        <v>259570.38924987329</v>
      </c>
      <c r="AF166" s="173">
        <v>299429.21935352508</v>
      </c>
      <c r="AG166" s="174"/>
      <c r="AH166" s="174"/>
      <c r="AI166" s="173">
        <f>AI167+AI170</f>
        <v>299429.21935352508</v>
      </c>
      <c r="AJ166" s="174"/>
      <c r="AK166" s="174"/>
      <c r="AL166" s="174"/>
      <c r="AM166" s="174"/>
      <c r="AN166" s="173" t="e">
        <f>AN167+AN170</f>
        <v>#REF!</v>
      </c>
      <c r="AO166" s="173">
        <v>476495.34994731599</v>
      </c>
      <c r="AP166" s="174"/>
      <c r="AQ166" s="174"/>
      <c r="AR166" s="173">
        <f>AR167+AR170</f>
        <v>476495.34994731599</v>
      </c>
      <c r="AS166" s="174"/>
      <c r="AT166" s="174"/>
      <c r="AU166" s="173" t="e">
        <f>AU167+AU170</f>
        <v>#REF!</v>
      </c>
      <c r="AV166" s="173">
        <v>491543.073098653</v>
      </c>
      <c r="AW166" s="174"/>
      <c r="AX166" s="174"/>
      <c r="AY166" s="173">
        <f>AY167+AY170</f>
        <v>491543.073098653</v>
      </c>
      <c r="AZ166" s="174"/>
      <c r="BA166" s="174"/>
      <c r="BB166" s="85"/>
      <c r="BC166" s="85"/>
      <c r="BD166" s="85"/>
      <c r="BE166" s="99" t="e">
        <f t="shared" si="2"/>
        <v>#REF!</v>
      </c>
      <c r="BF166" s="100" t="e">
        <f>BF167+BF170</f>
        <v>#REF!</v>
      </c>
      <c r="BG166" s="101"/>
      <c r="BH166" s="101"/>
      <c r="BI166" s="101"/>
      <c r="BJ166" s="101"/>
      <c r="BK166" s="101"/>
      <c r="BL166" s="101"/>
      <c r="BM166" s="101"/>
    </row>
    <row r="167" spans="1:65" ht="14.25" customHeight="1" outlineLevel="4" x14ac:dyDescent="0.25">
      <c r="C167" s="2" t="s">
        <v>84</v>
      </c>
      <c r="D167" s="2" t="s">
        <v>85</v>
      </c>
      <c r="E167" s="2" t="s">
        <v>74</v>
      </c>
      <c r="F167" s="2" t="s">
        <v>75</v>
      </c>
      <c r="G167" s="2" t="s">
        <v>208</v>
      </c>
      <c r="H167" s="2" t="s">
        <v>206</v>
      </c>
      <c r="I167" s="2" t="s">
        <v>74</v>
      </c>
      <c r="K167" s="5" t="s">
        <v>74</v>
      </c>
      <c r="L167" s="2" t="s">
        <v>196</v>
      </c>
      <c r="M167" s="8" t="str">
        <f t="array" ref="M167">Y107</f>
        <v>1ХВС::1.1</v>
      </c>
      <c r="AA167" s="107" t="str">
        <f>AA166&amp;".1"</f>
        <v>3.1.1.1.3.1</v>
      </c>
      <c r="AB167" s="199" t="s">
        <v>209</v>
      </c>
      <c r="AC167" s="197" t="s">
        <v>114</v>
      </c>
      <c r="AD167" s="136">
        <v>188337.894130378</v>
      </c>
      <c r="AE167" s="136">
        <v>199362.81990220799</v>
      </c>
      <c r="AF167" s="195">
        <v>229976.360955296</v>
      </c>
      <c r="AG167" s="202"/>
      <c r="AH167" s="202"/>
      <c r="AI167" s="136">
        <v>229976.360955296</v>
      </c>
      <c r="AJ167" s="202"/>
      <c r="AK167" s="202"/>
      <c r="AL167" s="202"/>
      <c r="AM167" s="202"/>
      <c r="AN167" s="204" t="e">
        <f t="array" ref="AN167">IF('ВС 2021-2025'!$AN$81="Методика",IF('ВС 2021-2025'!AI$158=0,0,'ВС 2021-2025'!AI167/'ВС 2021-2025'!AI$158*'ВС 2021-2025'!AN$159),'ВС 2021-2025'!#REF!)</f>
        <v>#REF!</v>
      </c>
      <c r="AO167" s="195">
        <v>365971.850958</v>
      </c>
      <c r="AP167" s="202"/>
      <c r="AQ167" s="202"/>
      <c r="AR167" s="136">
        <v>365971.850958</v>
      </c>
      <c r="AS167" s="202"/>
      <c r="AT167" s="202"/>
      <c r="AU167" s="204" t="e">
        <f t="array" ref="AU167">'ВС 2021-2025'!#REF!</f>
        <v>#REF!</v>
      </c>
      <c r="AV167" s="195">
        <v>377529.24201125401</v>
      </c>
      <c r="AW167" s="202"/>
      <c r="AX167" s="202"/>
      <c r="AY167" s="136">
        <v>377529.24201125401</v>
      </c>
      <c r="AZ167" s="202"/>
      <c r="BA167" s="202"/>
      <c r="BB167" s="85"/>
      <c r="BC167" s="85"/>
      <c r="BD167" s="85"/>
      <c r="BE167" s="99" t="e">
        <f t="shared" si="2"/>
        <v>#REF!</v>
      </c>
      <c r="BF167" s="99" t="e">
        <f t="array" ref="BF167">#REF!</f>
        <v>#REF!</v>
      </c>
      <c r="BG167" s="101"/>
      <c r="BH167" s="101"/>
      <c r="BI167" s="101"/>
      <c r="BJ167" s="101"/>
      <c r="BK167" s="101"/>
      <c r="BL167" s="101"/>
      <c r="BM167" s="101"/>
    </row>
    <row r="168" spans="1:65" ht="14.25" customHeight="1" outlineLevel="4" x14ac:dyDescent="0.25">
      <c r="C168" s="2" t="s">
        <v>210</v>
      </c>
      <c r="D168" s="2" t="s">
        <v>211</v>
      </c>
      <c r="E168" s="2" t="s">
        <v>74</v>
      </c>
      <c r="F168" s="2" t="s">
        <v>75</v>
      </c>
      <c r="G168" s="2" t="s">
        <v>74</v>
      </c>
      <c r="H168" s="2" t="s">
        <v>206</v>
      </c>
      <c r="I168" s="2" t="s">
        <v>74</v>
      </c>
      <c r="K168" s="5" t="s">
        <v>74</v>
      </c>
      <c r="L168" s="2" t="s">
        <v>196</v>
      </c>
      <c r="M168" s="8" t="str">
        <f t="array" ref="M168">Y107</f>
        <v>1ХВС::1.1</v>
      </c>
      <c r="AA168" s="107" t="str">
        <f>AA167&amp;".1"</f>
        <v>3.1.1.1.3.1.1</v>
      </c>
      <c r="AB168" s="205" t="s">
        <v>212</v>
      </c>
      <c r="AC168" s="197" t="s">
        <v>213</v>
      </c>
      <c r="AD168" s="173">
        <v>30211.404255755213</v>
      </c>
      <c r="AE168" s="173">
        <v>31979.919778987489</v>
      </c>
      <c r="AF168" s="173">
        <v>36890.65783690985</v>
      </c>
      <c r="AG168" s="174"/>
      <c r="AH168" s="174"/>
      <c r="AI168" s="173">
        <f>IF(AI169=0,0,AI167*1000/AI$89/AI169)</f>
        <v>36890.65783690985</v>
      </c>
      <c r="AJ168" s="174"/>
      <c r="AK168" s="174"/>
      <c r="AL168" s="174"/>
      <c r="AM168" s="174"/>
      <c r="AN168" s="173" t="e">
        <f>IF(AN169=0,0,AN167*1000/AN$89/AN169)</f>
        <v>#REF!</v>
      </c>
      <c r="AO168" s="173">
        <v>48870.530000000006</v>
      </c>
      <c r="AP168" s="174"/>
      <c r="AQ168" s="174"/>
      <c r="AR168" s="173">
        <f>IF(AR169=0,0,AR167*1000/AR$89/AR169)</f>
        <v>48870.530000000006</v>
      </c>
      <c r="AS168" s="174"/>
      <c r="AT168" s="174"/>
      <c r="AU168" s="173" t="e">
        <f>IF(AU169=0,0,AU167*1000/AU$89/AU169)</f>
        <v>#REF!</v>
      </c>
      <c r="AV168" s="173">
        <v>50923.092260000056</v>
      </c>
      <c r="AW168" s="174"/>
      <c r="AX168" s="174"/>
      <c r="AY168" s="173" t="e">
        <f>IF(AY169=0,0,AY167*1000/AY$89/AY169)</f>
        <v>#REF!</v>
      </c>
      <c r="AZ168" s="174"/>
      <c r="BA168" s="174"/>
      <c r="BB168" s="85"/>
      <c r="BC168" s="85"/>
      <c r="BD168" s="85"/>
      <c r="BE168" s="99" t="e">
        <f t="shared" si="2"/>
        <v>#REF!</v>
      </c>
      <c r="BF168" s="100" t="e">
        <f>IF(BF169=0,0,BF167*1000/BF$89/BF169)</f>
        <v>#REF!</v>
      </c>
      <c r="BG168" s="101"/>
      <c r="BH168" s="101"/>
      <c r="BI168" s="101"/>
      <c r="BJ168" s="101"/>
      <c r="BK168" s="101"/>
      <c r="BL168" s="101"/>
      <c r="BM168" s="101"/>
    </row>
    <row r="169" spans="1:65" ht="14.25" customHeight="1" outlineLevel="4" x14ac:dyDescent="0.25">
      <c r="C169" s="2" t="s">
        <v>214</v>
      </c>
      <c r="D169" s="2" t="s">
        <v>215</v>
      </c>
      <c r="E169" s="2" t="s">
        <v>74</v>
      </c>
      <c r="F169" s="2" t="s">
        <v>75</v>
      </c>
      <c r="G169" s="2" t="s">
        <v>74</v>
      </c>
      <c r="H169" s="2" t="s">
        <v>206</v>
      </c>
      <c r="I169" s="2" t="s">
        <v>74</v>
      </c>
      <c r="K169" s="5" t="s">
        <v>74</v>
      </c>
      <c r="L169" s="2" t="s">
        <v>196</v>
      </c>
      <c r="M169" s="8" t="str">
        <f t="array" ref="M169">Y107</f>
        <v>1ХВС::1.1</v>
      </c>
      <c r="AA169" s="107" t="str">
        <f>AA167&amp;".2"</f>
        <v>3.1.1.1.3.1.2</v>
      </c>
      <c r="AB169" s="205" t="s">
        <v>216</v>
      </c>
      <c r="AC169" s="197" t="s">
        <v>217</v>
      </c>
      <c r="AD169" s="136">
        <v>519.5</v>
      </c>
      <c r="AE169" s="136">
        <v>519.5</v>
      </c>
      <c r="AF169" s="195">
        <v>519.5</v>
      </c>
      <c r="AG169" s="202"/>
      <c r="AH169" s="202"/>
      <c r="AI169" s="136">
        <v>519.5</v>
      </c>
      <c r="AJ169" s="202"/>
      <c r="AK169" s="202"/>
      <c r="AL169" s="202"/>
      <c r="AM169" s="202"/>
      <c r="AN169" s="204" t="e">
        <f t="array" ref="AN169">IF('ВС 2021-2025'!$AN$81="Методика",'ВС 2021-2025'!AI169,'ВС 2021-2025'!#REF!)</f>
        <v>#REF!</v>
      </c>
      <c r="AO169" s="195">
        <v>624.04999999999995</v>
      </c>
      <c r="AP169" s="202"/>
      <c r="AQ169" s="202"/>
      <c r="AR169" s="136">
        <v>624.04999999999995</v>
      </c>
      <c r="AS169" s="202"/>
      <c r="AT169" s="202"/>
      <c r="AU169" s="204" t="e">
        <f t="array" ref="AU169">'ВС 2021-2025'!#REF!</f>
        <v>#REF!</v>
      </c>
      <c r="AV169" s="195">
        <v>617.80949999999996</v>
      </c>
      <c r="AW169" s="202"/>
      <c r="AX169" s="202"/>
      <c r="AY169" s="136">
        <v>617.80949999999996</v>
      </c>
      <c r="AZ169" s="202"/>
      <c r="BA169" s="202"/>
      <c r="BB169" s="85"/>
      <c r="BC169" s="85"/>
      <c r="BD169" s="85"/>
      <c r="BE169" s="99" t="e">
        <f t="shared" si="2"/>
        <v>#REF!</v>
      </c>
      <c r="BF169" s="99" t="e">
        <f t="array" ref="BF169">#REF!</f>
        <v>#REF!</v>
      </c>
      <c r="BG169" s="101"/>
      <c r="BH169" s="101"/>
      <c r="BI169" s="101"/>
      <c r="BJ169" s="101"/>
      <c r="BK169" s="101"/>
      <c r="BL169" s="101"/>
      <c r="BM169" s="101"/>
    </row>
    <row r="170" spans="1:65" ht="14.25" customHeight="1" outlineLevel="4" x14ac:dyDescent="0.25">
      <c r="C170" s="2" t="s">
        <v>84</v>
      </c>
      <c r="D170" s="2" t="s">
        <v>85</v>
      </c>
      <c r="E170" s="2" t="s">
        <v>74</v>
      </c>
      <c r="F170" s="2" t="s">
        <v>75</v>
      </c>
      <c r="G170" s="2" t="s">
        <v>218</v>
      </c>
      <c r="H170" s="2" t="s">
        <v>206</v>
      </c>
      <c r="I170" s="2" t="s">
        <v>74</v>
      </c>
      <c r="K170" s="5" t="s">
        <v>74</v>
      </c>
      <c r="L170" s="2" t="s">
        <v>196</v>
      </c>
      <c r="M170" s="8" t="str">
        <f t="array" ref="M170">Y107</f>
        <v>1ХВС::1.1</v>
      </c>
      <c r="AA170" s="107" t="str">
        <f>AA166&amp;".2"</f>
        <v>3.1.1.1.3.2</v>
      </c>
      <c r="AB170" s="199" t="s">
        <v>219</v>
      </c>
      <c r="AC170" s="197" t="s">
        <v>114</v>
      </c>
      <c r="AD170" s="136">
        <v>56878.0418897075</v>
      </c>
      <c r="AE170" s="136">
        <v>60207.569347665303</v>
      </c>
      <c r="AF170" s="195">
        <v>69452.858398229102</v>
      </c>
      <c r="AG170" s="202"/>
      <c r="AH170" s="202"/>
      <c r="AI170" s="136">
        <v>69452.858398229102</v>
      </c>
      <c r="AJ170" s="202"/>
      <c r="AK170" s="202"/>
      <c r="AL170" s="202"/>
      <c r="AM170" s="202"/>
      <c r="AN170" s="204" t="e">
        <f t="array" ref="AN170">IF('ВС 2021-2025'!$AN$81="Методика",IF('ВС 2021-2025'!AI$158=0,0,'ВС 2021-2025'!AI170/'ВС 2021-2025'!AI$158*'ВС 2021-2025'!AN$159),'ВС 2021-2025'!#REF!)</f>
        <v>#REF!</v>
      </c>
      <c r="AO170" s="195">
        <v>110523.49898931599</v>
      </c>
      <c r="AP170" s="202"/>
      <c r="AQ170" s="202"/>
      <c r="AR170" s="136">
        <v>110523.49898931599</v>
      </c>
      <c r="AS170" s="202"/>
      <c r="AT170" s="202"/>
      <c r="AU170" s="204" t="e">
        <f t="array" ref="AU170">'ВС 2021-2025'!#REF!</f>
        <v>#REF!</v>
      </c>
      <c r="AV170" s="195">
        <v>114013.831087399</v>
      </c>
      <c r="AW170" s="202"/>
      <c r="AX170" s="202"/>
      <c r="AY170" s="136">
        <v>114013.831087399</v>
      </c>
      <c r="AZ170" s="202"/>
      <c r="BA170" s="202"/>
      <c r="BB170" s="85"/>
      <c r="BC170" s="85"/>
      <c r="BD170" s="85"/>
      <c r="BE170" s="99" t="e">
        <f t="shared" si="2"/>
        <v>#REF!</v>
      </c>
      <c r="BF170" s="99" t="e">
        <f t="array" ref="BF170">#REF!</f>
        <v>#REF!</v>
      </c>
      <c r="BG170" s="101"/>
      <c r="BH170" s="101"/>
      <c r="BI170" s="101"/>
      <c r="BJ170" s="101"/>
      <c r="BK170" s="101"/>
      <c r="BL170" s="101"/>
      <c r="BM170" s="101"/>
    </row>
    <row r="171" spans="1:65" ht="14.25" customHeight="1" outlineLevel="4" x14ac:dyDescent="0.25">
      <c r="C171" s="2" t="s">
        <v>220</v>
      </c>
      <c r="D171" s="2" t="s">
        <v>221</v>
      </c>
      <c r="E171" s="2" t="s">
        <v>74</v>
      </c>
      <c r="F171" s="2" t="s">
        <v>75</v>
      </c>
      <c r="G171" s="2" t="s">
        <v>74</v>
      </c>
      <c r="H171" s="2" t="s">
        <v>206</v>
      </c>
      <c r="I171" s="2" t="s">
        <v>74</v>
      </c>
      <c r="K171" s="5" t="s">
        <v>74</v>
      </c>
      <c r="L171" s="2" t="s">
        <v>196</v>
      </c>
      <c r="M171" s="8" t="str">
        <f t="array" ref="M171">Y107</f>
        <v>1ХВС::1.1</v>
      </c>
      <c r="AA171" s="107" t="str">
        <f>AA170&amp;".1"</f>
        <v>3.1.1.1.3.2.1</v>
      </c>
      <c r="AB171" s="205" t="s">
        <v>222</v>
      </c>
      <c r="AC171" s="197" t="s">
        <v>122</v>
      </c>
      <c r="AD171" s="173">
        <v>30.199998864983247</v>
      </c>
      <c r="AE171" s="173">
        <v>30.199998864983197</v>
      </c>
      <c r="AF171" s="173">
        <v>30.199998864983218</v>
      </c>
      <c r="AG171" s="174"/>
      <c r="AH171" s="174"/>
      <c r="AI171" s="173">
        <f>IF(AI167=0,0,AI170/AI167*100)</f>
        <v>30.199998864983218</v>
      </c>
      <c r="AJ171" s="174"/>
      <c r="AK171" s="174"/>
      <c r="AL171" s="174"/>
      <c r="AM171" s="174"/>
      <c r="AN171" s="173" t="e">
        <f>IF(AN167=0,0,AN170/AN167*100)</f>
        <v>#REF!</v>
      </c>
      <c r="AO171" s="173">
        <v>30.2</v>
      </c>
      <c r="AP171" s="174"/>
      <c r="AQ171" s="174"/>
      <c r="AR171" s="173">
        <f>IF(AR167=0,0,AR170/AR167*100)</f>
        <v>30.2</v>
      </c>
      <c r="AS171" s="174"/>
      <c r="AT171" s="174"/>
      <c r="AU171" s="173" t="e">
        <f>IF(AU167=0,0,AU170/AU167*100)</f>
        <v>#REF!</v>
      </c>
      <c r="AV171" s="173">
        <v>30.200000000000077</v>
      </c>
      <c r="AW171" s="174"/>
      <c r="AX171" s="174"/>
      <c r="AY171" s="173">
        <f>IF(AY167=0,0,AY170/AY167*100)</f>
        <v>30.200000000000077</v>
      </c>
      <c r="AZ171" s="174"/>
      <c r="BA171" s="174"/>
      <c r="BB171" s="85"/>
      <c r="BC171" s="85"/>
      <c r="BD171" s="85"/>
      <c r="BE171" s="99" t="e">
        <f t="shared" si="2"/>
        <v>#REF!</v>
      </c>
      <c r="BF171" s="100" t="e">
        <f>IF(BF167=0,0,BF170/BF167*100)</f>
        <v>#REF!</v>
      </c>
      <c r="BG171" s="101"/>
      <c r="BH171" s="101"/>
      <c r="BI171" s="101"/>
      <c r="BJ171" s="101"/>
      <c r="BK171" s="101"/>
      <c r="BL171" s="101"/>
      <c r="BM171" s="101"/>
    </row>
    <row r="172" spans="1:65" ht="14.25" customHeight="1" outlineLevel="4" x14ac:dyDescent="0.25">
      <c r="C172" s="2" t="s">
        <v>84</v>
      </c>
      <c r="D172" s="2" t="s">
        <v>85</v>
      </c>
      <c r="E172" s="2" t="s">
        <v>74</v>
      </c>
      <c r="F172" s="2" t="s">
        <v>75</v>
      </c>
      <c r="G172" s="2" t="s">
        <v>223</v>
      </c>
      <c r="H172" s="2" t="s">
        <v>74</v>
      </c>
      <c r="I172" s="2" t="s">
        <v>74</v>
      </c>
      <c r="K172" s="5" t="s">
        <v>74</v>
      </c>
      <c r="L172" s="2" t="s">
        <v>196</v>
      </c>
      <c r="M172" s="8" t="str">
        <f t="array" ref="M172">Y107</f>
        <v>1ХВС::1.1</v>
      </c>
      <c r="AA172" s="107" t="str">
        <f>AA160&amp;".4"</f>
        <v>3.1.1.1.4</v>
      </c>
      <c r="AB172" s="198" t="s">
        <v>224</v>
      </c>
      <c r="AC172" s="197" t="s">
        <v>114</v>
      </c>
      <c r="AD172" s="136"/>
      <c r="AE172" s="136"/>
      <c r="AF172" s="195">
        <v>0</v>
      </c>
      <c r="AG172" s="202"/>
      <c r="AH172" s="202"/>
      <c r="AI172" s="136">
        <f t="array" ref="AI172">'ВС 2021-2025'!$AF$172</f>
        <v>0</v>
      </c>
      <c r="AJ172" s="202"/>
      <c r="AK172" s="202"/>
      <c r="AL172" s="202"/>
      <c r="AM172" s="202"/>
      <c r="AN172" s="136" t="e">
        <f t="array" ref="AN172">IF('ВС 2021-2025'!$AN$81="Методика",IF('ВС 2021-2025'!AI$158=0,0,'ВС 2021-2025'!AI172/'ВС 2021-2025'!AI$158*'ВС 2021-2025'!AN$159),#REF!)</f>
        <v>#REF!</v>
      </c>
      <c r="AO172" s="195"/>
      <c r="AP172" s="202"/>
      <c r="AQ172" s="202"/>
      <c r="AR172" s="136">
        <f t="array" ref="AR172">'ВС 2021-2025'!$AO$172</f>
        <v>0</v>
      </c>
      <c r="AS172" s="202"/>
      <c r="AT172" s="202"/>
      <c r="AU172" s="136" t="e">
        <f t="array" ref="AU172">#REF!</f>
        <v>#REF!</v>
      </c>
      <c r="AV172" s="195">
        <v>0</v>
      </c>
      <c r="AW172" s="202"/>
      <c r="AX172" s="202"/>
      <c r="AY172" s="136">
        <f>IF(AY$88,AR172*AY$112,AV172*1)</f>
        <v>0</v>
      </c>
      <c r="AZ172" s="202"/>
      <c r="BA172" s="202"/>
      <c r="BB172" s="85"/>
      <c r="BC172" s="85"/>
      <c r="BD172" s="85"/>
      <c r="BE172" s="99" t="e">
        <f t="shared" si="2"/>
        <v>#REF!</v>
      </c>
      <c r="BF172" s="99" t="e">
        <f t="array" ref="BF172">#REF!</f>
        <v>#REF!</v>
      </c>
      <c r="BG172" s="101"/>
      <c r="BH172" s="101"/>
      <c r="BI172" s="101"/>
      <c r="BJ172" s="101"/>
      <c r="BK172" s="101"/>
      <c r="BL172" s="101"/>
      <c r="BM172" s="101"/>
    </row>
    <row r="173" spans="1:65" ht="14.25" customHeight="1" outlineLevel="4" x14ac:dyDescent="0.25">
      <c r="C173" s="2" t="s">
        <v>84</v>
      </c>
      <c r="D173" s="2" t="s">
        <v>85</v>
      </c>
      <c r="E173" s="2" t="s">
        <v>74</v>
      </c>
      <c r="F173" s="2" t="s">
        <v>75</v>
      </c>
      <c r="G173" s="2" t="s">
        <v>225</v>
      </c>
      <c r="H173" s="2" t="s">
        <v>74</v>
      </c>
      <c r="I173" s="2" t="s">
        <v>74</v>
      </c>
      <c r="K173" s="5" t="s">
        <v>74</v>
      </c>
      <c r="L173" s="2" t="s">
        <v>196</v>
      </c>
      <c r="M173" s="8" t="str">
        <f t="array" ref="M173">Y107</f>
        <v>1ХВС::1.1</v>
      </c>
      <c r="AA173" s="206" t="str">
        <f>AA160&amp;".5"</f>
        <v>3.1.1.1.5</v>
      </c>
      <c r="AB173" s="198" t="s">
        <v>226</v>
      </c>
      <c r="AC173" s="197" t="s">
        <v>114</v>
      </c>
      <c r="AD173" s="136">
        <v>14259.243305607401</v>
      </c>
      <c r="AE173" s="136">
        <v>15093.951051133899</v>
      </c>
      <c r="AF173" s="195">
        <v>17411.7317204877</v>
      </c>
      <c r="AG173" s="202"/>
      <c r="AH173" s="202"/>
      <c r="AI173" s="136">
        <v>17411.7317204877</v>
      </c>
      <c r="AJ173" s="202"/>
      <c r="AK173" s="202"/>
      <c r="AL173" s="202"/>
      <c r="AM173" s="202"/>
      <c r="AN173" s="203">
        <f t="array" ref="AN173">IF('ВС 2021-2025'!$AN$81="Методика",IF('ВС 2021-2025'!AI$158=0,0,'ВС 2021-2025'!AI173/'ВС 2021-2025'!AI$158*'ВС 2021-2025'!AN$159),'[2]Счет 25'!BT173)</f>
        <v>0</v>
      </c>
      <c r="AO173" s="195"/>
      <c r="AP173" s="202"/>
      <c r="AQ173" s="202"/>
      <c r="AR173" s="136">
        <f t="array" ref="AR173">'ВС 2021-2025'!$AO$173</f>
        <v>0</v>
      </c>
      <c r="AS173" s="202"/>
      <c r="AT173" s="202"/>
      <c r="AU173" s="203">
        <f t="array" ref="AU173">'[2]Счет 25'!BY173</f>
        <v>0</v>
      </c>
      <c r="AV173" s="195">
        <v>0</v>
      </c>
      <c r="AW173" s="202"/>
      <c r="AX173" s="202"/>
      <c r="AY173" s="136">
        <f>IF(AY$88,AR173*AY$112,AV173*1)</f>
        <v>0</v>
      </c>
      <c r="AZ173" s="202"/>
      <c r="BA173" s="202"/>
      <c r="BB173" s="85"/>
      <c r="BC173" s="85"/>
      <c r="BD173" s="85"/>
      <c r="BE173" s="99">
        <f t="shared" si="2"/>
        <v>64176.657797716703</v>
      </c>
      <c r="BF173" s="99" t="e">
        <f t="array" ref="BF173">#REF!</f>
        <v>#REF!</v>
      </c>
      <c r="BG173" s="101"/>
      <c r="BH173" s="101"/>
      <c r="BI173" s="101"/>
      <c r="BJ173" s="101"/>
      <c r="BK173" s="101"/>
      <c r="BL173" s="101"/>
      <c r="BM173" s="101"/>
    </row>
    <row r="174" spans="1:65" ht="14.25" customHeight="1" outlineLevel="4" x14ac:dyDescent="0.25">
      <c r="A174" s="8" t="b">
        <f>'ВС 2021-2025'!$AC$55="нет"</f>
        <v>1</v>
      </c>
      <c r="C174" s="2" t="s">
        <v>84</v>
      </c>
      <c r="D174" s="2" t="s">
        <v>85</v>
      </c>
      <c r="E174" s="2" t="s">
        <v>74</v>
      </c>
      <c r="F174" s="2" t="s">
        <v>75</v>
      </c>
      <c r="G174" s="2" t="s">
        <v>205</v>
      </c>
      <c r="H174" s="2" t="s">
        <v>227</v>
      </c>
      <c r="I174" s="2" t="s">
        <v>74</v>
      </c>
      <c r="K174" s="5" t="s">
        <v>74</v>
      </c>
      <c r="L174" s="2" t="s">
        <v>228</v>
      </c>
      <c r="M174" s="8" t="str">
        <f t="array" ref="M174">Y107</f>
        <v>1ХВС::1.1</v>
      </c>
      <c r="AA174" s="107" t="str">
        <f>AA173&amp;".1"</f>
        <v>3.1.1.1.5.1</v>
      </c>
      <c r="AB174" s="199" t="s">
        <v>229</v>
      </c>
      <c r="AC174" s="197" t="s">
        <v>114</v>
      </c>
      <c r="AD174" s="173">
        <v>0</v>
      </c>
      <c r="AE174" s="173">
        <v>0</v>
      </c>
      <c r="AF174" s="173">
        <v>0</v>
      </c>
      <c r="AG174" s="174"/>
      <c r="AH174" s="174"/>
      <c r="AI174" s="173">
        <f>AI175+AI178</f>
        <v>0</v>
      </c>
      <c r="AJ174" s="174"/>
      <c r="AK174" s="174"/>
      <c r="AL174" s="174"/>
      <c r="AM174" s="174"/>
      <c r="AN174" s="173">
        <f>AN175+AN178</f>
        <v>0</v>
      </c>
      <c r="AO174" s="173">
        <v>0</v>
      </c>
      <c r="AP174" s="174"/>
      <c r="AQ174" s="174"/>
      <c r="AR174" s="173">
        <f>AR175+AR178</f>
        <v>0</v>
      </c>
      <c r="AS174" s="174"/>
      <c r="AT174" s="174"/>
      <c r="AU174" s="173">
        <f>AU175+AU178</f>
        <v>0</v>
      </c>
      <c r="AV174" s="173">
        <v>0</v>
      </c>
      <c r="AW174" s="174"/>
      <c r="AX174" s="174"/>
      <c r="AY174" s="173">
        <f>AY175+AY178</f>
        <v>0</v>
      </c>
      <c r="AZ174" s="174"/>
      <c r="BA174" s="174"/>
      <c r="BB174" s="85"/>
      <c r="BC174" s="85"/>
      <c r="BD174" s="85"/>
      <c r="BE174" s="99">
        <f t="shared" si="2"/>
        <v>0</v>
      </c>
      <c r="BF174" s="100" t="e">
        <f>BF175+BF178</f>
        <v>#REF!</v>
      </c>
      <c r="BG174" s="101"/>
      <c r="BH174" s="101"/>
      <c r="BI174" s="101"/>
      <c r="BJ174" s="101"/>
      <c r="BK174" s="101"/>
      <c r="BL174" s="101"/>
      <c r="BM174" s="101"/>
    </row>
    <row r="175" spans="1:65" ht="14.25" customHeight="1" outlineLevel="4" x14ac:dyDescent="0.25">
      <c r="A175" s="8" t="b">
        <f t="array" ref="A175">A174</f>
        <v>1</v>
      </c>
      <c r="C175" s="2" t="s">
        <v>84</v>
      </c>
      <c r="D175" s="2" t="s">
        <v>85</v>
      </c>
      <c r="E175" s="2" t="s">
        <v>74</v>
      </c>
      <c r="F175" s="2" t="s">
        <v>75</v>
      </c>
      <c r="G175" s="2" t="s">
        <v>208</v>
      </c>
      <c r="H175" s="2" t="s">
        <v>227</v>
      </c>
      <c r="I175" s="2" t="s">
        <v>74</v>
      </c>
      <c r="K175" s="5" t="s">
        <v>74</v>
      </c>
      <c r="L175" s="2" t="s">
        <v>228</v>
      </c>
      <c r="M175" s="8" t="str">
        <f t="array" ref="M175">Y107</f>
        <v>1ХВС::1.1</v>
      </c>
      <c r="AA175" s="107" t="str">
        <f>AA174&amp;".1"</f>
        <v>3.1.1.1.5.1.1</v>
      </c>
      <c r="AB175" s="207" t="s">
        <v>230</v>
      </c>
      <c r="AC175" s="197" t="s">
        <v>114</v>
      </c>
      <c r="AD175" s="136"/>
      <c r="AE175" s="136"/>
      <c r="AF175" s="195"/>
      <c r="AG175" s="202"/>
      <c r="AH175" s="202"/>
      <c r="AI175" s="136">
        <f t="array" ref="AI175">'ВС 2021-2025'!$AF$175</f>
        <v>0</v>
      </c>
      <c r="AJ175" s="202"/>
      <c r="AK175" s="202"/>
      <c r="AL175" s="202"/>
      <c r="AM175" s="202"/>
      <c r="AN175" s="203">
        <f t="array" ref="AN175">IF('ВС 2021-2025'!$AN$81="Методика",IF('ВС 2021-2025'!AI$158=0,0,'ВС 2021-2025'!AI175/'ВС 2021-2025'!AI$158*'ВС 2021-2025'!AN$159),'[2]Счет 25'!BT142)</f>
        <v>0</v>
      </c>
      <c r="AO175" s="195"/>
      <c r="AP175" s="202"/>
      <c r="AQ175" s="202"/>
      <c r="AR175" s="136">
        <f t="array" ref="AR175">'ВС 2021-2025'!$AO$175</f>
        <v>0</v>
      </c>
      <c r="AS175" s="202"/>
      <c r="AT175" s="202"/>
      <c r="AU175" s="203">
        <f t="array" ref="AU175">'[2]Счет 25'!BY142</f>
        <v>0</v>
      </c>
      <c r="AV175" s="195">
        <v>0</v>
      </c>
      <c r="AW175" s="202"/>
      <c r="AX175" s="202"/>
      <c r="AY175" s="136">
        <f>IF(AY$88,AR175*AY$112,AV175*1)</f>
        <v>0</v>
      </c>
      <c r="AZ175" s="202"/>
      <c r="BA175" s="202"/>
      <c r="BB175" s="85"/>
      <c r="BC175" s="85"/>
      <c r="BD175" s="85"/>
      <c r="BE175" s="99">
        <f t="shared" si="2"/>
        <v>0</v>
      </c>
      <c r="BF175" s="99" t="e">
        <f t="array" ref="BF175">#REF!</f>
        <v>#REF!</v>
      </c>
      <c r="BG175" s="101"/>
      <c r="BH175" s="101"/>
      <c r="BI175" s="101"/>
      <c r="BJ175" s="101"/>
      <c r="BK175" s="101"/>
      <c r="BL175" s="101"/>
      <c r="BM175" s="101"/>
    </row>
    <row r="176" spans="1:65" ht="14.25" customHeight="1" outlineLevel="4" x14ac:dyDescent="0.25">
      <c r="A176" s="8" t="b">
        <f t="array" ref="A176">A175</f>
        <v>1</v>
      </c>
      <c r="C176" s="2" t="s">
        <v>210</v>
      </c>
      <c r="D176" s="2" t="s">
        <v>211</v>
      </c>
      <c r="E176" s="2" t="s">
        <v>74</v>
      </c>
      <c r="F176" s="2" t="s">
        <v>75</v>
      </c>
      <c r="G176" s="2" t="s">
        <v>74</v>
      </c>
      <c r="H176" s="2" t="s">
        <v>227</v>
      </c>
      <c r="I176" s="2" t="s">
        <v>74</v>
      </c>
      <c r="K176" s="5" t="s">
        <v>74</v>
      </c>
      <c r="L176" s="2" t="s">
        <v>228</v>
      </c>
      <c r="M176" s="8" t="str">
        <f t="array" ref="M176">Y107</f>
        <v>1ХВС::1.1</v>
      </c>
      <c r="AA176" s="107" t="str">
        <f>AA175&amp;".1"</f>
        <v>3.1.1.1.5.1.1.1</v>
      </c>
      <c r="AB176" s="205" t="s">
        <v>212</v>
      </c>
      <c r="AC176" s="197" t="s">
        <v>213</v>
      </c>
      <c r="AD176" s="173">
        <v>0</v>
      </c>
      <c r="AE176" s="173">
        <v>0</v>
      </c>
      <c r="AF176" s="173">
        <v>0</v>
      </c>
      <c r="AG176" s="174"/>
      <c r="AH176" s="174"/>
      <c r="AI176" s="173">
        <f>IF(AI177=0,0,AI175*1000/AI$89/AI177)</f>
        <v>0</v>
      </c>
      <c r="AJ176" s="174"/>
      <c r="AK176" s="174"/>
      <c r="AL176" s="174"/>
      <c r="AM176" s="174"/>
      <c r="AN176" s="173">
        <f>IF(AN177=0,0,AN175*1000/AN$89/AN177)</f>
        <v>0</v>
      </c>
      <c r="AO176" s="173">
        <v>0</v>
      </c>
      <c r="AP176" s="174"/>
      <c r="AQ176" s="174"/>
      <c r="AR176" s="173">
        <f>IF(AR177=0,0,AR175*1000/AR$89/AR177)</f>
        <v>0</v>
      </c>
      <c r="AS176" s="174"/>
      <c r="AT176" s="174"/>
      <c r="AU176" s="173">
        <f>IF(AU177=0,0,AU175*1000/AU$89/AU177)</f>
        <v>0</v>
      </c>
      <c r="AV176" s="173">
        <v>0</v>
      </c>
      <c r="AW176" s="174"/>
      <c r="AX176" s="174"/>
      <c r="AY176" s="173" t="e">
        <f>IF(AY177=0,0,AY175*1000/AY$89/AY177)</f>
        <v>#REF!</v>
      </c>
      <c r="AZ176" s="174"/>
      <c r="BA176" s="174"/>
      <c r="BB176" s="85"/>
      <c r="BC176" s="85"/>
      <c r="BD176" s="85"/>
      <c r="BE176" s="99" t="e">
        <f t="shared" si="2"/>
        <v>#REF!</v>
      </c>
      <c r="BF176" s="100" t="e">
        <f>IF(BF177=0,0,BF175*1000/BF$89/BF177)</f>
        <v>#REF!</v>
      </c>
      <c r="BG176" s="101"/>
      <c r="BH176" s="101"/>
      <c r="BI176" s="101"/>
      <c r="BJ176" s="101"/>
      <c r="BK176" s="101"/>
      <c r="BL176" s="101"/>
      <c r="BM176" s="101"/>
    </row>
    <row r="177" spans="1:66" ht="14.25" customHeight="1" outlineLevel="4" x14ac:dyDescent="0.25">
      <c r="A177" s="8" t="b">
        <f t="array" ref="A177">A176</f>
        <v>1</v>
      </c>
      <c r="C177" s="2" t="s">
        <v>214</v>
      </c>
      <c r="D177" s="2" t="s">
        <v>215</v>
      </c>
      <c r="E177" s="2" t="s">
        <v>74</v>
      </c>
      <c r="F177" s="2" t="s">
        <v>75</v>
      </c>
      <c r="G177" s="2" t="s">
        <v>74</v>
      </c>
      <c r="H177" s="2" t="s">
        <v>227</v>
      </c>
      <c r="I177" s="2" t="s">
        <v>74</v>
      </c>
      <c r="K177" s="5" t="s">
        <v>74</v>
      </c>
      <c r="L177" s="2" t="s">
        <v>228</v>
      </c>
      <c r="M177" s="8" t="str">
        <f t="array" ref="M177">Y107</f>
        <v>1ХВС::1.1</v>
      </c>
      <c r="AA177" s="107" t="str">
        <f>AA175&amp;".2"</f>
        <v>3.1.1.1.5.1.1.2</v>
      </c>
      <c r="AB177" s="205" t="s">
        <v>216</v>
      </c>
      <c r="AC177" s="197" t="s">
        <v>217</v>
      </c>
      <c r="AD177" s="136"/>
      <c r="AE177" s="136"/>
      <c r="AF177" s="195"/>
      <c r="AG177" s="202"/>
      <c r="AH177" s="202"/>
      <c r="AI177" s="136">
        <f>IF(AI$88,IF(#REF!="индексировать",#REF!*(1-AI$113)*(1+AI$115),#REF!),AF177*1)</f>
        <v>0</v>
      </c>
      <c r="AJ177" s="202"/>
      <c r="AK177" s="202"/>
      <c r="AL177" s="202"/>
      <c r="AM177" s="202"/>
      <c r="AN177" s="203">
        <f t="array" ref="AN177">IF('ВС 2021-2025'!$AN$81="Методика",'ВС 2021-2025'!AI177,'[2]Счет 25'!BT144)</f>
        <v>0</v>
      </c>
      <c r="AO177" s="195"/>
      <c r="AP177" s="202"/>
      <c r="AQ177" s="202"/>
      <c r="AR177" s="136">
        <f>IF(AR$88,IF(#REF!="индексировать",AI177*(1-AR$113)*(1+AR$115),AI177),AO177*1)</f>
        <v>0</v>
      </c>
      <c r="AS177" s="202"/>
      <c r="AT177" s="202"/>
      <c r="AU177" s="203">
        <f t="array" ref="AU177">'[2]Счет 25'!BY144</f>
        <v>0</v>
      </c>
      <c r="AV177" s="195">
        <v>0</v>
      </c>
      <c r="AW177" s="202"/>
      <c r="AX177" s="202"/>
      <c r="AY177" s="136" t="e">
        <f t="array" ref="AY177">IF(AY$88,IF(#REF!="индексировать",AR177*(1-AY$113)*(1+AY$115),AR177),AV177*1)</f>
        <v>#REF!</v>
      </c>
      <c r="AZ177" s="202"/>
      <c r="BA177" s="202"/>
      <c r="BB177" s="85"/>
      <c r="BC177" s="85"/>
      <c r="BD177" s="85"/>
      <c r="BE177" s="99" t="e">
        <f t="shared" si="2"/>
        <v>#REF!</v>
      </c>
      <c r="BF177" s="99" t="e">
        <f t="array" ref="BF177">#REF!</f>
        <v>#REF!</v>
      </c>
      <c r="BG177" s="101"/>
      <c r="BH177" s="101"/>
      <c r="BI177" s="101"/>
      <c r="BJ177" s="101"/>
      <c r="BK177" s="101"/>
      <c r="BL177" s="101"/>
      <c r="BM177" s="101"/>
    </row>
    <row r="178" spans="1:66" ht="14.25" customHeight="1" outlineLevel="4" x14ac:dyDescent="0.25">
      <c r="A178" s="8" t="b">
        <f t="array" ref="A178">A177</f>
        <v>1</v>
      </c>
      <c r="C178" s="2" t="s">
        <v>84</v>
      </c>
      <c r="D178" s="2" t="s">
        <v>85</v>
      </c>
      <c r="E178" s="2" t="s">
        <v>74</v>
      </c>
      <c r="F178" s="2" t="s">
        <v>75</v>
      </c>
      <c r="G178" s="2" t="s">
        <v>218</v>
      </c>
      <c r="H178" s="2" t="s">
        <v>227</v>
      </c>
      <c r="I178" s="2" t="s">
        <v>74</v>
      </c>
      <c r="K178" s="5" t="s">
        <v>74</v>
      </c>
      <c r="L178" s="2" t="s">
        <v>228</v>
      </c>
      <c r="M178" s="8" t="str">
        <f t="array" ref="M178">Y107</f>
        <v>1ХВС::1.1</v>
      </c>
      <c r="AA178" s="107" t="str">
        <f>AA174&amp;".2"</f>
        <v>3.1.1.1.5.1.2</v>
      </c>
      <c r="AB178" s="207" t="s">
        <v>231</v>
      </c>
      <c r="AC178" s="197" t="s">
        <v>114</v>
      </c>
      <c r="AD178" s="136"/>
      <c r="AE178" s="136"/>
      <c r="AF178" s="195"/>
      <c r="AG178" s="202"/>
      <c r="AH178" s="202"/>
      <c r="AI178" s="136">
        <f t="array" ref="AI178">'ВС 2021-2025'!$AF$178</f>
        <v>0</v>
      </c>
      <c r="AJ178" s="202"/>
      <c r="AK178" s="202"/>
      <c r="AL178" s="202"/>
      <c r="AM178" s="202"/>
      <c r="AN178" s="203">
        <f t="array" ref="AN178">IF('ВС 2021-2025'!$AN$81="Методика",IF('ВС 2021-2025'!AI$158=0,0,'ВС 2021-2025'!AI178/'ВС 2021-2025'!AI$158*'ВС 2021-2025'!AN$159),'[2]Счет 25'!BT145)</f>
        <v>0</v>
      </c>
      <c r="AO178" s="195"/>
      <c r="AP178" s="202"/>
      <c r="AQ178" s="202"/>
      <c r="AR178" s="136">
        <f t="array" ref="AR178">'ВС 2021-2025'!$AO$178</f>
        <v>0</v>
      </c>
      <c r="AS178" s="202"/>
      <c r="AT178" s="202"/>
      <c r="AU178" s="203">
        <f t="array" ref="AU178">'[2]Счет 25'!BY145</f>
        <v>0</v>
      </c>
      <c r="AV178" s="195">
        <v>0</v>
      </c>
      <c r="AW178" s="202"/>
      <c r="AX178" s="202"/>
      <c r="AY178" s="136">
        <f>IF(AY$88,AR178*AY$112,AV178*1)</f>
        <v>0</v>
      </c>
      <c r="AZ178" s="202"/>
      <c r="BA178" s="202"/>
      <c r="BB178" s="85"/>
      <c r="BC178" s="85"/>
      <c r="BD178" s="85"/>
      <c r="BE178" s="99">
        <f t="shared" si="2"/>
        <v>0</v>
      </c>
      <c r="BF178" s="99" t="e">
        <f t="array" ref="BF178">#REF!</f>
        <v>#REF!</v>
      </c>
      <c r="BG178" s="101"/>
      <c r="BH178" s="101"/>
      <c r="BI178" s="101"/>
      <c r="BJ178" s="101"/>
      <c r="BK178" s="101"/>
      <c r="BL178" s="101"/>
      <c r="BM178" s="101"/>
    </row>
    <row r="179" spans="1:66" ht="14.25" customHeight="1" outlineLevel="4" x14ac:dyDescent="0.25">
      <c r="A179" s="8" t="b">
        <f t="array" ref="A179">A178</f>
        <v>1</v>
      </c>
      <c r="C179" s="2" t="s">
        <v>220</v>
      </c>
      <c r="D179" s="2" t="s">
        <v>221</v>
      </c>
      <c r="E179" s="2" t="s">
        <v>74</v>
      </c>
      <c r="F179" s="2" t="s">
        <v>75</v>
      </c>
      <c r="G179" s="2" t="s">
        <v>74</v>
      </c>
      <c r="H179" s="2" t="s">
        <v>227</v>
      </c>
      <c r="I179" s="2" t="s">
        <v>74</v>
      </c>
      <c r="K179" s="5" t="s">
        <v>74</v>
      </c>
      <c r="L179" s="2" t="s">
        <v>228</v>
      </c>
      <c r="M179" s="8" t="str">
        <f t="array" ref="M179">Y107</f>
        <v>1ХВС::1.1</v>
      </c>
      <c r="AA179" s="107" t="str">
        <f>AA178&amp;".1"</f>
        <v>3.1.1.1.5.1.2.1</v>
      </c>
      <c r="AB179" s="205" t="s">
        <v>222</v>
      </c>
      <c r="AC179" s="197" t="s">
        <v>122</v>
      </c>
      <c r="AD179" s="173">
        <v>0</v>
      </c>
      <c r="AE179" s="173">
        <v>0</v>
      </c>
      <c r="AF179" s="173">
        <v>0</v>
      </c>
      <c r="AG179" s="174"/>
      <c r="AH179" s="174"/>
      <c r="AI179" s="173">
        <f>IF(AI175=0,0,AI178/AI175*100)</f>
        <v>0</v>
      </c>
      <c r="AJ179" s="174"/>
      <c r="AK179" s="174"/>
      <c r="AL179" s="174"/>
      <c r="AM179" s="174"/>
      <c r="AN179" s="173">
        <f>IF(AN175=0,0,AN178/AN175*100)</f>
        <v>0</v>
      </c>
      <c r="AO179" s="173">
        <v>0</v>
      </c>
      <c r="AP179" s="174"/>
      <c r="AQ179" s="174"/>
      <c r="AR179" s="173">
        <f>IF(AR175=0,0,AR178/AR175*100)</f>
        <v>0</v>
      </c>
      <c r="AS179" s="174"/>
      <c r="AT179" s="174"/>
      <c r="AU179" s="173">
        <f>IF(AU175=0,0,AU178/AU175*100)</f>
        <v>0</v>
      </c>
      <c r="AV179" s="173">
        <v>0</v>
      </c>
      <c r="AW179" s="174"/>
      <c r="AX179" s="174"/>
      <c r="AY179" s="173">
        <f>IF(AY175=0,0,AY178/AY175*100)</f>
        <v>0</v>
      </c>
      <c r="AZ179" s="174"/>
      <c r="BA179" s="174"/>
      <c r="BB179" s="85"/>
      <c r="BC179" s="85"/>
      <c r="BD179" s="85"/>
      <c r="BE179" s="99">
        <f t="shared" si="2"/>
        <v>0</v>
      </c>
      <c r="BF179" s="100" t="e">
        <f>IF(BF175=0,0,BF178/BF175*100)</f>
        <v>#REF!</v>
      </c>
      <c r="BG179" s="101"/>
      <c r="BH179" s="101"/>
      <c r="BI179" s="101"/>
      <c r="BJ179" s="101"/>
      <c r="BK179" s="101"/>
      <c r="BL179" s="101"/>
      <c r="BM179" s="101"/>
    </row>
    <row r="180" spans="1:66" ht="14.25" customHeight="1" outlineLevel="4" x14ac:dyDescent="0.25">
      <c r="A180" s="8" t="b">
        <f t="array" ref="A180">A179</f>
        <v>1</v>
      </c>
      <c r="C180" s="93" t="s">
        <v>84</v>
      </c>
      <c r="D180" s="93" t="s">
        <v>85</v>
      </c>
      <c r="E180" s="93" t="s">
        <v>74</v>
      </c>
      <c r="F180" s="2" t="s">
        <v>75</v>
      </c>
      <c r="G180" s="93" t="s">
        <v>232</v>
      </c>
      <c r="H180" s="93" t="s">
        <v>74</v>
      </c>
      <c r="I180" s="93" t="s">
        <v>74</v>
      </c>
      <c r="J180" s="93"/>
      <c r="K180" s="208" t="s">
        <v>74</v>
      </c>
      <c r="L180" s="93" t="s">
        <v>196</v>
      </c>
      <c r="M180" s="8" t="str">
        <f t="array" ref="M180">Y107</f>
        <v>1ХВС::1.1</v>
      </c>
      <c r="AA180" s="206" t="str">
        <f>AA173&amp;".2"</f>
        <v>3.1.1.1.5.2</v>
      </c>
      <c r="AB180" s="199" t="s">
        <v>233</v>
      </c>
      <c r="AC180" s="197" t="s">
        <v>114</v>
      </c>
      <c r="AD180" s="173">
        <v>14259.243305607401</v>
      </c>
      <c r="AE180" s="173">
        <v>15093.951051133899</v>
      </c>
      <c r="AF180" s="173">
        <v>17411.7317204877</v>
      </c>
      <c r="AG180" s="174"/>
      <c r="AH180" s="174"/>
      <c r="AI180" s="173">
        <f>AI173-AI174</f>
        <v>17411.7317204877</v>
      </c>
      <c r="AJ180" s="174"/>
      <c r="AK180" s="174"/>
      <c r="AL180" s="174"/>
      <c r="AM180" s="174"/>
      <c r="AN180" s="173">
        <f>AN173-AN174</f>
        <v>0</v>
      </c>
      <c r="AO180" s="173">
        <v>0</v>
      </c>
      <c r="AP180" s="174"/>
      <c r="AQ180" s="174"/>
      <c r="AR180" s="173">
        <f>AR173-AR174</f>
        <v>0</v>
      </c>
      <c r="AS180" s="174"/>
      <c r="AT180" s="174"/>
      <c r="AU180" s="173">
        <f>AU173-AU174</f>
        <v>0</v>
      </c>
      <c r="AV180" s="173">
        <v>0</v>
      </c>
      <c r="AW180" s="174"/>
      <c r="AX180" s="174"/>
      <c r="AY180" s="173">
        <f>AY173-AY174</f>
        <v>0</v>
      </c>
      <c r="AZ180" s="174"/>
      <c r="BA180" s="174"/>
      <c r="BB180" s="85"/>
      <c r="BC180" s="85"/>
      <c r="BD180" s="85"/>
      <c r="BE180" s="99">
        <f t="shared" si="2"/>
        <v>64176.657797716703</v>
      </c>
      <c r="BF180" s="100" t="e">
        <f>BF173-BF174</f>
        <v>#REF!</v>
      </c>
      <c r="BG180" s="101"/>
      <c r="BH180" s="101"/>
      <c r="BI180" s="101"/>
      <c r="BJ180" s="101"/>
      <c r="BK180" s="101"/>
      <c r="BL180" s="101"/>
      <c r="BM180" s="101"/>
    </row>
    <row r="181" spans="1:66" ht="14.25" customHeight="1" outlineLevel="4" x14ac:dyDescent="0.25">
      <c r="C181" s="2" t="s">
        <v>84</v>
      </c>
      <c r="D181" s="2" t="s">
        <v>85</v>
      </c>
      <c r="E181" s="2" t="s">
        <v>74</v>
      </c>
      <c r="F181" s="2" t="s">
        <v>75</v>
      </c>
      <c r="G181" s="2" t="s">
        <v>234</v>
      </c>
      <c r="H181" s="2" t="s">
        <v>74</v>
      </c>
      <c r="I181" s="2" t="s">
        <v>74</v>
      </c>
      <c r="K181" s="5" t="s">
        <v>74</v>
      </c>
      <c r="L181" s="2" t="s">
        <v>196</v>
      </c>
      <c r="M181" s="8" t="str">
        <f t="array" ref="M181">Y107</f>
        <v>1ХВС::1.1</v>
      </c>
      <c r="AA181" s="206" t="str">
        <f>AA160&amp;".6"</f>
        <v>3.1.1.1.6</v>
      </c>
      <c r="AB181" s="198" t="s">
        <v>235</v>
      </c>
      <c r="AC181" s="197" t="s">
        <v>114</v>
      </c>
      <c r="AD181" s="173">
        <v>38057.143445583395</v>
      </c>
      <c r="AE181" s="173">
        <v>40284.9329380419</v>
      </c>
      <c r="AF181" s="173">
        <v>46470.963256657094</v>
      </c>
      <c r="AG181" s="174"/>
      <c r="AH181" s="174"/>
      <c r="AI181" s="173">
        <f>SUM(AI182:AI190)</f>
        <v>46470.963256657094</v>
      </c>
      <c r="AJ181" s="174"/>
      <c r="AK181" s="174"/>
      <c r="AL181" s="174"/>
      <c r="AM181" s="174"/>
      <c r="AN181" s="173" t="e">
        <f>SUM(AN182:AN190)</f>
        <v>#REF!</v>
      </c>
      <c r="AO181" s="173">
        <v>56815.953375104</v>
      </c>
      <c r="AP181" s="174"/>
      <c r="AQ181" s="174"/>
      <c r="AR181" s="173">
        <f>SUM(AR182:AR190)</f>
        <v>56815.953375104</v>
      </c>
      <c r="AS181" s="174"/>
      <c r="AT181" s="174"/>
      <c r="AU181" s="173" t="e">
        <f>SUM(AU182:AU190)</f>
        <v>#REF!</v>
      </c>
      <c r="AV181" s="173">
        <v>58610.201182689794</v>
      </c>
      <c r="AW181" s="174"/>
      <c r="AX181" s="174"/>
      <c r="AY181" s="173">
        <f>SUM(AY182:AY190)</f>
        <v>58610.201182689794</v>
      </c>
      <c r="AZ181" s="174"/>
      <c r="BA181" s="174"/>
      <c r="BB181" s="85"/>
      <c r="BC181" s="85"/>
      <c r="BD181" s="85"/>
      <c r="BE181" s="99" t="e">
        <f t="shared" si="2"/>
        <v>#REF!</v>
      </c>
      <c r="BF181" s="100" t="e">
        <f>SUM(BF182:BF190)</f>
        <v>#REF!</v>
      </c>
      <c r="BG181" s="101"/>
      <c r="BH181" s="101"/>
      <c r="BI181" s="101"/>
      <c r="BJ181" s="101"/>
      <c r="BK181" s="101"/>
      <c r="BL181" s="101"/>
      <c r="BM181" s="101"/>
    </row>
    <row r="182" spans="1:66" ht="14.25" customHeight="1" outlineLevel="4" x14ac:dyDescent="0.25">
      <c r="C182" s="2" t="s">
        <v>84</v>
      </c>
      <c r="D182" s="2" t="s">
        <v>85</v>
      </c>
      <c r="E182" s="2" t="s">
        <v>74</v>
      </c>
      <c r="F182" s="2" t="s">
        <v>75</v>
      </c>
      <c r="G182" s="2" t="s">
        <v>236</v>
      </c>
      <c r="H182" s="2" t="s">
        <v>74</v>
      </c>
      <c r="I182" s="2" t="s">
        <v>74</v>
      </c>
      <c r="K182" s="5" t="s">
        <v>74</v>
      </c>
      <c r="L182" s="2" t="s">
        <v>196</v>
      </c>
      <c r="M182" s="8" t="str">
        <f t="array" ref="M182">Y107</f>
        <v>1ХВС::1.1</v>
      </c>
      <c r="AA182" s="107" t="str">
        <f>AA181&amp;".1"</f>
        <v>3.1.1.1.6.1</v>
      </c>
      <c r="AB182" s="199" t="s">
        <v>237</v>
      </c>
      <c r="AC182" s="197" t="s">
        <v>114</v>
      </c>
      <c r="AD182" s="136"/>
      <c r="AE182" s="136"/>
      <c r="AF182" s="195"/>
      <c r="AG182" s="202"/>
      <c r="AH182" s="202"/>
      <c r="AI182" s="136">
        <f t="array" ref="AI182">'ВС 2021-2025'!$AF$182</f>
        <v>0</v>
      </c>
      <c r="AJ182" s="202"/>
      <c r="AK182" s="202"/>
      <c r="AL182" s="202"/>
      <c r="AM182" s="202"/>
      <c r="AN182" s="204" t="e">
        <f t="array" ref="AN182">IF('ВС 2021-2025'!$AN$81="Методика",IF('ВС 2021-2025'!AI$158=0,0,'ВС 2021-2025'!AI182/'ВС 2021-2025'!AI$158*'ВС 2021-2025'!AN$159),'ВС 2021-2025'!#REF!)</f>
        <v>#REF!</v>
      </c>
      <c r="AO182" s="195"/>
      <c r="AP182" s="202"/>
      <c r="AQ182" s="202"/>
      <c r="AR182" s="136">
        <f t="array" ref="AR182">'ВС 2021-2025'!$AO$182</f>
        <v>0</v>
      </c>
      <c r="AS182" s="202"/>
      <c r="AT182" s="202"/>
      <c r="AU182" s="204" t="e">
        <f t="array" ref="AU182">'ВС 2021-2025'!#REF!</f>
        <v>#REF!</v>
      </c>
      <c r="AV182" s="195">
        <v>0</v>
      </c>
      <c r="AW182" s="202"/>
      <c r="AX182" s="202"/>
      <c r="AY182" s="136">
        <f>IF(AY$88,AR182*AY$112,AV182*1)</f>
        <v>0</v>
      </c>
      <c r="AZ182" s="202"/>
      <c r="BA182" s="202"/>
      <c r="BB182" s="85"/>
      <c r="BC182" s="85"/>
      <c r="BD182" s="85"/>
      <c r="BE182" s="99" t="e">
        <f t="shared" si="2"/>
        <v>#REF!</v>
      </c>
      <c r="BF182" s="99" t="e">
        <f t="array" ref="BF182">#REF!</f>
        <v>#REF!</v>
      </c>
      <c r="BG182" s="101"/>
      <c r="BH182" s="101"/>
      <c r="BI182" s="101"/>
      <c r="BJ182" s="101"/>
      <c r="BK182" s="101"/>
      <c r="BL182" s="101"/>
      <c r="BM182" s="101"/>
    </row>
    <row r="183" spans="1:66" ht="24" customHeight="1" outlineLevel="4" x14ac:dyDescent="0.25">
      <c r="C183" s="2" t="s">
        <v>84</v>
      </c>
      <c r="D183" s="2" t="s">
        <v>85</v>
      </c>
      <c r="E183" s="2" t="s">
        <v>74</v>
      </c>
      <c r="F183" s="2" t="s">
        <v>75</v>
      </c>
      <c r="G183" s="2" t="s">
        <v>238</v>
      </c>
      <c r="H183" s="2" t="s">
        <v>74</v>
      </c>
      <c r="I183" s="2" t="s">
        <v>74</v>
      </c>
      <c r="K183" s="5" t="s">
        <v>74</v>
      </c>
      <c r="L183" s="2" t="s">
        <v>196</v>
      </c>
      <c r="M183" s="8" t="str">
        <f t="array" ref="M183">Y107</f>
        <v>1ХВС::1.1</v>
      </c>
      <c r="AA183" s="107" t="str">
        <f>AA181&amp;".2"</f>
        <v>3.1.1.1.6.2</v>
      </c>
      <c r="AB183" s="199" t="s">
        <v>239</v>
      </c>
      <c r="AC183" s="197" t="s">
        <v>114</v>
      </c>
      <c r="AD183" s="136"/>
      <c r="AE183" s="136"/>
      <c r="AF183" s="195"/>
      <c r="AG183" s="202"/>
      <c r="AH183" s="202"/>
      <c r="AI183" s="136">
        <f t="array" ref="AI183">'ВС 2021-2025'!$AF$183</f>
        <v>0</v>
      </c>
      <c r="AJ183" s="202"/>
      <c r="AK183" s="202"/>
      <c r="AL183" s="202"/>
      <c r="AM183" s="202"/>
      <c r="AN183" s="136" t="e">
        <f t="array" ref="AN183">IF('ВС 2021-2025'!$AN$81="Методика",IF('ВС 2021-2025'!AI$158=0,0,'ВС 2021-2025'!AI183/'ВС 2021-2025'!AI$158*'ВС 2021-2025'!AN$159),#REF!)</f>
        <v>#REF!</v>
      </c>
      <c r="AO183" s="195"/>
      <c r="AP183" s="202"/>
      <c r="AQ183" s="202"/>
      <c r="AR183" s="136">
        <f t="array" ref="AR183">'ВС 2021-2025'!$AO$183</f>
        <v>0</v>
      </c>
      <c r="AS183" s="202"/>
      <c r="AT183" s="202"/>
      <c r="AU183" s="136" t="e">
        <f t="array" ref="AU183">#REF!</f>
        <v>#REF!</v>
      </c>
      <c r="AV183" s="195">
        <v>0</v>
      </c>
      <c r="AW183" s="202"/>
      <c r="AX183" s="202"/>
      <c r="AY183" s="136">
        <f>IF(AY$88,AR183*AY$112,AV183*1)</f>
        <v>0</v>
      </c>
      <c r="AZ183" s="202"/>
      <c r="BA183" s="202"/>
      <c r="BB183" s="85"/>
      <c r="BC183" s="85"/>
      <c r="BD183" s="85"/>
      <c r="BE183" s="99" t="e">
        <f t="shared" si="2"/>
        <v>#REF!</v>
      </c>
      <c r="BF183" s="99" t="e">
        <f t="array" ref="BF183">#REF!</f>
        <v>#REF!</v>
      </c>
      <c r="BG183" s="101"/>
      <c r="BH183" s="101"/>
      <c r="BI183" s="101"/>
      <c r="BJ183" s="101"/>
      <c r="BK183" s="101"/>
      <c r="BL183" s="101"/>
      <c r="BM183" s="101"/>
    </row>
    <row r="184" spans="1:66" ht="24" customHeight="1" outlineLevel="4" x14ac:dyDescent="0.25">
      <c r="C184" s="2" t="s">
        <v>84</v>
      </c>
      <c r="D184" s="2" t="s">
        <v>85</v>
      </c>
      <c r="E184" s="2" t="s">
        <v>74</v>
      </c>
      <c r="F184" s="2" t="s">
        <v>75</v>
      </c>
      <c r="G184" s="2" t="s">
        <v>240</v>
      </c>
      <c r="H184" s="2" t="s">
        <v>74</v>
      </c>
      <c r="I184" s="2" t="s">
        <v>74</v>
      </c>
      <c r="K184" s="5" t="s">
        <v>74</v>
      </c>
      <c r="L184" s="2" t="s">
        <v>196</v>
      </c>
      <c r="M184" s="8" t="str">
        <f t="array" ref="M184">Y107</f>
        <v>1ХВС::1.1</v>
      </c>
      <c r="AA184" s="107" t="str">
        <f>AA181&amp;".3"</f>
        <v>3.1.1.1.6.3</v>
      </c>
      <c r="AB184" s="199" t="s">
        <v>241</v>
      </c>
      <c r="AC184" s="197" t="s">
        <v>114</v>
      </c>
      <c r="AD184" s="136"/>
      <c r="AE184" s="136"/>
      <c r="AF184" s="195"/>
      <c r="AG184" s="202"/>
      <c r="AH184" s="202"/>
      <c r="AI184" s="136">
        <f t="array" ref="AI184">'ВС 2021-2025'!$AF$184</f>
        <v>0</v>
      </c>
      <c r="AJ184" s="202"/>
      <c r="AK184" s="202"/>
      <c r="AL184" s="202"/>
      <c r="AM184" s="202"/>
      <c r="AN184" s="136" t="e">
        <f t="array" ref="AN184">IF('ВС 2021-2025'!$AN$81="Методика",IF('ВС 2021-2025'!AI$158=0,0,'ВС 2021-2025'!AI184/'ВС 2021-2025'!AI$158*'ВС 2021-2025'!AN$159),#REF!)</f>
        <v>#REF!</v>
      </c>
      <c r="AO184" s="195"/>
      <c r="AP184" s="202"/>
      <c r="AQ184" s="202"/>
      <c r="AR184" s="136">
        <f t="array" ref="AR184">'ВС 2021-2025'!$AO$184</f>
        <v>0</v>
      </c>
      <c r="AS184" s="202"/>
      <c r="AT184" s="202"/>
      <c r="AU184" s="136" t="e">
        <f t="array" ref="AU184">#REF!</f>
        <v>#REF!</v>
      </c>
      <c r="AV184" s="195">
        <v>0</v>
      </c>
      <c r="AW184" s="202"/>
      <c r="AX184" s="202"/>
      <c r="AY184" s="136">
        <f>IF(AY$88,AR184*AY$112,AV184*1)</f>
        <v>0</v>
      </c>
      <c r="AZ184" s="202"/>
      <c r="BA184" s="202"/>
      <c r="BB184" s="85"/>
      <c r="BC184" s="85"/>
      <c r="BD184" s="85"/>
      <c r="BE184" s="99" t="e">
        <f t="shared" si="2"/>
        <v>#REF!</v>
      </c>
      <c r="BF184" s="99" t="e">
        <f t="array" ref="BF184">#REF!</f>
        <v>#REF!</v>
      </c>
      <c r="BG184" s="101"/>
      <c r="BH184" s="101"/>
      <c r="BI184" s="101"/>
      <c r="BJ184" s="101"/>
      <c r="BK184" s="101"/>
      <c r="BL184" s="101"/>
      <c r="BM184" s="101"/>
    </row>
    <row r="185" spans="1:66" ht="24" customHeight="1" outlineLevel="4" x14ac:dyDescent="0.25">
      <c r="C185" s="2" t="s">
        <v>84</v>
      </c>
      <c r="D185" s="2" t="s">
        <v>85</v>
      </c>
      <c r="E185" s="2" t="s">
        <v>74</v>
      </c>
      <c r="F185" s="2" t="s">
        <v>75</v>
      </c>
      <c r="G185" s="2" t="s">
        <v>242</v>
      </c>
      <c r="H185" s="2" t="s">
        <v>74</v>
      </c>
      <c r="I185" s="2" t="s">
        <v>74</v>
      </c>
      <c r="K185" s="5" t="s">
        <v>74</v>
      </c>
      <c r="L185" s="2" t="s">
        <v>196</v>
      </c>
      <c r="M185" s="8" t="str">
        <f t="array" ref="M185">Y107</f>
        <v>1ХВС::1.1</v>
      </c>
      <c r="AA185" s="206" t="str">
        <f>AA181&amp;".4"</f>
        <v>3.1.1.1.6.4</v>
      </c>
      <c r="AB185" s="199" t="s">
        <v>243</v>
      </c>
      <c r="AC185" s="197" t="s">
        <v>114</v>
      </c>
      <c r="AD185" s="136"/>
      <c r="AE185" s="136"/>
      <c r="AF185" s="195"/>
      <c r="AG185" s="202"/>
      <c r="AH185" s="202"/>
      <c r="AI185" s="136">
        <f t="array" ref="AI185">'ВС 2021-2025'!$AF$185</f>
        <v>0</v>
      </c>
      <c r="AJ185" s="202"/>
      <c r="AK185" s="202"/>
      <c r="AL185" s="202"/>
      <c r="AM185" s="202"/>
      <c r="AN185" s="136" t="e">
        <f t="array" ref="AN185">IF('ВС 2021-2025'!$AN$81="Методика",IF('ВС 2021-2025'!AI$158=0,0,'ВС 2021-2025'!AI185/'ВС 2021-2025'!AI$158*'ВС 2021-2025'!AN$159),#REF!)</f>
        <v>#REF!</v>
      </c>
      <c r="AO185" s="195"/>
      <c r="AP185" s="202"/>
      <c r="AQ185" s="202"/>
      <c r="AR185" s="136">
        <f t="array" ref="AR185">'ВС 2021-2025'!$AO$185</f>
        <v>0</v>
      </c>
      <c r="AS185" s="202"/>
      <c r="AT185" s="202"/>
      <c r="AU185" s="136" t="e">
        <f t="array" ref="AU185">#REF!</f>
        <v>#REF!</v>
      </c>
      <c r="AV185" s="195">
        <v>0</v>
      </c>
      <c r="AW185" s="202"/>
      <c r="AX185" s="202"/>
      <c r="AY185" s="136">
        <f>IF(AY$88,AR185*AY$112,AV185*1)</f>
        <v>0</v>
      </c>
      <c r="AZ185" s="202"/>
      <c r="BA185" s="202"/>
      <c r="BB185" s="85"/>
      <c r="BC185" s="85"/>
      <c r="BD185" s="85"/>
      <c r="BE185" s="99" t="e">
        <f t="shared" si="2"/>
        <v>#REF!</v>
      </c>
      <c r="BF185" s="99" t="e">
        <f t="array" ref="BF185">#REF!</f>
        <v>#REF!</v>
      </c>
      <c r="BG185" s="101"/>
      <c r="BH185" s="101"/>
      <c r="BI185" s="101"/>
      <c r="BJ185" s="101"/>
      <c r="BK185" s="101"/>
      <c r="BL185" s="101"/>
      <c r="BM185" s="101"/>
    </row>
    <row r="186" spans="1:66" ht="60" customHeight="1" outlineLevel="4" x14ac:dyDescent="0.25">
      <c r="C186" s="2" t="s">
        <v>84</v>
      </c>
      <c r="D186" s="2" t="s">
        <v>85</v>
      </c>
      <c r="E186" s="2" t="s">
        <v>74</v>
      </c>
      <c r="F186" s="2" t="s">
        <v>75</v>
      </c>
      <c r="G186" s="2" t="s">
        <v>244</v>
      </c>
      <c r="H186" s="2" t="s">
        <v>74</v>
      </c>
      <c r="I186" s="2" t="s">
        <v>74</v>
      </c>
      <c r="K186" s="5" t="s">
        <v>74</v>
      </c>
      <c r="L186" s="2" t="s">
        <v>196</v>
      </c>
      <c r="M186" s="8" t="str">
        <f t="array" ref="M186">Y107</f>
        <v>1ХВС::1.1</v>
      </c>
      <c r="AA186" s="206" t="str">
        <f>AA181&amp;".5"</f>
        <v>3.1.1.1.6.5</v>
      </c>
      <c r="AB186" s="199" t="s">
        <v>245</v>
      </c>
      <c r="AC186" s="197" t="s">
        <v>114</v>
      </c>
      <c r="AD186" s="136">
        <v>2759.7487554341001</v>
      </c>
      <c r="AE186" s="136">
        <v>2921.2989592210001</v>
      </c>
      <c r="AF186" s="195">
        <v>3369.8846366323</v>
      </c>
      <c r="AG186" s="202"/>
      <c r="AH186" s="202"/>
      <c r="AI186" s="136">
        <v>3369.8846366323</v>
      </c>
      <c r="AJ186" s="202"/>
      <c r="AK186" s="202"/>
      <c r="AL186" s="202"/>
      <c r="AM186" s="202"/>
      <c r="AN186" s="136" t="e">
        <f t="array" ref="AN186">IF('ВС 2021-2025'!$AN$81="Методика",IF('ВС 2021-2025'!AI$158=0,0,'ВС 2021-2025'!AI186/'ВС 2021-2025'!AI$158*'ВС 2021-2025'!AN$159),#REF!)</f>
        <v>#REF!</v>
      </c>
      <c r="AO186" s="195">
        <v>2442.9699999999998</v>
      </c>
      <c r="AP186" s="202"/>
      <c r="AQ186" s="202"/>
      <c r="AR186" s="136">
        <v>2442.9699999999998</v>
      </c>
      <c r="AS186" s="202"/>
      <c r="AT186" s="202"/>
      <c r="AU186" s="136" t="e">
        <f t="array" ref="AU186">#REF!</f>
        <v>#REF!</v>
      </c>
      <c r="AV186" s="195">
        <v>2520.1189926000002</v>
      </c>
      <c r="AW186" s="202"/>
      <c r="AX186" s="202"/>
      <c r="AY186" s="136">
        <v>2520.1189926000002</v>
      </c>
      <c r="AZ186" s="202"/>
      <c r="BA186" s="202"/>
      <c r="BB186" s="85"/>
      <c r="BC186" s="85"/>
      <c r="BD186" s="85"/>
      <c r="BE186" s="99" t="e">
        <f t="shared" si="2"/>
        <v>#REF!</v>
      </c>
      <c r="BF186" s="99" t="e">
        <f t="array" ref="BF186">#REF!</f>
        <v>#REF!</v>
      </c>
      <c r="BG186" s="101"/>
      <c r="BH186" s="101"/>
      <c r="BI186" s="101"/>
      <c r="BJ186" s="101"/>
      <c r="BK186" s="101"/>
      <c r="BL186" s="101"/>
      <c r="BM186" s="101"/>
    </row>
    <row r="187" spans="1:66" ht="14.25" customHeight="1" outlineLevel="4" x14ac:dyDescent="0.25">
      <c r="C187" s="2" t="s">
        <v>84</v>
      </c>
      <c r="D187" s="2" t="s">
        <v>85</v>
      </c>
      <c r="E187" s="2" t="s">
        <v>74</v>
      </c>
      <c r="F187" s="2" t="s">
        <v>75</v>
      </c>
      <c r="G187" s="2" t="s">
        <v>246</v>
      </c>
      <c r="H187" s="2" t="s">
        <v>74</v>
      </c>
      <c r="I187" s="2" t="s">
        <v>74</v>
      </c>
      <c r="K187" s="5" t="s">
        <v>74</v>
      </c>
      <c r="L187" s="2" t="s">
        <v>196</v>
      </c>
      <c r="M187" s="8" t="str">
        <f t="array" ref="M187">Y107</f>
        <v>1ХВС::1.1</v>
      </c>
      <c r="AA187" s="206" t="str">
        <f>AA181&amp;".6"</f>
        <v>3.1.1.1.6.6</v>
      </c>
      <c r="AB187" s="199" t="s">
        <v>247</v>
      </c>
      <c r="AC187" s="197" t="s">
        <v>114</v>
      </c>
      <c r="AD187" s="136"/>
      <c r="AE187" s="136"/>
      <c r="AF187" s="195"/>
      <c r="AG187" s="202"/>
      <c r="AH187" s="202"/>
      <c r="AI187" s="136">
        <f t="array" ref="AI187">'ВС 2021-2025'!$AF$187</f>
        <v>0</v>
      </c>
      <c r="AJ187" s="202"/>
      <c r="AK187" s="202"/>
      <c r="AL187" s="202"/>
      <c r="AM187" s="202"/>
      <c r="AN187" s="136" t="e">
        <f t="array" ref="AN187">IF('ВС 2021-2025'!$AN$81="Методика",IF('ВС 2021-2025'!AI$158=0,0,'ВС 2021-2025'!AI187/'ВС 2021-2025'!AI$158*'ВС 2021-2025'!AN$159),#REF!)</f>
        <v>#REF!</v>
      </c>
      <c r="AO187" s="195"/>
      <c r="AP187" s="202"/>
      <c r="AQ187" s="202"/>
      <c r="AR187" s="136">
        <f t="array" ref="AR187">'ВС 2021-2025'!$AO$187</f>
        <v>0</v>
      </c>
      <c r="AS187" s="202"/>
      <c r="AT187" s="202"/>
      <c r="AU187" s="136" t="e">
        <f t="array" ref="AU187">#REF!</f>
        <v>#REF!</v>
      </c>
      <c r="AV187" s="195">
        <v>0</v>
      </c>
      <c r="AW187" s="202"/>
      <c r="AX187" s="202"/>
      <c r="AY187" s="136">
        <f>IF(AY$88,AR187*AY$112,AV187*1)</f>
        <v>0</v>
      </c>
      <c r="AZ187" s="202"/>
      <c r="BA187" s="202"/>
      <c r="BB187" s="85"/>
      <c r="BC187" s="85"/>
      <c r="BD187" s="85"/>
      <c r="BE187" s="99" t="e">
        <f t="shared" si="2"/>
        <v>#REF!</v>
      </c>
      <c r="BF187" s="99" t="e">
        <f t="array" ref="BF187">#REF!</f>
        <v>#REF!</v>
      </c>
      <c r="BG187" s="101"/>
      <c r="BH187" s="101"/>
      <c r="BI187" s="101"/>
      <c r="BJ187" s="101"/>
      <c r="BK187" s="101"/>
      <c r="BL187" s="101"/>
      <c r="BM187" s="101"/>
    </row>
    <row r="188" spans="1:66" ht="14.25" customHeight="1" outlineLevel="4" x14ac:dyDescent="0.25">
      <c r="C188" s="2" t="s">
        <v>84</v>
      </c>
      <c r="D188" s="2" t="s">
        <v>85</v>
      </c>
      <c r="E188" s="2" t="s">
        <v>74</v>
      </c>
      <c r="F188" s="2" t="s">
        <v>75</v>
      </c>
      <c r="G188" s="2" t="s">
        <v>248</v>
      </c>
      <c r="H188" s="2" t="s">
        <v>74</v>
      </c>
      <c r="I188" s="2" t="s">
        <v>74</v>
      </c>
      <c r="K188" s="5" t="s">
        <v>74</v>
      </c>
      <c r="L188" s="2" t="s">
        <v>196</v>
      </c>
      <c r="M188" s="8" t="str">
        <f t="array" ref="M188">Y107</f>
        <v>1ХВС::1.1</v>
      </c>
      <c r="AA188" s="206" t="str">
        <f>AA181&amp;".7"</f>
        <v>3.1.1.1.6.7</v>
      </c>
      <c r="AB188" s="199" t="s">
        <v>249</v>
      </c>
      <c r="AC188" s="197" t="s">
        <v>114</v>
      </c>
      <c r="AD188" s="136"/>
      <c r="AE188" s="136"/>
      <c r="AF188" s="195"/>
      <c r="AG188" s="202"/>
      <c r="AH188" s="202"/>
      <c r="AI188" s="136">
        <f t="array" ref="AI188">'ВС 2021-2025'!$AF$188</f>
        <v>0</v>
      </c>
      <c r="AJ188" s="202"/>
      <c r="AK188" s="202"/>
      <c r="AL188" s="202"/>
      <c r="AM188" s="202"/>
      <c r="AN188" s="203">
        <f t="array" ref="AN188">IF('ВС 2021-2025'!$AN$81="Методика",IF('ВС 2021-2025'!AI$158=0,0,'ВС 2021-2025'!AI188/'ВС 2021-2025'!AI$158*'ВС 2021-2025'!AN$159),'[2]Счет 23'!BT233)</f>
        <v>13384.071</v>
      </c>
      <c r="AO188" s="195">
        <v>5688.8262381120003</v>
      </c>
      <c r="AP188" s="202"/>
      <c r="AQ188" s="202"/>
      <c r="AR188" s="136">
        <v>5688.8262381120003</v>
      </c>
      <c r="AS188" s="202"/>
      <c r="AT188" s="202"/>
      <c r="AU188" s="203">
        <f t="array" ref="AU188">'[2]Счет 23'!BY233</f>
        <v>0</v>
      </c>
      <c r="AV188" s="195">
        <v>5868.4793707115996</v>
      </c>
      <c r="AW188" s="202"/>
      <c r="AX188" s="202"/>
      <c r="AY188" s="136">
        <v>5868.4793707115996</v>
      </c>
      <c r="AZ188" s="202"/>
      <c r="BA188" s="202"/>
      <c r="BB188" s="85"/>
      <c r="BC188" s="85"/>
      <c r="BD188" s="85"/>
      <c r="BE188" s="99">
        <f t="shared" si="2"/>
        <v>36498.682217647198</v>
      </c>
      <c r="BF188" s="99" t="e">
        <f t="array" ref="BF188">#REF!</f>
        <v>#REF!</v>
      </c>
      <c r="BG188" s="101"/>
      <c r="BH188" s="101"/>
      <c r="BI188" s="101"/>
      <c r="BJ188" s="101"/>
      <c r="BK188" s="101"/>
      <c r="BL188" s="101"/>
      <c r="BM188" s="101"/>
    </row>
    <row r="189" spans="1:66" ht="14.25" hidden="1" customHeight="1" outlineLevel="4" x14ac:dyDescent="0.25">
      <c r="A189" s="2" t="b">
        <f>'[2]Общие настройки'!$G$130="да"</f>
        <v>0</v>
      </c>
      <c r="B189" s="7"/>
      <c r="C189" s="2" t="s">
        <v>84</v>
      </c>
      <c r="D189" s="2" t="s">
        <v>85</v>
      </c>
      <c r="E189" s="2" t="s">
        <v>74</v>
      </c>
      <c r="F189" s="2" t="s">
        <v>75</v>
      </c>
      <c r="G189" s="2" t="s">
        <v>250</v>
      </c>
      <c r="H189" s="2" t="s">
        <v>74</v>
      </c>
      <c r="I189" s="2" t="s">
        <v>74</v>
      </c>
      <c r="J189" s="7"/>
      <c r="K189" s="5" t="s">
        <v>74</v>
      </c>
      <c r="L189" s="2" t="s">
        <v>196</v>
      </c>
      <c r="M189" s="8" t="str">
        <f t="array" ref="M189">Y107</f>
        <v>1ХВС::1.1</v>
      </c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5"/>
      <c r="AA189" s="209"/>
      <c r="AB189" s="210"/>
      <c r="AC189" s="211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1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62"/>
      <c r="BC189" s="62"/>
      <c r="BD189" s="62"/>
      <c r="BE189" s="170"/>
      <c r="BF189" s="170"/>
      <c r="BG189" s="68"/>
      <c r="BH189" s="68"/>
      <c r="BI189" s="68"/>
      <c r="BJ189" s="68"/>
      <c r="BK189" s="68"/>
      <c r="BL189" s="68"/>
      <c r="BM189" s="68"/>
      <c r="BN189" s="15"/>
    </row>
    <row r="190" spans="1:66" ht="14.25" customHeight="1" outlineLevel="4" x14ac:dyDescent="0.25">
      <c r="A190" s="2" t="b">
        <f>SETTING_OTHER_STRAIGHT="да"</f>
        <v>1</v>
      </c>
      <c r="C190" s="2" t="s">
        <v>84</v>
      </c>
      <c r="D190" s="2" t="s">
        <v>85</v>
      </c>
      <c r="E190" s="2" t="s">
        <v>74</v>
      </c>
      <c r="F190" s="2" t="s">
        <v>75</v>
      </c>
      <c r="G190" s="2" t="str">
        <f>IF('[2]Общие настройки'!$M$13="Oracle","Прочие прямые расходы","Другие производственные расходы")</f>
        <v>Другие производственные расходы</v>
      </c>
      <c r="H190" s="2" t="s">
        <v>74</v>
      </c>
      <c r="I190" s="2" t="s">
        <v>74</v>
      </c>
      <c r="K190" s="5" t="s">
        <v>74</v>
      </c>
      <c r="L190" s="2" t="s">
        <v>196</v>
      </c>
      <c r="M190" s="8" t="str">
        <f t="array" ref="M190">Y107</f>
        <v>1ХВС::1.1</v>
      </c>
      <c r="AA190" s="206" t="str">
        <f>AA181&amp;".8"</f>
        <v>3.1.1.1.6.8</v>
      </c>
      <c r="AB190" s="213" t="s">
        <v>251</v>
      </c>
      <c r="AC190" s="197" t="s">
        <v>114</v>
      </c>
      <c r="AD190" s="136">
        <v>35297.394690149296</v>
      </c>
      <c r="AE190" s="136">
        <v>37363.633978820901</v>
      </c>
      <c r="AF190" s="195">
        <v>43101.078620024797</v>
      </c>
      <c r="AG190" s="202"/>
      <c r="AH190" s="202"/>
      <c r="AI190" s="136">
        <v>43101.078620024797</v>
      </c>
      <c r="AJ190" s="202"/>
      <c r="AK190" s="202"/>
      <c r="AL190" s="202"/>
      <c r="AM190" s="202"/>
      <c r="AN190" s="203">
        <f t="array" ref="AN190">IF('ВС 2021-2025'!$AN$81="Методика",IF('ВС 2021-2025'!AI$158=0,0,'ВС 2021-2025'!AI190/'ВС 2021-2025'!AI$158*'ВС 2021-2025'!AN$159),'[2]Прочие прямые'!AH91)</f>
        <v>52913.848000000005</v>
      </c>
      <c r="AO190" s="195">
        <v>48684.157136991998</v>
      </c>
      <c r="AP190" s="202"/>
      <c r="AQ190" s="202"/>
      <c r="AR190" s="136">
        <v>48684.157136991998</v>
      </c>
      <c r="AS190" s="202"/>
      <c r="AT190" s="202"/>
      <c r="AU190" s="203">
        <f t="array" ref="AU190">'[2]Прочие прямые'!AM91</f>
        <v>59354.309904000002</v>
      </c>
      <c r="AV190" s="195">
        <v>50221.602819378197</v>
      </c>
      <c r="AW190" s="202"/>
      <c r="AX190" s="202"/>
      <c r="AY190" s="136">
        <v>50221.602819378197</v>
      </c>
      <c r="AZ190" s="202"/>
      <c r="BA190" s="202"/>
      <c r="BB190" s="85"/>
      <c r="BC190" s="85"/>
      <c r="BD190" s="85"/>
      <c r="BE190" s="99">
        <f t="shared" ref="BE190:BE221" si="3">SUM(AD190:BA190)</f>
        <v>468942.86372576019</v>
      </c>
      <c r="BF190" s="99" t="e">
        <f t="array" ref="BF190">#REF!</f>
        <v>#REF!</v>
      </c>
      <c r="BG190" s="101"/>
      <c r="BH190" s="101"/>
      <c r="BI190" s="101"/>
      <c r="BJ190" s="101"/>
      <c r="BK190" s="101"/>
      <c r="BL190" s="101"/>
      <c r="BM190" s="101"/>
    </row>
    <row r="191" spans="1:66" ht="14.25" customHeight="1" outlineLevel="3" x14ac:dyDescent="0.25">
      <c r="C191" s="2" t="s">
        <v>84</v>
      </c>
      <c r="D191" s="2" t="s">
        <v>85</v>
      </c>
      <c r="E191" s="2" t="s">
        <v>74</v>
      </c>
      <c r="F191" s="2" t="s">
        <v>75</v>
      </c>
      <c r="G191" s="2" t="s">
        <v>252</v>
      </c>
      <c r="H191" s="2" t="s">
        <v>74</v>
      </c>
      <c r="I191" s="2" t="s">
        <v>74</v>
      </c>
      <c r="K191" s="5" t="s">
        <v>74</v>
      </c>
      <c r="L191" s="2" t="s">
        <v>196</v>
      </c>
      <c r="M191" s="8" t="str">
        <f t="array" ref="M191">Y107</f>
        <v>1ХВС::1.1</v>
      </c>
      <c r="AA191" s="107" t="str">
        <f>AA158&amp;".2"</f>
        <v>3.1.1.2</v>
      </c>
      <c r="AB191" s="214" t="s">
        <v>253</v>
      </c>
      <c r="AC191" s="197" t="s">
        <v>114</v>
      </c>
      <c r="AD191" s="173">
        <v>27825.704439377703</v>
      </c>
      <c r="AE191" s="173">
        <v>29454.565839838397</v>
      </c>
      <c r="AF191" s="173">
        <v>33977.518319047405</v>
      </c>
      <c r="AG191" s="174"/>
      <c r="AH191" s="174"/>
      <c r="AI191" s="173">
        <f>AI192+AI193+AI194</f>
        <v>33977.518319047405</v>
      </c>
      <c r="AJ191" s="174"/>
      <c r="AK191" s="174"/>
      <c r="AL191" s="174"/>
      <c r="AM191" s="174"/>
      <c r="AN191" s="173" t="e">
        <f>AN192+AN193+AN194</f>
        <v>#REF!</v>
      </c>
      <c r="AO191" s="173">
        <v>125896.793186619</v>
      </c>
      <c r="AP191" s="174"/>
      <c r="AQ191" s="174"/>
      <c r="AR191" s="173">
        <f>AR192+AR193+AR194</f>
        <v>125896.793186619</v>
      </c>
      <c r="AS191" s="174"/>
      <c r="AT191" s="174"/>
      <c r="AU191" s="173" t="e">
        <f>AU192+AU193+AU194</f>
        <v>#REF!</v>
      </c>
      <c r="AV191" s="173">
        <v>129872.6139154525</v>
      </c>
      <c r="AW191" s="174"/>
      <c r="AX191" s="174"/>
      <c r="AY191" s="173">
        <f>AY192+AY193+AY194</f>
        <v>129872.6139154525</v>
      </c>
      <c r="AZ191" s="174"/>
      <c r="BA191" s="174"/>
      <c r="BB191" s="85"/>
      <c r="BC191" s="85"/>
      <c r="BD191" s="85"/>
      <c r="BE191" s="99" t="e">
        <f t="shared" si="3"/>
        <v>#REF!</v>
      </c>
      <c r="BF191" s="100" t="e">
        <f>BF192+BF193+BF194</f>
        <v>#REF!</v>
      </c>
      <c r="BG191" s="101"/>
      <c r="BH191" s="101"/>
      <c r="BI191" s="101"/>
      <c r="BJ191" s="101"/>
      <c r="BK191" s="101"/>
      <c r="BL191" s="101"/>
      <c r="BM191" s="101"/>
    </row>
    <row r="192" spans="1:66" ht="14.25" customHeight="1" outlineLevel="4" x14ac:dyDescent="0.25">
      <c r="C192" s="2" t="s">
        <v>84</v>
      </c>
      <c r="D192" s="2" t="s">
        <v>85</v>
      </c>
      <c r="E192" s="2" t="s">
        <v>74</v>
      </c>
      <c r="F192" s="2" t="s">
        <v>75</v>
      </c>
      <c r="G192" s="2" t="s">
        <v>254</v>
      </c>
      <c r="H192" s="2" t="s">
        <v>74</v>
      </c>
      <c r="I192" s="2" t="s">
        <v>74</v>
      </c>
      <c r="K192" s="5" t="s">
        <v>74</v>
      </c>
      <c r="L192" s="2" t="s">
        <v>196</v>
      </c>
      <c r="M192" s="8" t="str">
        <f t="array" ref="M192">Y107</f>
        <v>1ХВС::1.1</v>
      </c>
      <c r="AA192" s="107" t="str">
        <f>AA191&amp;".1"</f>
        <v>3.1.1.2.1</v>
      </c>
      <c r="AB192" s="198" t="s">
        <v>255</v>
      </c>
      <c r="AC192" s="197" t="s">
        <v>114</v>
      </c>
      <c r="AD192" s="136">
        <v>13560.7397315375</v>
      </c>
      <c r="AE192" s="136">
        <v>14354.558466963101</v>
      </c>
      <c r="AF192" s="195">
        <v>16558.800286691101</v>
      </c>
      <c r="AG192" s="202"/>
      <c r="AH192" s="202"/>
      <c r="AI192" s="136">
        <v>16558.800286691101</v>
      </c>
      <c r="AJ192" s="202"/>
      <c r="AK192" s="202"/>
      <c r="AL192" s="202"/>
      <c r="AM192" s="202"/>
      <c r="AN192" s="203">
        <f t="array" ref="AN192">IF('ВС 2021-2025'!$AN$81="Методика",IF('ВС 2021-2025'!AI$158=0,0,'ВС 2021-2025'!AI192/'ВС 2021-2025'!AI$158*'ВС 2021-2025'!AN$159),[2]Текремонт!BP116)</f>
        <v>9661.8050000000003</v>
      </c>
      <c r="AO192" s="195">
        <v>13314.8</v>
      </c>
      <c r="AP192" s="202"/>
      <c r="AQ192" s="202"/>
      <c r="AR192" s="136">
        <v>13314.8</v>
      </c>
      <c r="AS192" s="202"/>
      <c r="AT192" s="202"/>
      <c r="AU192" s="203">
        <f>[2]Текремонт!BP151*1</f>
        <v>0</v>
      </c>
      <c r="AV192" s="195">
        <v>13735.281384</v>
      </c>
      <c r="AW192" s="202"/>
      <c r="AX192" s="202"/>
      <c r="AY192" s="136">
        <v>13735.281384</v>
      </c>
      <c r="AZ192" s="202"/>
      <c r="BA192" s="202"/>
      <c r="BB192" s="85"/>
      <c r="BC192" s="85"/>
      <c r="BD192" s="85"/>
      <c r="BE192" s="99">
        <f t="shared" si="3"/>
        <v>124794.86653988282</v>
      </c>
      <c r="BF192" s="99" t="e">
        <f t="array" ref="BF192">#REF!</f>
        <v>#REF!</v>
      </c>
      <c r="BG192" s="101"/>
      <c r="BH192" s="101"/>
      <c r="BI192" s="101"/>
      <c r="BJ192" s="101"/>
      <c r="BK192" s="101"/>
      <c r="BL192" s="101"/>
      <c r="BM192" s="101"/>
    </row>
    <row r="193" spans="3:65" ht="14.25" customHeight="1" outlineLevel="4" x14ac:dyDescent="0.25">
      <c r="C193" s="2" t="s">
        <v>84</v>
      </c>
      <c r="D193" s="2" t="s">
        <v>85</v>
      </c>
      <c r="E193" s="2" t="s">
        <v>74</v>
      </c>
      <c r="F193" s="2" t="s">
        <v>75</v>
      </c>
      <c r="G193" s="2" t="s">
        <v>256</v>
      </c>
      <c r="H193" s="2" t="s">
        <v>74</v>
      </c>
      <c r="I193" s="2" t="s">
        <v>74</v>
      </c>
      <c r="K193" s="5" t="s">
        <v>74</v>
      </c>
      <c r="L193" s="2" t="s">
        <v>196</v>
      </c>
      <c r="M193" s="8" t="str">
        <f t="array" ref="M193">Y107</f>
        <v>1ХВС::1.1</v>
      </c>
      <c r="AA193" s="107" t="str">
        <f>AA191&amp;".2"</f>
        <v>3.1.1.2.2</v>
      </c>
      <c r="AB193" s="198" t="s">
        <v>257</v>
      </c>
      <c r="AC193" s="197" t="s">
        <v>114</v>
      </c>
      <c r="AD193" s="136">
        <v>4503.5294641836999</v>
      </c>
      <c r="AE193" s="136">
        <v>4767.1571227763998</v>
      </c>
      <c r="AF193" s="195">
        <v>5499.1870988582996</v>
      </c>
      <c r="AG193" s="202"/>
      <c r="AH193" s="202"/>
      <c r="AI193" s="136">
        <v>5499.1870988582996</v>
      </c>
      <c r="AJ193" s="202"/>
      <c r="AK193" s="202"/>
      <c r="AL193" s="202"/>
      <c r="AM193" s="202"/>
      <c r="AN193" s="203">
        <f>IF('ВС 2021-2025'!$AN$81="Методика",IF('ВС 2021-2025'!AI$158=0,0,'ВС 2021-2025'!AI193/'ВС 2021-2025'!AI$158*'ВС 2021-2025'!AN$159),[2]Капремонт!BT168-[2]Капремонт!BG168-[2]Капремонт!BH168)</f>
        <v>28727.88</v>
      </c>
      <c r="AO193" s="195">
        <v>70247.890342612605</v>
      </c>
      <c r="AP193" s="202"/>
      <c r="AQ193" s="202"/>
      <c r="AR193" s="136">
        <v>70247.890342612605</v>
      </c>
      <c r="AS193" s="202"/>
      <c r="AT193" s="202"/>
      <c r="AU193" s="203">
        <f>[2]Капремонт!BT264-[2]Капремонт!BG264-[2]Капремонт!BH264</f>
        <v>0</v>
      </c>
      <c r="AV193" s="195">
        <v>72466.318719632298</v>
      </c>
      <c r="AW193" s="202"/>
      <c r="AX193" s="202"/>
      <c r="AY193" s="136">
        <v>72466.318719632298</v>
      </c>
      <c r="AZ193" s="202"/>
      <c r="BA193" s="202"/>
      <c r="BB193" s="85"/>
      <c r="BC193" s="85"/>
      <c r="BD193" s="85"/>
      <c r="BE193" s="99">
        <f t="shared" si="3"/>
        <v>334425.35890916648</v>
      </c>
      <c r="BF193" s="99" t="e">
        <f t="array" ref="BF193">#REF!</f>
        <v>#REF!</v>
      </c>
      <c r="BG193" s="101"/>
      <c r="BH193" s="101"/>
      <c r="BI193" s="101"/>
      <c r="BJ193" s="101"/>
      <c r="BK193" s="101"/>
      <c r="BL193" s="101"/>
      <c r="BM193" s="101"/>
    </row>
    <row r="194" spans="3:65" ht="14.25" customHeight="1" outlineLevel="4" x14ac:dyDescent="0.25">
      <c r="C194" s="2" t="s">
        <v>84</v>
      </c>
      <c r="D194" s="2" t="s">
        <v>85</v>
      </c>
      <c r="E194" s="2" t="s">
        <v>74</v>
      </c>
      <c r="F194" s="2" t="s">
        <v>75</v>
      </c>
      <c r="G194" s="2" t="s">
        <v>205</v>
      </c>
      <c r="H194" s="2" t="s">
        <v>258</v>
      </c>
      <c r="I194" s="2" t="s">
        <v>74</v>
      </c>
      <c r="K194" s="5" t="s">
        <v>74</v>
      </c>
      <c r="L194" s="2" t="s">
        <v>196</v>
      </c>
      <c r="M194" s="8" t="str">
        <f t="array" ref="M194">Y107</f>
        <v>1ХВС::1.1</v>
      </c>
      <c r="AA194" s="107" t="str">
        <f>AA191&amp;".3"</f>
        <v>3.1.1.2.3</v>
      </c>
      <c r="AB194" s="198" t="s">
        <v>259</v>
      </c>
      <c r="AC194" s="197" t="s">
        <v>114</v>
      </c>
      <c r="AD194" s="173">
        <v>9761.4352436565005</v>
      </c>
      <c r="AE194" s="173">
        <v>10332.8502500989</v>
      </c>
      <c r="AF194" s="173">
        <v>11919.530933498001</v>
      </c>
      <c r="AG194" s="174"/>
      <c r="AH194" s="174"/>
      <c r="AI194" s="173">
        <f>AI195+AI198</f>
        <v>11919.530933498001</v>
      </c>
      <c r="AJ194" s="174"/>
      <c r="AK194" s="174"/>
      <c r="AL194" s="174"/>
      <c r="AM194" s="174"/>
      <c r="AN194" s="173" t="e">
        <f>AN195+AN198</f>
        <v>#REF!</v>
      </c>
      <c r="AO194" s="173">
        <v>42334.102844006396</v>
      </c>
      <c r="AP194" s="174"/>
      <c r="AQ194" s="174"/>
      <c r="AR194" s="173">
        <f>AR195+AR198</f>
        <v>42334.102844006396</v>
      </c>
      <c r="AS194" s="174"/>
      <c r="AT194" s="174"/>
      <c r="AU194" s="173" t="e">
        <f>AU195+AU198</f>
        <v>#REF!</v>
      </c>
      <c r="AV194" s="173">
        <v>43671.013811820201</v>
      </c>
      <c r="AW194" s="174"/>
      <c r="AX194" s="174"/>
      <c r="AY194" s="173">
        <f>AY195+AY198</f>
        <v>43671.013811820201</v>
      </c>
      <c r="AZ194" s="174"/>
      <c r="BA194" s="174"/>
      <c r="BB194" s="85"/>
      <c r="BC194" s="85"/>
      <c r="BD194" s="85"/>
      <c r="BE194" s="99" t="e">
        <f t="shared" si="3"/>
        <v>#REF!</v>
      </c>
      <c r="BF194" s="100" t="e">
        <f>BF195+BF198</f>
        <v>#REF!</v>
      </c>
      <c r="BG194" s="101"/>
      <c r="BH194" s="101"/>
      <c r="BI194" s="101"/>
      <c r="BJ194" s="101"/>
      <c r="BK194" s="101"/>
      <c r="BL194" s="101"/>
      <c r="BM194" s="101"/>
    </row>
    <row r="195" spans="3:65" ht="14.25" customHeight="1" outlineLevel="4" x14ac:dyDescent="0.25">
      <c r="C195" s="2" t="s">
        <v>84</v>
      </c>
      <c r="D195" s="2" t="s">
        <v>85</v>
      </c>
      <c r="E195" s="2" t="s">
        <v>74</v>
      </c>
      <c r="F195" s="2" t="s">
        <v>75</v>
      </c>
      <c r="G195" s="2" t="s">
        <v>208</v>
      </c>
      <c r="H195" s="2" t="s">
        <v>258</v>
      </c>
      <c r="I195" s="2" t="s">
        <v>74</v>
      </c>
      <c r="K195" s="5" t="s">
        <v>74</v>
      </c>
      <c r="L195" s="2" t="s">
        <v>196</v>
      </c>
      <c r="M195" s="8" t="str">
        <f t="array" ref="M195">Y107</f>
        <v>1ХВС::1.1</v>
      </c>
      <c r="AA195" s="107" t="str">
        <f>AA194&amp;".1"</f>
        <v>3.1.1.2.3.1</v>
      </c>
      <c r="AB195" s="199" t="s">
        <v>260</v>
      </c>
      <c r="AC195" s="197" t="s">
        <v>114</v>
      </c>
      <c r="AD195" s="136">
        <v>7497.2584219220998</v>
      </c>
      <c r="AE195" s="136">
        <v>7936.1330200245002</v>
      </c>
      <c r="AF195" s="195">
        <v>9154.7811818556002</v>
      </c>
      <c r="AG195" s="202"/>
      <c r="AH195" s="202"/>
      <c r="AI195" s="136">
        <v>9154.7811818556002</v>
      </c>
      <c r="AJ195" s="202"/>
      <c r="AK195" s="202"/>
      <c r="AL195" s="202"/>
      <c r="AM195" s="202"/>
      <c r="AN195" s="204" t="e">
        <f t="array" ref="AN195">IF('ВС 2021-2025'!$AN$81="Методика",IF('ВС 2021-2025'!AI$158=0,0,'ВС 2021-2025'!AI195/'ВС 2021-2025'!AI$158*'ВС 2021-2025'!AN$159),'ВС 2021-2025'!#REF!)</f>
        <v>#REF!</v>
      </c>
      <c r="AO195" s="195">
        <v>32514.6719232</v>
      </c>
      <c r="AP195" s="202"/>
      <c r="AQ195" s="202"/>
      <c r="AR195" s="136">
        <v>32514.6719232</v>
      </c>
      <c r="AS195" s="202"/>
      <c r="AT195" s="202"/>
      <c r="AU195" s="204" t="e">
        <f t="array" ref="AU195">'ВС 2021-2025'!#REF!</f>
        <v>#REF!</v>
      </c>
      <c r="AV195" s="195">
        <v>33541.485262534698</v>
      </c>
      <c r="AW195" s="202"/>
      <c r="AX195" s="202"/>
      <c r="AY195" s="136">
        <v>33541.485262534698</v>
      </c>
      <c r="AZ195" s="202"/>
      <c r="BA195" s="202"/>
      <c r="BB195" s="85"/>
      <c r="BC195" s="85"/>
      <c r="BD195" s="85"/>
      <c r="BE195" s="99" t="e">
        <f t="shared" si="3"/>
        <v>#REF!</v>
      </c>
      <c r="BF195" s="99" t="e">
        <f t="array" ref="BF195">#REF!</f>
        <v>#REF!</v>
      </c>
      <c r="BG195" s="101"/>
      <c r="BH195" s="101"/>
      <c r="BI195" s="101"/>
      <c r="BJ195" s="101"/>
      <c r="BK195" s="101"/>
      <c r="BL195" s="101"/>
      <c r="BM195" s="101"/>
    </row>
    <row r="196" spans="3:65" ht="14.25" customHeight="1" outlineLevel="4" x14ac:dyDescent="0.25">
      <c r="C196" s="2" t="s">
        <v>210</v>
      </c>
      <c r="D196" s="2" t="s">
        <v>211</v>
      </c>
      <c r="E196" s="2" t="s">
        <v>74</v>
      </c>
      <c r="F196" s="2" t="s">
        <v>75</v>
      </c>
      <c r="G196" s="2" t="s">
        <v>74</v>
      </c>
      <c r="H196" s="2" t="s">
        <v>258</v>
      </c>
      <c r="I196" s="2" t="s">
        <v>74</v>
      </c>
      <c r="K196" s="5" t="s">
        <v>74</v>
      </c>
      <c r="L196" s="2" t="s">
        <v>196</v>
      </c>
      <c r="M196" s="8" t="str">
        <f t="array" ref="M196">Y107</f>
        <v>1ХВС::1.1</v>
      </c>
      <c r="AA196" s="107" t="str">
        <f>AA195&amp;".1"</f>
        <v>3.1.1.2.3.1.1</v>
      </c>
      <c r="AB196" s="205" t="s">
        <v>212</v>
      </c>
      <c r="AC196" s="197" t="s">
        <v>213</v>
      </c>
      <c r="AD196" s="173">
        <v>30211.389514515231</v>
      </c>
      <c r="AE196" s="173">
        <v>31979.904174824711</v>
      </c>
      <c r="AF196" s="173">
        <v>36890.639836619928</v>
      </c>
      <c r="AG196" s="174"/>
      <c r="AH196" s="174"/>
      <c r="AI196" s="173">
        <f>IF(AI197=0,0,AI195*1000/AI$89/AI197)</f>
        <v>36890.639836619928</v>
      </c>
      <c r="AJ196" s="174"/>
      <c r="AK196" s="174"/>
      <c r="AL196" s="174"/>
      <c r="AM196" s="174"/>
      <c r="AN196" s="173" t="e">
        <f>IF(AN197=0,0,AN195*1000/AN$89/AN197)</f>
        <v>#REF!</v>
      </c>
      <c r="AO196" s="173">
        <v>54893.760000000002</v>
      </c>
      <c r="AP196" s="174"/>
      <c r="AQ196" s="174"/>
      <c r="AR196" s="173">
        <f>IF(AR197=0,0,AR195*1000/AR$89/AR197)</f>
        <v>54893.760000000002</v>
      </c>
      <c r="AS196" s="174"/>
      <c r="AT196" s="174"/>
      <c r="AU196" s="173" t="e">
        <f>IF(AU197=0,0,AU195*1000/AU$89/AU197)</f>
        <v>#REF!</v>
      </c>
      <c r="AV196" s="173">
        <v>57199.29792000007</v>
      </c>
      <c r="AW196" s="174"/>
      <c r="AX196" s="174"/>
      <c r="AY196" s="173" t="e">
        <f>IF(AY197=0,0,AY195*1000/AY$89/AY197)</f>
        <v>#REF!</v>
      </c>
      <c r="AZ196" s="174"/>
      <c r="BA196" s="174"/>
      <c r="BB196" s="85"/>
      <c r="BC196" s="85"/>
      <c r="BD196" s="85"/>
      <c r="BE196" s="99" t="e">
        <f t="shared" si="3"/>
        <v>#REF!</v>
      </c>
      <c r="BF196" s="100" t="e">
        <f>IF(BF197=0,0,BF195*1000/BF$89/BF197)</f>
        <v>#REF!</v>
      </c>
      <c r="BG196" s="101"/>
      <c r="BH196" s="101"/>
      <c r="BI196" s="101"/>
      <c r="BJ196" s="101"/>
      <c r="BK196" s="101"/>
      <c r="BL196" s="101"/>
      <c r="BM196" s="101"/>
    </row>
    <row r="197" spans="3:65" ht="14.25" customHeight="1" outlineLevel="4" x14ac:dyDescent="0.25">
      <c r="C197" s="2" t="s">
        <v>214</v>
      </c>
      <c r="D197" s="2" t="s">
        <v>215</v>
      </c>
      <c r="E197" s="2" t="s">
        <v>74</v>
      </c>
      <c r="F197" s="2" t="s">
        <v>75</v>
      </c>
      <c r="G197" s="2" t="s">
        <v>74</v>
      </c>
      <c r="H197" s="2" t="s">
        <v>258</v>
      </c>
      <c r="I197" s="2" t="s">
        <v>74</v>
      </c>
      <c r="K197" s="5" t="s">
        <v>74</v>
      </c>
      <c r="L197" s="2" t="s">
        <v>196</v>
      </c>
      <c r="M197" s="8" t="str">
        <f t="array" ref="M197">Y107</f>
        <v>1ХВС::1.1</v>
      </c>
      <c r="AA197" s="107" t="str">
        <f>AA195&amp;".2"</f>
        <v>3.1.1.2.3.1.2</v>
      </c>
      <c r="AB197" s="205" t="s">
        <v>216</v>
      </c>
      <c r="AC197" s="197" t="s">
        <v>217</v>
      </c>
      <c r="AD197" s="136">
        <v>20.68</v>
      </c>
      <c r="AE197" s="136">
        <v>20.68</v>
      </c>
      <c r="AF197" s="195">
        <v>20.68</v>
      </c>
      <c r="AG197" s="202"/>
      <c r="AH197" s="202"/>
      <c r="AI197" s="136">
        <v>20.68</v>
      </c>
      <c r="AJ197" s="202"/>
      <c r="AK197" s="202"/>
      <c r="AL197" s="202"/>
      <c r="AM197" s="202"/>
      <c r="AN197" s="204" t="e">
        <f t="array" ref="AN197">IF('ВС 2021-2025'!$AN$81="Методика",'ВС 2021-2025'!AI197,'ВС 2021-2025'!#REF!)</f>
        <v>#REF!</v>
      </c>
      <c r="AO197" s="195">
        <v>49.36</v>
      </c>
      <c r="AP197" s="202"/>
      <c r="AQ197" s="202"/>
      <c r="AR197" s="136">
        <v>49.36</v>
      </c>
      <c r="AS197" s="202"/>
      <c r="AT197" s="202"/>
      <c r="AU197" s="204" t="e">
        <f t="array" ref="AU197">'ВС 2021-2025'!#REF!</f>
        <v>#REF!</v>
      </c>
      <c r="AV197" s="195">
        <v>48.866399999999999</v>
      </c>
      <c r="AW197" s="202"/>
      <c r="AX197" s="202"/>
      <c r="AY197" s="136">
        <v>48.866399999999999</v>
      </c>
      <c r="AZ197" s="202"/>
      <c r="BA197" s="202"/>
      <c r="BB197" s="85"/>
      <c r="BC197" s="85"/>
      <c r="BD197" s="85"/>
      <c r="BE197" s="99" t="e">
        <f t="shared" si="3"/>
        <v>#REF!</v>
      </c>
      <c r="BF197" s="99" t="e">
        <f t="array" ref="BF197">#REF!</f>
        <v>#REF!</v>
      </c>
      <c r="BG197" s="101"/>
      <c r="BH197" s="101"/>
      <c r="BI197" s="101"/>
      <c r="BJ197" s="101"/>
      <c r="BK197" s="101"/>
      <c r="BL197" s="101"/>
      <c r="BM197" s="101"/>
    </row>
    <row r="198" spans="3:65" ht="14.25" customHeight="1" outlineLevel="4" x14ac:dyDescent="0.25">
      <c r="C198" s="2" t="s">
        <v>84</v>
      </c>
      <c r="D198" s="2" t="s">
        <v>85</v>
      </c>
      <c r="E198" s="2" t="s">
        <v>74</v>
      </c>
      <c r="F198" s="2" t="s">
        <v>75</v>
      </c>
      <c r="G198" s="2" t="s">
        <v>218</v>
      </c>
      <c r="H198" s="2" t="s">
        <v>258</v>
      </c>
      <c r="I198" s="2" t="s">
        <v>74</v>
      </c>
      <c r="K198" s="5" t="s">
        <v>74</v>
      </c>
      <c r="L198" s="2" t="s">
        <v>196</v>
      </c>
      <c r="M198" s="8" t="str">
        <f t="array" ref="M198">Y107</f>
        <v>1ХВС::1.1</v>
      </c>
      <c r="AA198" s="107" t="str">
        <f>AA194&amp;".2"</f>
        <v>3.1.1.2.3.2</v>
      </c>
      <c r="AB198" s="199" t="s">
        <v>261</v>
      </c>
      <c r="AC198" s="197" t="s">
        <v>114</v>
      </c>
      <c r="AD198" s="136">
        <v>2264.1768217344002</v>
      </c>
      <c r="AE198" s="136">
        <v>2396.7172300744</v>
      </c>
      <c r="AF198" s="195">
        <v>2764.7497516424</v>
      </c>
      <c r="AG198" s="202"/>
      <c r="AH198" s="202"/>
      <c r="AI198" s="136">
        <v>2764.7497516424</v>
      </c>
      <c r="AJ198" s="202"/>
      <c r="AK198" s="202"/>
      <c r="AL198" s="202"/>
      <c r="AM198" s="202"/>
      <c r="AN198" s="204" t="e">
        <f t="array" ref="AN198">IF('ВС 2021-2025'!$AN$81="Методика",IF('ВС 2021-2025'!AI$158=0,0,'ВС 2021-2025'!AI198/'ВС 2021-2025'!AI$158*'ВС 2021-2025'!AN$159),'ВС 2021-2025'!#REF!)</f>
        <v>#REF!</v>
      </c>
      <c r="AO198" s="195">
        <v>9819.4309208064005</v>
      </c>
      <c r="AP198" s="202"/>
      <c r="AQ198" s="202"/>
      <c r="AR198" s="136">
        <v>9819.4309208064005</v>
      </c>
      <c r="AS198" s="202"/>
      <c r="AT198" s="202"/>
      <c r="AU198" s="204" t="e">
        <f t="array" ref="AU198">'ВС 2021-2025'!#REF!</f>
        <v>#REF!</v>
      </c>
      <c r="AV198" s="195">
        <v>10129.5285492855</v>
      </c>
      <c r="AW198" s="202"/>
      <c r="AX198" s="202"/>
      <c r="AY198" s="136">
        <v>10129.5285492855</v>
      </c>
      <c r="AZ198" s="202"/>
      <c r="BA198" s="202"/>
      <c r="BB198" s="85"/>
      <c r="BC198" s="85"/>
      <c r="BD198" s="85"/>
      <c r="BE198" s="99" t="e">
        <f t="shared" si="3"/>
        <v>#REF!</v>
      </c>
      <c r="BF198" s="99" t="e">
        <f t="array" ref="BF198">#REF!</f>
        <v>#REF!</v>
      </c>
      <c r="BG198" s="101"/>
      <c r="BH198" s="101"/>
      <c r="BI198" s="101"/>
      <c r="BJ198" s="101"/>
      <c r="BK198" s="101"/>
      <c r="BL198" s="101"/>
      <c r="BM198" s="101"/>
    </row>
    <row r="199" spans="3:65" ht="14.25" customHeight="1" outlineLevel="4" x14ac:dyDescent="0.25">
      <c r="C199" s="2" t="s">
        <v>220</v>
      </c>
      <c r="D199" s="2" t="s">
        <v>221</v>
      </c>
      <c r="E199" s="2" t="s">
        <v>74</v>
      </c>
      <c r="F199" s="2" t="s">
        <v>75</v>
      </c>
      <c r="G199" s="2" t="s">
        <v>74</v>
      </c>
      <c r="H199" s="2" t="s">
        <v>258</v>
      </c>
      <c r="I199" s="2" t="s">
        <v>74</v>
      </c>
      <c r="K199" s="5" t="s">
        <v>74</v>
      </c>
      <c r="L199" s="2" t="s">
        <v>196</v>
      </c>
      <c r="M199" s="8" t="str">
        <f t="array" ref="M199">Y107</f>
        <v>1ХВС::1.1</v>
      </c>
      <c r="AA199" s="107" t="str">
        <f>AA198&amp;".1"</f>
        <v>3.1.1.2.3.2.1</v>
      </c>
      <c r="AB199" s="205" t="s">
        <v>222</v>
      </c>
      <c r="AC199" s="197" t="s">
        <v>122</v>
      </c>
      <c r="AD199" s="173">
        <v>30.200063734149968</v>
      </c>
      <c r="AE199" s="173">
        <v>30.200063734150977</v>
      </c>
      <c r="AF199" s="173">
        <v>30.200063734150419</v>
      </c>
      <c r="AG199" s="174"/>
      <c r="AH199" s="174"/>
      <c r="AI199" s="173">
        <f>IF(AI195=0,0,AI198/AI195*100)</f>
        <v>30.200063734150419</v>
      </c>
      <c r="AJ199" s="174"/>
      <c r="AK199" s="174"/>
      <c r="AL199" s="174"/>
      <c r="AM199" s="174"/>
      <c r="AN199" s="173" t="e">
        <f>IF(AN195=0,0,AN198/AN195*100)</f>
        <v>#REF!</v>
      </c>
      <c r="AO199" s="173">
        <v>30.200000000000003</v>
      </c>
      <c r="AP199" s="174"/>
      <c r="AQ199" s="174"/>
      <c r="AR199" s="173">
        <f>IF(AR195=0,0,AR198/AR195*100)</f>
        <v>30.200000000000003</v>
      </c>
      <c r="AS199" s="174"/>
      <c r="AT199" s="174"/>
      <c r="AU199" s="173" t="e">
        <f>IF(AU195=0,0,AU198/AU195*100)</f>
        <v>#REF!</v>
      </c>
      <c r="AV199" s="173">
        <v>30.200000000000067</v>
      </c>
      <c r="AW199" s="174"/>
      <c r="AX199" s="174"/>
      <c r="AY199" s="173">
        <f>IF(AY195=0,0,AY198/AY195*100)</f>
        <v>30.200000000000067</v>
      </c>
      <c r="AZ199" s="174"/>
      <c r="BA199" s="174"/>
      <c r="BB199" s="85"/>
      <c r="BC199" s="85"/>
      <c r="BD199" s="85"/>
      <c r="BE199" s="99" t="e">
        <f t="shared" si="3"/>
        <v>#REF!</v>
      </c>
      <c r="BF199" s="100" t="e">
        <f>IF(BF195=0,0,BF198/BF195*100)</f>
        <v>#REF!</v>
      </c>
      <c r="BG199" s="101"/>
      <c r="BH199" s="101"/>
      <c r="BI199" s="101"/>
      <c r="BJ199" s="101"/>
      <c r="BK199" s="101"/>
      <c r="BL199" s="101"/>
      <c r="BM199" s="101"/>
    </row>
    <row r="200" spans="3:65" ht="14.25" customHeight="1" outlineLevel="3" x14ac:dyDescent="0.25">
      <c r="C200" s="2" t="s">
        <v>84</v>
      </c>
      <c r="D200" s="2" t="s">
        <v>85</v>
      </c>
      <c r="E200" s="2" t="s">
        <v>74</v>
      </c>
      <c r="F200" s="2" t="s">
        <v>75</v>
      </c>
      <c r="G200" s="2" t="s">
        <v>262</v>
      </c>
      <c r="H200" s="2" t="s">
        <v>74</v>
      </c>
      <c r="I200" s="2" t="s">
        <v>74</v>
      </c>
      <c r="K200" s="5" t="s">
        <v>74</v>
      </c>
      <c r="L200" s="2" t="s">
        <v>196</v>
      </c>
      <c r="M200" s="8" t="str">
        <f t="array" ref="M200">Y107</f>
        <v>1ХВС::1.1</v>
      </c>
      <c r="AA200" s="206" t="str">
        <f>AA158&amp;".3"</f>
        <v>3.1.1.3</v>
      </c>
      <c r="AB200" s="214" t="s">
        <v>262</v>
      </c>
      <c r="AC200" s="197" t="s">
        <v>114</v>
      </c>
      <c r="AD200" s="173">
        <v>41771.549030733797</v>
      </c>
      <c r="AE200" s="173">
        <v>44216.772439249697</v>
      </c>
      <c r="AF200" s="173">
        <v>51006.563930802899</v>
      </c>
      <c r="AG200" s="174"/>
      <c r="AH200" s="174"/>
      <c r="AI200" s="173">
        <f>AI201+AI209+AI215+AI216+AI217+AI218+AI219</f>
        <v>51006.563930802899</v>
      </c>
      <c r="AJ200" s="174"/>
      <c r="AK200" s="174"/>
      <c r="AL200" s="174"/>
      <c r="AM200" s="174"/>
      <c r="AN200" s="173">
        <f>AN201+AN209+AN215+AN216+AN217+AN218+AN219</f>
        <v>96015.508659999992</v>
      </c>
      <c r="AO200" s="173">
        <v>81511.746260505606</v>
      </c>
      <c r="AP200" s="174"/>
      <c r="AQ200" s="174"/>
      <c r="AR200" s="173">
        <f>AR201+AR209+AR215+AR216+AR217+AR218+AR219</f>
        <v>81511.746260505606</v>
      </c>
      <c r="AS200" s="174"/>
      <c r="AT200" s="174"/>
      <c r="AU200" s="173">
        <f>AU201+AU209+AU215+AU216+AU217+AU218+AU219</f>
        <v>0</v>
      </c>
      <c r="AV200" s="173">
        <v>84066.413842532202</v>
      </c>
      <c r="AW200" s="174"/>
      <c r="AX200" s="174"/>
      <c r="AY200" s="173">
        <f>AY201+AY209+AY215+AY216+AY217+AY218+AY219</f>
        <v>84066.413842532202</v>
      </c>
      <c r="AZ200" s="174"/>
      <c r="BA200" s="174"/>
      <c r="BB200" s="85"/>
      <c r="BC200" s="85"/>
      <c r="BD200" s="85"/>
      <c r="BE200" s="99">
        <f t="shared" si="3"/>
        <v>615173.27819766488</v>
      </c>
      <c r="BF200" s="100" t="e">
        <f>BF201+BF209+BF215+BF216+BF217+BF218+BF219</f>
        <v>#REF!</v>
      </c>
      <c r="BG200" s="101"/>
      <c r="BH200" s="101"/>
      <c r="BI200" s="101"/>
      <c r="BJ200" s="101"/>
      <c r="BK200" s="101"/>
      <c r="BL200" s="101"/>
      <c r="BM200" s="101"/>
    </row>
    <row r="201" spans="3:65" ht="25.5" customHeight="1" outlineLevel="4" x14ac:dyDescent="0.25">
      <c r="C201" s="2" t="s">
        <v>84</v>
      </c>
      <c r="D201" s="2" t="s">
        <v>85</v>
      </c>
      <c r="E201" s="2" t="s">
        <v>74</v>
      </c>
      <c r="F201" s="2" t="s">
        <v>75</v>
      </c>
      <c r="G201" s="2" t="s">
        <v>263</v>
      </c>
      <c r="H201" s="2" t="s">
        <v>74</v>
      </c>
      <c r="I201" s="2" t="s">
        <v>74</v>
      </c>
      <c r="K201" s="5" t="s">
        <v>74</v>
      </c>
      <c r="L201" s="2" t="s">
        <v>196</v>
      </c>
      <c r="M201" s="8" t="str">
        <f t="array" ref="M201">Y107</f>
        <v>1ХВС::1.1</v>
      </c>
      <c r="AA201" s="107" t="str">
        <f>AA200&amp;".1"</f>
        <v>3.1.1.3.1</v>
      </c>
      <c r="AB201" s="198" t="s">
        <v>264</v>
      </c>
      <c r="AC201" s="197" t="s">
        <v>114</v>
      </c>
      <c r="AD201" s="173">
        <v>2209.4567439686002</v>
      </c>
      <c r="AE201" s="173">
        <v>2338.7939477786999</v>
      </c>
      <c r="AF201" s="173">
        <v>2697.9319483857998</v>
      </c>
      <c r="AG201" s="174"/>
      <c r="AH201" s="174"/>
      <c r="AI201" s="173">
        <f>AI202+AI203+AI204+AI205+AI206+AI207+AI208</f>
        <v>2697.9319483857998</v>
      </c>
      <c r="AJ201" s="174"/>
      <c r="AK201" s="174"/>
      <c r="AL201" s="174"/>
      <c r="AM201" s="174"/>
      <c r="AN201" s="173">
        <f>AN202+AN203+AN204+AN205+AN206+AN207+AN208</f>
        <v>12981.099</v>
      </c>
      <c r="AO201" s="173">
        <v>10162.543344352001</v>
      </c>
      <c r="AP201" s="174"/>
      <c r="AQ201" s="174"/>
      <c r="AR201" s="173">
        <f>AR202+AR203+AR204+AR205+AR206+AR207+AR208</f>
        <v>10162.543344352001</v>
      </c>
      <c r="AS201" s="174"/>
      <c r="AT201" s="174"/>
      <c r="AU201" s="173">
        <f>AU202+AU203+AU204+AU205+AU206+AU207+AU208</f>
        <v>0</v>
      </c>
      <c r="AV201" s="173">
        <v>10483.476463166498</v>
      </c>
      <c r="AW201" s="174"/>
      <c r="AX201" s="174"/>
      <c r="AY201" s="173">
        <f>AY202+AY203+AY204+AY205+AY206+AY207+AY208</f>
        <v>10483.476463166498</v>
      </c>
      <c r="AZ201" s="174"/>
      <c r="BA201" s="174"/>
      <c r="BB201" s="85"/>
      <c r="BC201" s="85"/>
      <c r="BD201" s="85"/>
      <c r="BE201" s="99">
        <f t="shared" si="3"/>
        <v>64217.253203555898</v>
      </c>
      <c r="BF201" s="100" t="e">
        <f>BF202+BF203+BF204+BF205+BF206+BF207+BF208</f>
        <v>#REF!</v>
      </c>
      <c r="BG201" s="101"/>
      <c r="BH201" s="101"/>
      <c r="BI201" s="101"/>
      <c r="BJ201" s="101"/>
      <c r="BK201" s="101"/>
      <c r="BL201" s="101"/>
      <c r="BM201" s="101"/>
    </row>
    <row r="202" spans="3:65" ht="14.25" customHeight="1" outlineLevel="5" x14ac:dyDescent="0.25">
      <c r="C202" s="2" t="s">
        <v>84</v>
      </c>
      <c r="D202" s="2" t="s">
        <v>85</v>
      </c>
      <c r="E202" s="2" t="s">
        <v>74</v>
      </c>
      <c r="F202" s="2" t="s">
        <v>75</v>
      </c>
      <c r="G202" s="2" t="s">
        <v>265</v>
      </c>
      <c r="H202" s="2" t="s">
        <v>74</v>
      </c>
      <c r="I202" s="2" t="s">
        <v>74</v>
      </c>
      <c r="K202" s="5" t="s">
        <v>74</v>
      </c>
      <c r="L202" s="2" t="s">
        <v>196</v>
      </c>
      <c r="M202" s="8" t="str">
        <f t="array" ref="M202">Y107</f>
        <v>1ХВС::1.1</v>
      </c>
      <c r="AA202" s="107" t="str">
        <f>AA201&amp;".1"</f>
        <v>3.1.1.3.1.1</v>
      </c>
      <c r="AB202" s="199" t="s">
        <v>266</v>
      </c>
      <c r="AC202" s="197" t="s">
        <v>114</v>
      </c>
      <c r="AD202" s="136">
        <v>933.16489568760005</v>
      </c>
      <c r="AE202" s="136">
        <v>987.79051288129995</v>
      </c>
      <c r="AF202" s="195">
        <v>1139.4725839555001</v>
      </c>
      <c r="AG202" s="202"/>
      <c r="AH202" s="202"/>
      <c r="AI202" s="136">
        <v>1139.4725839555001</v>
      </c>
      <c r="AJ202" s="202"/>
      <c r="AK202" s="202"/>
      <c r="AL202" s="202"/>
      <c r="AM202" s="202"/>
      <c r="AN202" s="203">
        <f t="array" ref="AN202">IF('ВС 2021-2025'!$AN$81="Методика",IF('ВС 2021-2025'!AI$158=0,0,'ВС 2021-2025'!AI202/'ВС 2021-2025'!AI$158*'ВС 2021-2025'!AN$159),[2]Адм.расходы!BT164)</f>
        <v>1762.5099999999998</v>
      </c>
      <c r="AO202" s="195">
        <v>1207.4484864000001</v>
      </c>
      <c r="AP202" s="202"/>
      <c r="AQ202" s="202"/>
      <c r="AR202" s="136">
        <v>1207.4484864000001</v>
      </c>
      <c r="AS202" s="202"/>
      <c r="AT202" s="202"/>
      <c r="AU202" s="203">
        <f t="array" ref="AU202">[2]Адм.расходы!BY164</f>
        <v>0</v>
      </c>
      <c r="AV202" s="195">
        <v>1245.5797096005001</v>
      </c>
      <c r="AW202" s="202"/>
      <c r="AX202" s="202"/>
      <c r="AY202" s="136">
        <v>1245.5797096005001</v>
      </c>
      <c r="AZ202" s="202"/>
      <c r="BA202" s="202"/>
      <c r="BB202" s="85"/>
      <c r="BC202" s="85"/>
      <c r="BD202" s="85"/>
      <c r="BE202" s="99">
        <f t="shared" si="3"/>
        <v>10868.466968480903</v>
      </c>
      <c r="BF202" s="99" t="e">
        <f t="array" ref="BF202">#REF!</f>
        <v>#REF!</v>
      </c>
      <c r="BG202" s="101"/>
      <c r="BH202" s="101"/>
      <c r="BI202" s="101"/>
      <c r="BJ202" s="101"/>
      <c r="BK202" s="101"/>
      <c r="BL202" s="101"/>
      <c r="BM202" s="101"/>
    </row>
    <row r="203" spans="3:65" ht="14.25" customHeight="1" outlineLevel="5" x14ac:dyDescent="0.25">
      <c r="C203" s="2" t="s">
        <v>84</v>
      </c>
      <c r="D203" s="2" t="s">
        <v>85</v>
      </c>
      <c r="E203" s="2" t="s">
        <v>74</v>
      </c>
      <c r="F203" s="2" t="s">
        <v>75</v>
      </c>
      <c r="G203" s="2" t="s">
        <v>267</v>
      </c>
      <c r="H203" s="2" t="s">
        <v>74</v>
      </c>
      <c r="I203" s="2" t="s">
        <v>74</v>
      </c>
      <c r="K203" s="5" t="s">
        <v>74</v>
      </c>
      <c r="L203" s="2" t="s">
        <v>196</v>
      </c>
      <c r="M203" s="8" t="str">
        <f t="array" ref="M203">Y107</f>
        <v>1ХВС::1.1</v>
      </c>
      <c r="AA203" s="107" t="str">
        <f>AA201&amp;".2"</f>
        <v>3.1.1.3.1.2</v>
      </c>
      <c r="AB203" s="199" t="s">
        <v>268</v>
      </c>
      <c r="AC203" s="197" t="s">
        <v>114</v>
      </c>
      <c r="AD203" s="136"/>
      <c r="AE203" s="136"/>
      <c r="AF203" s="195"/>
      <c r="AG203" s="202"/>
      <c r="AH203" s="202"/>
      <c r="AI203" s="136">
        <f t="array" ref="AI203">'ВС 2021-2025'!$AF$203</f>
        <v>0</v>
      </c>
      <c r="AJ203" s="202"/>
      <c r="AK203" s="202"/>
      <c r="AL203" s="202"/>
      <c r="AM203" s="202"/>
      <c r="AN203" s="203">
        <f t="array" ref="AN203">IF('ВС 2021-2025'!$AN$81="Методика",IF('ВС 2021-2025'!AI$158=0,0,'ВС 2021-2025'!AI203/'ВС 2021-2025'!AI$158*'ВС 2021-2025'!AN$159),[2]Адм.расходы!BT165)</f>
        <v>0</v>
      </c>
      <c r="AO203" s="195"/>
      <c r="AP203" s="202"/>
      <c r="AQ203" s="202"/>
      <c r="AR203" s="136">
        <f t="array" ref="AR203">'ВС 2021-2025'!$AO$203</f>
        <v>0</v>
      </c>
      <c r="AS203" s="202"/>
      <c r="AT203" s="202"/>
      <c r="AU203" s="203">
        <f t="array" ref="AU203">[2]Адм.расходы!BY165</f>
        <v>0</v>
      </c>
      <c r="AV203" s="195">
        <v>0</v>
      </c>
      <c r="AW203" s="202"/>
      <c r="AX203" s="202"/>
      <c r="AY203" s="136">
        <f>IF(AY$88,AR203*AY$112,AV203*1)</f>
        <v>0</v>
      </c>
      <c r="AZ203" s="202"/>
      <c r="BA203" s="202"/>
      <c r="BB203" s="85"/>
      <c r="BC203" s="85"/>
      <c r="BD203" s="85"/>
      <c r="BE203" s="99">
        <f t="shared" si="3"/>
        <v>0</v>
      </c>
      <c r="BF203" s="99" t="e">
        <f t="array" ref="BF203">#REF!</f>
        <v>#REF!</v>
      </c>
      <c r="BG203" s="101"/>
      <c r="BH203" s="101"/>
      <c r="BI203" s="101"/>
      <c r="BJ203" s="101"/>
      <c r="BK203" s="101"/>
      <c r="BL203" s="101"/>
      <c r="BM203" s="101"/>
    </row>
    <row r="204" spans="3:65" ht="14.25" customHeight="1" outlineLevel="5" x14ac:dyDescent="0.25">
      <c r="C204" s="2" t="s">
        <v>84</v>
      </c>
      <c r="D204" s="2" t="s">
        <v>85</v>
      </c>
      <c r="E204" s="2" t="s">
        <v>74</v>
      </c>
      <c r="F204" s="2" t="s">
        <v>75</v>
      </c>
      <c r="G204" s="2" t="s">
        <v>269</v>
      </c>
      <c r="H204" s="2" t="s">
        <v>74</v>
      </c>
      <c r="I204" s="2" t="s">
        <v>74</v>
      </c>
      <c r="K204" s="5" t="s">
        <v>74</v>
      </c>
      <c r="L204" s="2" t="s">
        <v>196</v>
      </c>
      <c r="M204" s="8" t="str">
        <f t="array" ref="M204">Y107</f>
        <v>1ХВС::1.1</v>
      </c>
      <c r="AA204" s="107" t="str">
        <f>AA201&amp;".3"</f>
        <v>3.1.1.3.1.3</v>
      </c>
      <c r="AB204" s="199" t="s">
        <v>270</v>
      </c>
      <c r="AC204" s="197" t="s">
        <v>114</v>
      </c>
      <c r="AD204" s="136"/>
      <c r="AE204" s="136"/>
      <c r="AF204" s="195"/>
      <c r="AG204" s="202"/>
      <c r="AH204" s="202"/>
      <c r="AI204" s="136">
        <f t="array" ref="AI204">'ВС 2021-2025'!$AF$204</f>
        <v>0</v>
      </c>
      <c r="AJ204" s="202"/>
      <c r="AK204" s="202"/>
      <c r="AL204" s="202"/>
      <c r="AM204" s="202"/>
      <c r="AN204" s="203">
        <f t="array" ref="AN204">IF('ВС 2021-2025'!$AN$81="Методика",IF('ВС 2021-2025'!AI$158=0,0,'ВС 2021-2025'!AI204/'ВС 2021-2025'!AI$158*'ВС 2021-2025'!AN$159),[2]Адм.расходы!BT166)</f>
        <v>665.75100000000009</v>
      </c>
      <c r="AO204" s="195">
        <v>2180.4298880000001</v>
      </c>
      <c r="AP204" s="202"/>
      <c r="AQ204" s="202"/>
      <c r="AR204" s="136">
        <v>2180.4298880000001</v>
      </c>
      <c r="AS204" s="202"/>
      <c r="AT204" s="202"/>
      <c r="AU204" s="203">
        <f t="array" ref="AU204">[2]Адм.расходы!BY166</f>
        <v>0</v>
      </c>
      <c r="AV204" s="195">
        <v>2249.287863863</v>
      </c>
      <c r="AW204" s="202"/>
      <c r="AX204" s="202"/>
      <c r="AY204" s="136">
        <v>2249.287863863</v>
      </c>
      <c r="AZ204" s="202"/>
      <c r="BA204" s="202"/>
      <c r="BB204" s="85"/>
      <c r="BC204" s="85"/>
      <c r="BD204" s="85"/>
      <c r="BE204" s="99">
        <f t="shared" si="3"/>
        <v>9525.1865037259995</v>
      </c>
      <c r="BF204" s="99" t="e">
        <f t="array" ref="BF204">#REF!</f>
        <v>#REF!</v>
      </c>
      <c r="BG204" s="101"/>
      <c r="BH204" s="101"/>
      <c r="BI204" s="101"/>
      <c r="BJ204" s="101"/>
      <c r="BK204" s="101"/>
      <c r="BL204" s="101"/>
      <c r="BM204" s="101"/>
    </row>
    <row r="205" spans="3:65" ht="14.25" customHeight="1" outlineLevel="5" x14ac:dyDescent="0.25">
      <c r="C205" s="2" t="s">
        <v>84</v>
      </c>
      <c r="D205" s="2" t="s">
        <v>85</v>
      </c>
      <c r="E205" s="2" t="s">
        <v>74</v>
      </c>
      <c r="F205" s="2" t="s">
        <v>75</v>
      </c>
      <c r="G205" s="2" t="s">
        <v>271</v>
      </c>
      <c r="H205" s="2" t="s">
        <v>74</v>
      </c>
      <c r="I205" s="2" t="s">
        <v>74</v>
      </c>
      <c r="K205" s="5" t="s">
        <v>74</v>
      </c>
      <c r="L205" s="2" t="s">
        <v>196</v>
      </c>
      <c r="M205" s="8" t="str">
        <f t="array" ref="M205">Y107</f>
        <v>1ХВС::1.1</v>
      </c>
      <c r="AA205" s="206" t="str">
        <f>AA201&amp;".4"</f>
        <v>3.1.1.3.1.4</v>
      </c>
      <c r="AB205" s="199" t="s">
        <v>272</v>
      </c>
      <c r="AC205" s="197" t="s">
        <v>114</v>
      </c>
      <c r="AD205" s="136">
        <v>193.6160239141</v>
      </c>
      <c r="AE205" s="136">
        <v>204.94992090669999</v>
      </c>
      <c r="AF205" s="195">
        <v>236.42139999490001</v>
      </c>
      <c r="AG205" s="202"/>
      <c r="AH205" s="202"/>
      <c r="AI205" s="136">
        <v>236.42139999490001</v>
      </c>
      <c r="AJ205" s="202"/>
      <c r="AK205" s="202"/>
      <c r="AL205" s="202"/>
      <c r="AM205" s="202"/>
      <c r="AN205" s="203">
        <f t="array" ref="AN205">IF('ВС 2021-2025'!$AN$81="Методика",IF('ВС 2021-2025'!AI$158=0,0,'ВС 2021-2025'!AI205/'ВС 2021-2025'!AI$158*'ВС 2021-2025'!AN$159),[2]Адм.расходы!BT167)</f>
        <v>1663.42</v>
      </c>
      <c r="AO205" s="195">
        <v>1359.1277439999999</v>
      </c>
      <c r="AP205" s="202"/>
      <c r="AQ205" s="202"/>
      <c r="AR205" s="136">
        <v>1359.1277439999999</v>
      </c>
      <c r="AS205" s="202"/>
      <c r="AT205" s="202"/>
      <c r="AU205" s="203">
        <f t="array" ref="AU205">[2]Адм.расходы!BY167</f>
        <v>0</v>
      </c>
      <c r="AV205" s="195">
        <v>1402.0489981554999</v>
      </c>
      <c r="AW205" s="202"/>
      <c r="AX205" s="202"/>
      <c r="AY205" s="136">
        <v>1402.0489981554999</v>
      </c>
      <c r="AZ205" s="202"/>
      <c r="BA205" s="202"/>
      <c r="BB205" s="85"/>
      <c r="BC205" s="85"/>
      <c r="BD205" s="85"/>
      <c r="BE205" s="99">
        <f t="shared" si="3"/>
        <v>8057.1822291216004</v>
      </c>
      <c r="BF205" s="99" t="e">
        <f t="array" ref="BF205">#REF!</f>
        <v>#REF!</v>
      </c>
      <c r="BG205" s="101"/>
      <c r="BH205" s="101"/>
      <c r="BI205" s="101"/>
      <c r="BJ205" s="101"/>
      <c r="BK205" s="101"/>
      <c r="BL205" s="101"/>
      <c r="BM205" s="101"/>
    </row>
    <row r="206" spans="3:65" ht="14.25" customHeight="1" outlineLevel="5" x14ac:dyDescent="0.25">
      <c r="C206" s="2" t="s">
        <v>84</v>
      </c>
      <c r="D206" s="2" t="s">
        <v>85</v>
      </c>
      <c r="E206" s="2" t="s">
        <v>74</v>
      </c>
      <c r="F206" s="2" t="s">
        <v>75</v>
      </c>
      <c r="G206" s="2" t="s">
        <v>273</v>
      </c>
      <c r="H206" s="2" t="s">
        <v>74</v>
      </c>
      <c r="I206" s="2" t="s">
        <v>74</v>
      </c>
      <c r="K206" s="5" t="s">
        <v>74</v>
      </c>
      <c r="L206" s="2" t="s">
        <v>196</v>
      </c>
      <c r="M206" s="8" t="str">
        <f t="array" ref="M206">Y107</f>
        <v>1ХВС::1.1</v>
      </c>
      <c r="AA206" s="206" t="str">
        <f>AA201&amp;".5"</f>
        <v>3.1.1.3.1.5</v>
      </c>
      <c r="AB206" s="199" t="s">
        <v>274</v>
      </c>
      <c r="AC206" s="197" t="s">
        <v>114</v>
      </c>
      <c r="AD206" s="136"/>
      <c r="AE206" s="136"/>
      <c r="AF206" s="195"/>
      <c r="AG206" s="202"/>
      <c r="AH206" s="202"/>
      <c r="AI206" s="136">
        <f t="array" ref="AI206">'ВС 2021-2025'!$AF$206</f>
        <v>0</v>
      </c>
      <c r="AJ206" s="202"/>
      <c r="AK206" s="202"/>
      <c r="AL206" s="202"/>
      <c r="AM206" s="202"/>
      <c r="AN206" s="203">
        <f t="array" ref="AN206">IF('ВС 2021-2025'!$AN$81="Методика",IF('ВС 2021-2025'!AI$158=0,0,'ВС 2021-2025'!AI206/'ВС 2021-2025'!AI$158*'ВС 2021-2025'!AN$159),[2]Адм.расходы!BT168)</f>
        <v>1479.518</v>
      </c>
      <c r="AO206" s="195">
        <v>1674.241088</v>
      </c>
      <c r="AP206" s="202"/>
      <c r="AQ206" s="202"/>
      <c r="AR206" s="136">
        <v>1674.241088</v>
      </c>
      <c r="AS206" s="202"/>
      <c r="AT206" s="202"/>
      <c r="AU206" s="203">
        <f t="array" ref="AU206">[2]Адм.расходы!BY168</f>
        <v>0</v>
      </c>
      <c r="AV206" s="195">
        <v>1727.113621559</v>
      </c>
      <c r="AW206" s="202"/>
      <c r="AX206" s="202"/>
      <c r="AY206" s="136">
        <v>1727.113621559</v>
      </c>
      <c r="AZ206" s="202"/>
      <c r="BA206" s="202"/>
      <c r="BB206" s="85"/>
      <c r="BC206" s="85"/>
      <c r="BD206" s="85"/>
      <c r="BE206" s="99">
        <f t="shared" si="3"/>
        <v>8282.2274191179986</v>
      </c>
      <c r="BF206" s="99" t="e">
        <f t="array" ref="BF206">#REF!</f>
        <v>#REF!</v>
      </c>
      <c r="BG206" s="101"/>
      <c r="BH206" s="101"/>
      <c r="BI206" s="101"/>
      <c r="BJ206" s="101"/>
      <c r="BK206" s="101"/>
      <c r="BL206" s="101"/>
      <c r="BM206" s="101"/>
    </row>
    <row r="207" spans="3:65" ht="14.25" customHeight="1" outlineLevel="5" x14ac:dyDescent="0.25">
      <c r="C207" s="2" t="s">
        <v>84</v>
      </c>
      <c r="D207" s="2" t="s">
        <v>85</v>
      </c>
      <c r="E207" s="2" t="s">
        <v>74</v>
      </c>
      <c r="F207" s="2" t="s">
        <v>75</v>
      </c>
      <c r="G207" s="2" t="s">
        <v>275</v>
      </c>
      <c r="H207" s="2" t="s">
        <v>74</v>
      </c>
      <c r="I207" s="2" t="s">
        <v>74</v>
      </c>
      <c r="J207" s="2" t="s">
        <v>74</v>
      </c>
      <c r="K207" s="5" t="s">
        <v>74</v>
      </c>
      <c r="L207" s="2" t="s">
        <v>196</v>
      </c>
      <c r="M207" s="8" t="str">
        <f t="array" ref="M207">Y107</f>
        <v>1ХВС::1.1</v>
      </c>
      <c r="AA207" s="206" t="str">
        <f>AA201&amp;".6"</f>
        <v>3.1.1.3.1.6</v>
      </c>
      <c r="AB207" s="199" t="s">
        <v>276</v>
      </c>
      <c r="AC207" s="197" t="s">
        <v>114</v>
      </c>
      <c r="AD207" s="136">
        <v>609.4550829067</v>
      </c>
      <c r="AE207" s="136">
        <v>645.13137142699998</v>
      </c>
      <c r="AF207" s="195">
        <v>744.19575932800001</v>
      </c>
      <c r="AG207" s="202"/>
      <c r="AH207" s="202"/>
      <c r="AI207" s="136">
        <v>744.19575932800001</v>
      </c>
      <c r="AJ207" s="202"/>
      <c r="AK207" s="202"/>
      <c r="AL207" s="202"/>
      <c r="AM207" s="202"/>
      <c r="AN207" s="203">
        <f t="array" ref="AN207">IF('ВС 2021-2025'!$AN$81="Методика",IF('ВС 2021-2025'!AI$158=0,0,'ВС 2021-2025'!AI207/'ВС 2021-2025'!AI$158*'ВС 2021-2025'!AN$159),[2]Адм.расходы!BT169)</f>
        <v>6117.7759999999998</v>
      </c>
      <c r="AO207" s="195">
        <v>2830.0118080000002</v>
      </c>
      <c r="AP207" s="202"/>
      <c r="AQ207" s="202"/>
      <c r="AR207" s="136">
        <v>2830.0118080000002</v>
      </c>
      <c r="AS207" s="202"/>
      <c r="AT207" s="202"/>
      <c r="AU207" s="203">
        <f t="array" ref="AU207">[2]Адм.расходы!BY169</f>
        <v>0</v>
      </c>
      <c r="AV207" s="195">
        <v>2919.3835808966001</v>
      </c>
      <c r="AW207" s="202"/>
      <c r="AX207" s="202"/>
      <c r="AY207" s="136">
        <v>2919.3835808966001</v>
      </c>
      <c r="AZ207" s="202"/>
      <c r="BA207" s="202"/>
      <c r="BB207" s="85"/>
      <c r="BC207" s="85"/>
      <c r="BD207" s="85"/>
      <c r="BE207" s="99">
        <f t="shared" si="3"/>
        <v>20359.544750782898</v>
      </c>
      <c r="BF207" s="99" t="e">
        <f t="array" ref="BF207">#REF!</f>
        <v>#REF!</v>
      </c>
      <c r="BG207" s="101"/>
      <c r="BH207" s="101"/>
      <c r="BI207" s="101"/>
      <c r="BJ207" s="101"/>
      <c r="BK207" s="101"/>
      <c r="BL207" s="101"/>
      <c r="BM207" s="101"/>
    </row>
    <row r="208" spans="3:65" ht="14.25" customHeight="1" outlineLevel="5" x14ac:dyDescent="0.25">
      <c r="C208" s="2" t="s">
        <v>84</v>
      </c>
      <c r="D208" s="2" t="s">
        <v>85</v>
      </c>
      <c r="E208" s="2" t="s">
        <v>74</v>
      </c>
      <c r="F208" s="2" t="s">
        <v>75</v>
      </c>
      <c r="G208" s="2" t="s">
        <v>277</v>
      </c>
      <c r="H208" s="2" t="s">
        <v>74</v>
      </c>
      <c r="I208" s="2" t="s">
        <v>74</v>
      </c>
      <c r="J208" s="2" t="s">
        <v>74</v>
      </c>
      <c r="K208" s="5" t="s">
        <v>74</v>
      </c>
      <c r="L208" s="2" t="s">
        <v>196</v>
      </c>
      <c r="M208" s="8" t="str">
        <f t="array" ref="M208">Y107</f>
        <v>1ХВС::1.1</v>
      </c>
      <c r="AA208" s="206" t="str">
        <f>AA201&amp;".7"</f>
        <v>3.1.1.3.1.7</v>
      </c>
      <c r="AB208" s="199" t="s">
        <v>278</v>
      </c>
      <c r="AC208" s="197" t="s">
        <v>114</v>
      </c>
      <c r="AD208" s="136">
        <v>473.22074146019997</v>
      </c>
      <c r="AE208" s="136">
        <v>500.92214256369999</v>
      </c>
      <c r="AF208" s="195">
        <v>577.84220510739999</v>
      </c>
      <c r="AG208" s="202"/>
      <c r="AH208" s="202"/>
      <c r="AI208" s="136">
        <v>577.84220510739999</v>
      </c>
      <c r="AJ208" s="202"/>
      <c r="AK208" s="202"/>
      <c r="AL208" s="202"/>
      <c r="AM208" s="202"/>
      <c r="AN208" s="203">
        <f t="array" ref="AN208">IF('ВС 2021-2025'!$AN$81="Методика",IF('ВС 2021-2025'!AI$158=0,0,'ВС 2021-2025'!AI208/'ВС 2021-2025'!AI$158*'ВС 2021-2025'!AN$159),[2]Адм.расходы!BT170)</f>
        <v>1292.1240000000003</v>
      </c>
      <c r="AO208" s="195">
        <v>911.28432995200001</v>
      </c>
      <c r="AP208" s="202"/>
      <c r="AQ208" s="202"/>
      <c r="AR208" s="136">
        <v>911.28432995200001</v>
      </c>
      <c r="AS208" s="202"/>
      <c r="AT208" s="202"/>
      <c r="AU208" s="203">
        <f t="array" ref="AU208">[2]Адм.расходы!BY170</f>
        <v>0</v>
      </c>
      <c r="AV208" s="195">
        <v>940.06268909189998</v>
      </c>
      <c r="AW208" s="202"/>
      <c r="AX208" s="202"/>
      <c r="AY208" s="136">
        <v>940.06268909189998</v>
      </c>
      <c r="AZ208" s="202"/>
      <c r="BA208" s="202"/>
      <c r="BB208" s="85"/>
      <c r="BC208" s="85"/>
      <c r="BD208" s="85"/>
      <c r="BE208" s="99">
        <f t="shared" si="3"/>
        <v>7124.6453323265005</v>
      </c>
      <c r="BF208" s="99" t="e">
        <f t="array" ref="BF208">#REF!</f>
        <v>#REF!</v>
      </c>
      <c r="BG208" s="101"/>
      <c r="BH208" s="101"/>
      <c r="BI208" s="101"/>
      <c r="BJ208" s="101"/>
      <c r="BK208" s="101"/>
      <c r="BL208" s="101"/>
      <c r="BM208" s="101"/>
    </row>
    <row r="209" spans="3:65" ht="14.25" customHeight="1" outlineLevel="4" x14ac:dyDescent="0.25">
      <c r="C209" s="2" t="s">
        <v>84</v>
      </c>
      <c r="D209" s="2" t="s">
        <v>85</v>
      </c>
      <c r="E209" s="2" t="s">
        <v>74</v>
      </c>
      <c r="F209" s="2" t="s">
        <v>75</v>
      </c>
      <c r="G209" s="2" t="s">
        <v>205</v>
      </c>
      <c r="H209" s="2" t="s">
        <v>279</v>
      </c>
      <c r="I209" s="2" t="s">
        <v>74</v>
      </c>
      <c r="J209" s="2" t="s">
        <v>74</v>
      </c>
      <c r="K209" s="5" t="s">
        <v>74</v>
      </c>
      <c r="L209" s="2" t="s">
        <v>196</v>
      </c>
      <c r="M209" s="8" t="str">
        <f t="array" ref="M209">Y107</f>
        <v>1ХВС::1.1</v>
      </c>
      <c r="AA209" s="206" t="str">
        <f>AA200&amp;".2"</f>
        <v>3.1.1.3.2</v>
      </c>
      <c r="AB209" s="198" t="s">
        <v>280</v>
      </c>
      <c r="AC209" s="197" t="s">
        <v>114</v>
      </c>
      <c r="AD209" s="173">
        <v>35245.084726877198</v>
      </c>
      <c r="AE209" s="173">
        <v>37308.261894328498</v>
      </c>
      <c r="AF209" s="173">
        <v>43037.203768654203</v>
      </c>
      <c r="AG209" s="174"/>
      <c r="AH209" s="174"/>
      <c r="AI209" s="173">
        <f>AI210+AI213</f>
        <v>43037.203768654203</v>
      </c>
      <c r="AJ209" s="174"/>
      <c r="AK209" s="174"/>
      <c r="AL209" s="174"/>
      <c r="AM209" s="174"/>
      <c r="AN209" s="173">
        <f>AN210+AN213</f>
        <v>72250.101999999999</v>
      </c>
      <c r="AO209" s="173">
        <v>66656.231953113602</v>
      </c>
      <c r="AP209" s="174"/>
      <c r="AQ209" s="174"/>
      <c r="AR209" s="173">
        <f>AR210+AR213</f>
        <v>66656.231953113602</v>
      </c>
      <c r="AS209" s="174"/>
      <c r="AT209" s="174"/>
      <c r="AU209" s="173">
        <f>AU210+AU213</f>
        <v>0</v>
      </c>
      <c r="AV209" s="173">
        <v>68761.235758192895</v>
      </c>
      <c r="AW209" s="174"/>
      <c r="AX209" s="174"/>
      <c r="AY209" s="173">
        <f>AY210+AY213</f>
        <v>68761.235758192895</v>
      </c>
      <c r="AZ209" s="174"/>
      <c r="BA209" s="174"/>
      <c r="BB209" s="85"/>
      <c r="BC209" s="85"/>
      <c r="BD209" s="85"/>
      <c r="BE209" s="99">
        <f t="shared" si="3"/>
        <v>501712.79158112709</v>
      </c>
      <c r="BF209" s="100" t="e">
        <f>BF210+BF213</f>
        <v>#REF!</v>
      </c>
      <c r="BG209" s="101"/>
      <c r="BH209" s="101"/>
      <c r="BI209" s="101"/>
      <c r="BJ209" s="101"/>
      <c r="BK209" s="101"/>
      <c r="BL209" s="101"/>
      <c r="BM209" s="101"/>
    </row>
    <row r="210" spans="3:65" ht="14.25" customHeight="1" outlineLevel="5" x14ac:dyDescent="0.25">
      <c r="C210" s="2" t="s">
        <v>84</v>
      </c>
      <c r="D210" s="2" t="s">
        <v>85</v>
      </c>
      <c r="E210" s="2" t="s">
        <v>74</v>
      </c>
      <c r="F210" s="2" t="s">
        <v>75</v>
      </c>
      <c r="G210" s="2" t="s">
        <v>208</v>
      </c>
      <c r="H210" s="2" t="s">
        <v>279</v>
      </c>
      <c r="I210" s="2" t="s">
        <v>74</v>
      </c>
      <c r="J210" s="2" t="s">
        <v>74</v>
      </c>
      <c r="K210" s="5" t="s">
        <v>74</v>
      </c>
      <c r="L210" s="2" t="s">
        <v>196</v>
      </c>
      <c r="M210" s="8" t="str">
        <f t="array" ref="M210">Y107</f>
        <v>1ХВС::1.1</v>
      </c>
      <c r="AA210" s="107" t="str">
        <f>AA209&amp;".1"</f>
        <v>3.1.1.3.2.1</v>
      </c>
      <c r="AB210" s="199" t="s">
        <v>281</v>
      </c>
      <c r="AC210" s="197" t="s">
        <v>114</v>
      </c>
      <c r="AD210" s="136">
        <v>27069.955406703099</v>
      </c>
      <c r="AE210" s="136">
        <v>28654.576761761</v>
      </c>
      <c r="AF210" s="195">
        <v>33054.6853802353</v>
      </c>
      <c r="AG210" s="202"/>
      <c r="AH210" s="202"/>
      <c r="AI210" s="136">
        <v>33054.6853802353</v>
      </c>
      <c r="AJ210" s="202"/>
      <c r="AK210" s="202"/>
      <c r="AL210" s="202"/>
      <c r="AM210" s="202"/>
      <c r="AN210" s="203">
        <f t="array" ref="AN210">IF('ВС 2021-2025'!$AN$81="Методика",IF('ВС 2021-2025'!AI$158=0,0,'ВС 2021-2025'!AI210/'ВС 2021-2025'!AI$158*'ВС 2021-2025'!AN$159),[2]Адм.расходы!BT159)</f>
        <v>55491.63</v>
      </c>
      <c r="AO210" s="195">
        <v>51195.262636799998</v>
      </c>
      <c r="AP210" s="202"/>
      <c r="AQ210" s="202"/>
      <c r="AR210" s="136">
        <v>51195.262636799998</v>
      </c>
      <c r="AS210" s="202"/>
      <c r="AT210" s="202"/>
      <c r="AU210" s="203">
        <f t="array" ref="AU210">[2]Адм.расходы!BY159</f>
        <v>0</v>
      </c>
      <c r="AV210" s="195">
        <v>52812.009030870096</v>
      </c>
      <c r="AW210" s="202"/>
      <c r="AX210" s="202"/>
      <c r="AY210" s="136">
        <v>52812.009030870096</v>
      </c>
      <c r="AZ210" s="202"/>
      <c r="BA210" s="202"/>
      <c r="BB210" s="85"/>
      <c r="BC210" s="85"/>
      <c r="BD210" s="85"/>
      <c r="BE210" s="99">
        <f t="shared" si="3"/>
        <v>385340.07626427489</v>
      </c>
      <c r="BF210" s="99" t="e">
        <f t="array" ref="BF210">#REF!</f>
        <v>#REF!</v>
      </c>
      <c r="BG210" s="101"/>
      <c r="BH210" s="101"/>
      <c r="BI210" s="101"/>
      <c r="BJ210" s="101"/>
      <c r="BK210" s="101"/>
      <c r="BL210" s="101"/>
      <c r="BM210" s="101"/>
    </row>
    <row r="211" spans="3:65" ht="14.25" customHeight="1" outlineLevel="5" x14ac:dyDescent="0.25">
      <c r="C211" s="2" t="s">
        <v>210</v>
      </c>
      <c r="D211" s="2" t="s">
        <v>211</v>
      </c>
      <c r="E211" s="2" t="s">
        <v>74</v>
      </c>
      <c r="F211" s="2" t="s">
        <v>75</v>
      </c>
      <c r="G211" s="2" t="s">
        <v>74</v>
      </c>
      <c r="H211" s="2" t="s">
        <v>279</v>
      </c>
      <c r="I211" s="2" t="s">
        <v>74</v>
      </c>
      <c r="J211" s="2" t="s">
        <v>74</v>
      </c>
      <c r="K211" s="5" t="s">
        <v>74</v>
      </c>
      <c r="L211" s="2" t="s">
        <v>196</v>
      </c>
      <c r="M211" s="8" t="str">
        <f t="array" ref="M211">Y107</f>
        <v>1ХВС::1.1</v>
      </c>
      <c r="AA211" s="107" t="str">
        <f>AA210&amp;".1"</f>
        <v>3.1.1.3.2.1.1</v>
      </c>
      <c r="AB211" s="205" t="s">
        <v>212</v>
      </c>
      <c r="AC211" s="197" t="s">
        <v>213</v>
      </c>
      <c r="AD211" s="173">
        <v>56622.229348023546</v>
      </c>
      <c r="AE211" s="173">
        <v>59936.782048529523</v>
      </c>
      <c r="AF211" s="173">
        <v>69140.489834829525</v>
      </c>
      <c r="AG211" s="174"/>
      <c r="AH211" s="174"/>
      <c r="AI211" s="173">
        <f>IF(AI212=0,0,AI210*1000/AI$89/AI212)</f>
        <v>69140.489834829525</v>
      </c>
      <c r="AJ211" s="174"/>
      <c r="AK211" s="174"/>
      <c r="AL211" s="174"/>
      <c r="AM211" s="174"/>
      <c r="AN211" s="173">
        <f>IF(AN212=0,0,AN210*1000/AN$89/AN212)</f>
        <v>70086.427705365262</v>
      </c>
      <c r="AO211" s="173">
        <v>71057.16</v>
      </c>
      <c r="AP211" s="174"/>
      <c r="AQ211" s="174"/>
      <c r="AR211" s="173">
        <f>IF(AR212=0,0,AR210*1000/AR$89/AR212)</f>
        <v>71057.16</v>
      </c>
      <c r="AS211" s="174"/>
      <c r="AT211" s="174"/>
      <c r="AU211" s="173">
        <f>IF(AU212=0,0,AU210*1000/AU$89/AU212)</f>
        <v>0</v>
      </c>
      <c r="AV211" s="173">
        <v>74041.560719999921</v>
      </c>
      <c r="AW211" s="174"/>
      <c r="AX211" s="174"/>
      <c r="AY211" s="173" t="e">
        <f>IF(AY212=0,0,AY210*1000/AY$89/AY212)</f>
        <v>#REF!</v>
      </c>
      <c r="AZ211" s="174"/>
      <c r="BA211" s="174"/>
      <c r="BB211" s="85"/>
      <c r="BC211" s="85"/>
      <c r="BD211" s="85"/>
      <c r="BE211" s="99" t="e">
        <f t="shared" si="3"/>
        <v>#REF!</v>
      </c>
      <c r="BF211" s="100" t="e">
        <f>IF(BF212=0,0,BF210*1000/BF$89/BF212)</f>
        <v>#REF!</v>
      </c>
      <c r="BG211" s="101"/>
      <c r="BH211" s="101"/>
      <c r="BI211" s="101"/>
      <c r="BJ211" s="101"/>
      <c r="BK211" s="101"/>
      <c r="BL211" s="101"/>
      <c r="BM211" s="101"/>
    </row>
    <row r="212" spans="3:65" ht="14.25" customHeight="1" outlineLevel="5" x14ac:dyDescent="0.25">
      <c r="C212" s="2" t="s">
        <v>214</v>
      </c>
      <c r="D212" s="2" t="s">
        <v>215</v>
      </c>
      <c r="E212" s="2" t="s">
        <v>74</v>
      </c>
      <c r="F212" s="2" t="s">
        <v>75</v>
      </c>
      <c r="G212" s="2" t="s">
        <v>74</v>
      </c>
      <c r="H212" s="2" t="s">
        <v>279</v>
      </c>
      <c r="I212" s="2" t="s">
        <v>74</v>
      </c>
      <c r="J212" s="2" t="s">
        <v>74</v>
      </c>
      <c r="K212" s="5" t="s">
        <v>74</v>
      </c>
      <c r="L212" s="2" t="s">
        <v>196</v>
      </c>
      <c r="M212" s="8" t="str">
        <f t="array" ref="M212">Y107</f>
        <v>1ХВС::1.1</v>
      </c>
      <c r="AA212" s="107" t="str">
        <f>AA210&amp;".2"</f>
        <v>3.1.1.3.2.1.2</v>
      </c>
      <c r="AB212" s="205" t="s">
        <v>216</v>
      </c>
      <c r="AC212" s="197" t="s">
        <v>217</v>
      </c>
      <c r="AD212" s="136">
        <v>39.840000000000003</v>
      </c>
      <c r="AE212" s="136">
        <v>39.840000000000003</v>
      </c>
      <c r="AF212" s="195">
        <v>39.840000000000003</v>
      </c>
      <c r="AG212" s="202"/>
      <c r="AH212" s="202"/>
      <c r="AI212" s="136">
        <v>39.840000000000003</v>
      </c>
      <c r="AJ212" s="202"/>
      <c r="AK212" s="202"/>
      <c r="AL212" s="202"/>
      <c r="AM212" s="202"/>
      <c r="AN212" s="203">
        <f t="array" ref="AN212">IF('ВС 2021-2025'!$AN$81="Методика",'ВС 2021-2025'!AI212,[2]Адм.расходы!BT161)</f>
        <v>65.98</v>
      </c>
      <c r="AO212" s="195">
        <v>60.04</v>
      </c>
      <c r="AP212" s="202"/>
      <c r="AQ212" s="202"/>
      <c r="AR212" s="136">
        <v>60.04</v>
      </c>
      <c r="AS212" s="202"/>
      <c r="AT212" s="202"/>
      <c r="AU212" s="203">
        <f t="array" ref="AU212">[2]Адм.расходы!BY161</f>
        <v>0</v>
      </c>
      <c r="AV212" s="195">
        <v>59.439599999999999</v>
      </c>
      <c r="AW212" s="202"/>
      <c r="AX212" s="202"/>
      <c r="AY212" s="136">
        <v>59.439599999999999</v>
      </c>
      <c r="AZ212" s="202"/>
      <c r="BA212" s="202"/>
      <c r="BB212" s="85"/>
      <c r="BC212" s="85"/>
      <c r="BD212" s="85"/>
      <c r="BE212" s="99">
        <f t="shared" si="3"/>
        <v>464.29920000000004</v>
      </c>
      <c r="BF212" s="99" t="e">
        <f t="array" ref="BF212">#REF!</f>
        <v>#REF!</v>
      </c>
      <c r="BG212" s="101"/>
      <c r="BH212" s="101"/>
      <c r="BI212" s="101"/>
      <c r="BJ212" s="101"/>
      <c r="BK212" s="101"/>
      <c r="BL212" s="101"/>
      <c r="BM212" s="101"/>
    </row>
    <row r="213" spans="3:65" ht="14.25" customHeight="1" outlineLevel="5" x14ac:dyDescent="0.25">
      <c r="C213" s="2" t="s">
        <v>84</v>
      </c>
      <c r="D213" s="2" t="s">
        <v>85</v>
      </c>
      <c r="E213" s="2" t="s">
        <v>74</v>
      </c>
      <c r="F213" s="2" t="s">
        <v>75</v>
      </c>
      <c r="G213" s="2" t="s">
        <v>218</v>
      </c>
      <c r="H213" s="2" t="s">
        <v>279</v>
      </c>
      <c r="I213" s="2" t="s">
        <v>74</v>
      </c>
      <c r="J213" s="2" t="s">
        <v>74</v>
      </c>
      <c r="K213" s="5" t="s">
        <v>74</v>
      </c>
      <c r="L213" s="2" t="s">
        <v>196</v>
      </c>
      <c r="M213" s="8" t="str">
        <f t="array" ref="M213">Y107</f>
        <v>1ХВС::1.1</v>
      </c>
      <c r="AA213" s="107" t="str">
        <f>AA209&amp;".2"</f>
        <v>3.1.1.3.2.2</v>
      </c>
      <c r="AB213" s="199" t="s">
        <v>282</v>
      </c>
      <c r="AC213" s="197" t="s">
        <v>114</v>
      </c>
      <c r="AD213" s="136">
        <v>8175.1293201741</v>
      </c>
      <c r="AE213" s="136">
        <v>8653.6851325674997</v>
      </c>
      <c r="AF213" s="195">
        <v>9982.5183884188991</v>
      </c>
      <c r="AG213" s="202"/>
      <c r="AH213" s="202"/>
      <c r="AI213" s="136">
        <v>9982.5183884188991</v>
      </c>
      <c r="AJ213" s="202"/>
      <c r="AK213" s="202"/>
      <c r="AL213" s="202"/>
      <c r="AM213" s="202"/>
      <c r="AN213" s="203">
        <f t="array" ref="AN213">IF('ВС 2021-2025'!$AN$81="Методика",IF('ВС 2021-2025'!AI$158=0,0,'ВС 2021-2025'!AI213/'ВС 2021-2025'!AI$158*'ВС 2021-2025'!AN$159),[2]Адм.расходы!BT162)</f>
        <v>16758.472000000002</v>
      </c>
      <c r="AO213" s="195">
        <v>15460.9693163136</v>
      </c>
      <c r="AP213" s="202"/>
      <c r="AQ213" s="202"/>
      <c r="AR213" s="136">
        <v>15460.9693163136</v>
      </c>
      <c r="AS213" s="202"/>
      <c r="AT213" s="202"/>
      <c r="AU213" s="203">
        <f t="array" ref="AU213">[2]Адм.расходы!BY162</f>
        <v>0</v>
      </c>
      <c r="AV213" s="195">
        <v>15949.226727322801</v>
      </c>
      <c r="AW213" s="202"/>
      <c r="AX213" s="202"/>
      <c r="AY213" s="136">
        <v>15949.226727322801</v>
      </c>
      <c r="AZ213" s="202"/>
      <c r="BA213" s="202"/>
      <c r="BB213" s="85"/>
      <c r="BC213" s="85"/>
      <c r="BD213" s="85"/>
      <c r="BE213" s="99">
        <f t="shared" si="3"/>
        <v>116372.71531685221</v>
      </c>
      <c r="BF213" s="99" t="e">
        <f t="array" ref="BF213">#REF!</f>
        <v>#REF!</v>
      </c>
      <c r="BG213" s="101"/>
      <c r="BH213" s="101"/>
      <c r="BI213" s="101"/>
      <c r="BJ213" s="101"/>
      <c r="BK213" s="101"/>
      <c r="BL213" s="101"/>
      <c r="BM213" s="101"/>
    </row>
    <row r="214" spans="3:65" ht="14.25" customHeight="1" outlineLevel="5" x14ac:dyDescent="0.25">
      <c r="C214" s="2" t="s">
        <v>220</v>
      </c>
      <c r="D214" s="2" t="s">
        <v>221</v>
      </c>
      <c r="E214" s="2" t="s">
        <v>74</v>
      </c>
      <c r="F214" s="2" t="s">
        <v>75</v>
      </c>
      <c r="G214" s="2" t="s">
        <v>74</v>
      </c>
      <c r="H214" s="2" t="s">
        <v>279</v>
      </c>
      <c r="I214" s="2" t="s">
        <v>74</v>
      </c>
      <c r="J214" s="2" t="s">
        <v>74</v>
      </c>
      <c r="K214" s="5" t="s">
        <v>74</v>
      </c>
      <c r="L214" s="2" t="s">
        <v>196</v>
      </c>
      <c r="M214" s="8" t="str">
        <f t="array" ref="M214">Y107</f>
        <v>1ХВС::1.1</v>
      </c>
      <c r="AA214" s="107" t="str">
        <f>AA213&amp;".1"</f>
        <v>3.1.1.3.2.2.1</v>
      </c>
      <c r="AB214" s="205" t="s">
        <v>222</v>
      </c>
      <c r="AC214" s="197" t="s">
        <v>122</v>
      </c>
      <c r="AD214" s="173">
        <v>30.200010296839142</v>
      </c>
      <c r="AE214" s="173">
        <v>30.200010296839146</v>
      </c>
      <c r="AF214" s="173">
        <v>30.200010296839313</v>
      </c>
      <c r="AG214" s="174"/>
      <c r="AH214" s="174"/>
      <c r="AI214" s="173">
        <f>IF(AI210=0,0,AI213/AI210*100)</f>
        <v>30.200010296839313</v>
      </c>
      <c r="AJ214" s="174"/>
      <c r="AK214" s="174"/>
      <c r="AL214" s="174"/>
      <c r="AM214" s="174"/>
      <c r="AN214" s="173">
        <f>IF(AN210=0,0,AN213/AN210*100)</f>
        <v>30.199999531460875</v>
      </c>
      <c r="AO214" s="173">
        <v>30.2</v>
      </c>
      <c r="AP214" s="174"/>
      <c r="AQ214" s="174"/>
      <c r="AR214" s="173">
        <f>IF(AR210=0,0,AR213/AR210*100)</f>
        <v>30.2</v>
      </c>
      <c r="AS214" s="174"/>
      <c r="AT214" s="174"/>
      <c r="AU214" s="173">
        <f>IF(AU210=0,0,AU213/AU210*100)</f>
        <v>0</v>
      </c>
      <c r="AV214" s="173">
        <v>30.20000000000006</v>
      </c>
      <c r="AW214" s="174"/>
      <c r="AX214" s="174"/>
      <c r="AY214" s="173">
        <f>IF(AY210=0,0,AY213/AY210*100)</f>
        <v>30.20000000000006</v>
      </c>
      <c r="AZ214" s="174"/>
      <c r="BA214" s="174"/>
      <c r="BB214" s="85"/>
      <c r="BC214" s="85"/>
      <c r="BD214" s="85"/>
      <c r="BE214" s="99">
        <f t="shared" si="3"/>
        <v>271.80004071881785</v>
      </c>
      <c r="BF214" s="100" t="e">
        <f>IF(BF210=0,0,BF213/BF210*100)</f>
        <v>#REF!</v>
      </c>
      <c r="BG214" s="101"/>
      <c r="BH214" s="101"/>
      <c r="BI214" s="101"/>
      <c r="BJ214" s="101"/>
      <c r="BK214" s="101"/>
      <c r="BL214" s="101"/>
      <c r="BM214" s="101"/>
    </row>
    <row r="215" spans="3:65" ht="28.5" customHeight="1" outlineLevel="4" x14ac:dyDescent="0.25">
      <c r="C215" s="2" t="s">
        <v>84</v>
      </c>
      <c r="D215" s="2" t="s">
        <v>85</v>
      </c>
      <c r="E215" s="2" t="s">
        <v>74</v>
      </c>
      <c r="F215" s="2" t="s">
        <v>75</v>
      </c>
      <c r="G215" s="2" t="s">
        <v>283</v>
      </c>
      <c r="H215" s="2" t="s">
        <v>74</v>
      </c>
      <c r="I215" s="2" t="s">
        <v>74</v>
      </c>
      <c r="J215" s="2" t="s">
        <v>74</v>
      </c>
      <c r="K215" s="5" t="s">
        <v>74</v>
      </c>
      <c r="L215" s="2" t="s">
        <v>196</v>
      </c>
      <c r="M215" s="8" t="str">
        <f t="array" ref="M215">Y107</f>
        <v>1ХВС::1.1</v>
      </c>
      <c r="AA215" s="206" t="str">
        <f>AA200&amp;".3"</f>
        <v>3.1.1.3.3</v>
      </c>
      <c r="AB215" s="198" t="s">
        <v>283</v>
      </c>
      <c r="AC215" s="197" t="s">
        <v>114</v>
      </c>
      <c r="AD215" s="136"/>
      <c r="AE215" s="136"/>
      <c r="AF215" s="195"/>
      <c r="AG215" s="202"/>
      <c r="AH215" s="202"/>
      <c r="AI215" s="136">
        <f t="array" ref="AI215">'ВС 2021-2025'!$AF$215</f>
        <v>0</v>
      </c>
      <c r="AJ215" s="202"/>
      <c r="AK215" s="202"/>
      <c r="AL215" s="202"/>
      <c r="AM215" s="202"/>
      <c r="AN215" s="203">
        <f t="array" ref="AN215">IF('ВС 2021-2025'!$AN$81="Методика",IF('ВС 2021-2025'!AI$158=0,0,'ВС 2021-2025'!AI215/'ВС 2021-2025'!AI$158*'ВС 2021-2025'!AN$159),[2]Адм.расходы!BT171)</f>
        <v>0</v>
      </c>
      <c r="AO215" s="195"/>
      <c r="AP215" s="202"/>
      <c r="AQ215" s="202"/>
      <c r="AR215" s="136">
        <f t="array" ref="AR215">'ВС 2021-2025'!$AO$215</f>
        <v>0</v>
      </c>
      <c r="AS215" s="202"/>
      <c r="AT215" s="202"/>
      <c r="AU215" s="203">
        <f t="array" ref="AU215">[2]Адм.расходы!BY171</f>
        <v>0</v>
      </c>
      <c r="AV215" s="195">
        <v>0</v>
      </c>
      <c r="AW215" s="202"/>
      <c r="AX215" s="202"/>
      <c r="AY215" s="136">
        <f>IF(AY$88,AR215*AY$112,AV215*1)</f>
        <v>0</v>
      </c>
      <c r="AZ215" s="202"/>
      <c r="BA215" s="202"/>
      <c r="BB215" s="85"/>
      <c r="BC215" s="85"/>
      <c r="BD215" s="85"/>
      <c r="BE215" s="99">
        <f t="shared" si="3"/>
        <v>0</v>
      </c>
      <c r="BF215" s="99" t="e">
        <f t="array" ref="BF215">#REF!</f>
        <v>#REF!</v>
      </c>
      <c r="BG215" s="101"/>
      <c r="BH215" s="101"/>
      <c r="BI215" s="101"/>
      <c r="BJ215" s="101"/>
      <c r="BK215" s="101"/>
      <c r="BL215" s="101"/>
      <c r="BM215" s="101"/>
    </row>
    <row r="216" spans="3:65" ht="14.25" customHeight="1" outlineLevel="4" x14ac:dyDescent="0.25">
      <c r="C216" s="2" t="s">
        <v>84</v>
      </c>
      <c r="D216" s="2" t="s">
        <v>85</v>
      </c>
      <c r="E216" s="2" t="s">
        <v>74</v>
      </c>
      <c r="F216" s="2" t="s">
        <v>75</v>
      </c>
      <c r="G216" s="2" t="s">
        <v>284</v>
      </c>
      <c r="H216" s="2" t="s">
        <v>74</v>
      </c>
      <c r="I216" s="2" t="s">
        <v>74</v>
      </c>
      <c r="J216" s="2" t="s">
        <v>74</v>
      </c>
      <c r="K216" s="5" t="s">
        <v>74</v>
      </c>
      <c r="L216" s="2" t="s">
        <v>196</v>
      </c>
      <c r="M216" s="8" t="str">
        <f t="array" ref="M216">Y107</f>
        <v>1ХВС::1.1</v>
      </c>
      <c r="AA216" s="206" t="str">
        <f>AA200&amp;".4"</f>
        <v>3.1.1.3.4</v>
      </c>
      <c r="AB216" s="198" t="s">
        <v>285</v>
      </c>
      <c r="AC216" s="197" t="s">
        <v>114</v>
      </c>
      <c r="AD216" s="136"/>
      <c r="AE216" s="136"/>
      <c r="AF216" s="195"/>
      <c r="AG216" s="202"/>
      <c r="AH216" s="202"/>
      <c r="AI216" s="136">
        <f t="array" ref="AI216">'ВС 2021-2025'!$AF$216</f>
        <v>0</v>
      </c>
      <c r="AJ216" s="202"/>
      <c r="AK216" s="202"/>
      <c r="AL216" s="202"/>
      <c r="AM216" s="202"/>
      <c r="AN216" s="203">
        <f t="array" ref="AN216">IF('ВС 2021-2025'!$AN$81="Методика",IF('ВС 2021-2025'!AI$158=0,0,'ВС 2021-2025'!AI216/'ВС 2021-2025'!AI$158*'ВС 2021-2025'!AN$159),[2]Адм.расходы!BT176)</f>
        <v>653.30700000000002</v>
      </c>
      <c r="AO216" s="195">
        <v>422.8396224</v>
      </c>
      <c r="AP216" s="202"/>
      <c r="AQ216" s="202"/>
      <c r="AR216" s="136">
        <v>422.8396224</v>
      </c>
      <c r="AS216" s="202"/>
      <c r="AT216" s="202"/>
      <c r="AU216" s="203">
        <f t="array" ref="AU216">[2]Адм.расходы!BY176</f>
        <v>0</v>
      </c>
      <c r="AV216" s="195">
        <v>436.19289767539999</v>
      </c>
      <c r="AW216" s="202"/>
      <c r="AX216" s="202"/>
      <c r="AY216" s="136">
        <v>436.19289767539999</v>
      </c>
      <c r="AZ216" s="202"/>
      <c r="BA216" s="202"/>
      <c r="BB216" s="85"/>
      <c r="BC216" s="85"/>
      <c r="BD216" s="85"/>
      <c r="BE216" s="99">
        <f t="shared" si="3"/>
        <v>2371.3720401507999</v>
      </c>
      <c r="BF216" s="99" t="e">
        <f t="array" ref="BF216">#REF!</f>
        <v>#REF!</v>
      </c>
      <c r="BG216" s="101"/>
      <c r="BH216" s="101"/>
      <c r="BI216" s="101"/>
      <c r="BJ216" s="101"/>
      <c r="BK216" s="101"/>
      <c r="BL216" s="101"/>
      <c r="BM216" s="101"/>
    </row>
    <row r="217" spans="3:65" ht="14.25" customHeight="1" outlineLevel="4" x14ac:dyDescent="0.25">
      <c r="C217" s="2" t="s">
        <v>84</v>
      </c>
      <c r="D217" s="2" t="s">
        <v>85</v>
      </c>
      <c r="E217" s="2" t="s">
        <v>74</v>
      </c>
      <c r="F217" s="2" t="s">
        <v>75</v>
      </c>
      <c r="G217" s="2" t="s">
        <v>286</v>
      </c>
      <c r="H217" s="2" t="s">
        <v>74</v>
      </c>
      <c r="I217" s="2" t="s">
        <v>74</v>
      </c>
      <c r="J217" s="2" t="s">
        <v>74</v>
      </c>
      <c r="K217" s="5" t="s">
        <v>74</v>
      </c>
      <c r="L217" s="2" t="s">
        <v>196</v>
      </c>
      <c r="M217" s="8" t="str">
        <f t="array" ref="M217">Y107</f>
        <v>1ХВС::1.1</v>
      </c>
      <c r="AA217" s="206" t="str">
        <f>AA200&amp;".5"</f>
        <v>3.1.1.3.5</v>
      </c>
      <c r="AB217" s="198" t="s">
        <v>287</v>
      </c>
      <c r="AC217" s="197" t="s">
        <v>114</v>
      </c>
      <c r="AD217" s="136">
        <v>50.413307953199997</v>
      </c>
      <c r="AE217" s="136">
        <v>53.364402742999999</v>
      </c>
      <c r="AF217" s="195">
        <v>61.558876190699998</v>
      </c>
      <c r="AG217" s="202"/>
      <c r="AH217" s="202"/>
      <c r="AI217" s="136">
        <v>61.558876190699998</v>
      </c>
      <c r="AJ217" s="202"/>
      <c r="AK217" s="202"/>
      <c r="AL217" s="202"/>
      <c r="AM217" s="202"/>
      <c r="AN217" s="203">
        <f t="array" ref="AN217">IF('ВС 2021-2025'!$AN$81="Методика",IF('ВС 2021-2025'!AI$158=0,0,'ВС 2021-2025'!AI217/'ВС 2021-2025'!AI$158*'ВС 2021-2025'!AN$159),[2]Адм.расходы!BT177)</f>
        <v>649.34</v>
      </c>
      <c r="AO217" s="195"/>
      <c r="AP217" s="202"/>
      <c r="AQ217" s="202"/>
      <c r="AR217" s="136">
        <f t="array" ref="AR217">'ВС 2021-2025'!$AO$217</f>
        <v>0</v>
      </c>
      <c r="AS217" s="202"/>
      <c r="AT217" s="202"/>
      <c r="AU217" s="203">
        <f t="array" ref="AU217">[2]Адм.расходы!BY177</f>
        <v>0</v>
      </c>
      <c r="AV217" s="195">
        <v>0</v>
      </c>
      <c r="AW217" s="202"/>
      <c r="AX217" s="202"/>
      <c r="AY217" s="136">
        <f>IF(AY$88,AR217*AY$112,AV217*1)</f>
        <v>0</v>
      </c>
      <c r="AZ217" s="202"/>
      <c r="BA217" s="202"/>
      <c r="BB217" s="85"/>
      <c r="BC217" s="85"/>
      <c r="BD217" s="85"/>
      <c r="BE217" s="99">
        <f t="shared" si="3"/>
        <v>876.2354630776</v>
      </c>
      <c r="BF217" s="99" t="e">
        <f t="array" ref="BF217">#REF!</f>
        <v>#REF!</v>
      </c>
      <c r="BG217" s="101"/>
      <c r="BH217" s="101"/>
      <c r="BI217" s="101"/>
      <c r="BJ217" s="101"/>
      <c r="BK217" s="101"/>
      <c r="BL217" s="101"/>
      <c r="BM217" s="101"/>
    </row>
    <row r="218" spans="3:65" ht="14.25" customHeight="1" outlineLevel="4" x14ac:dyDescent="0.25">
      <c r="C218" s="2" t="s">
        <v>84</v>
      </c>
      <c r="D218" s="2" t="s">
        <v>85</v>
      </c>
      <c r="E218" s="2" t="s">
        <v>74</v>
      </c>
      <c r="F218" s="2" t="s">
        <v>75</v>
      </c>
      <c r="G218" s="2" t="s">
        <v>288</v>
      </c>
      <c r="H218" s="2" t="s">
        <v>74</v>
      </c>
      <c r="I218" s="2" t="s">
        <v>74</v>
      </c>
      <c r="J218" s="2" t="s">
        <v>74</v>
      </c>
      <c r="K218" s="5" t="s">
        <v>74</v>
      </c>
      <c r="L218" s="2" t="s">
        <v>196</v>
      </c>
      <c r="M218" s="8" t="str">
        <f t="array" ref="M218">Y107</f>
        <v>1ХВС::1.1</v>
      </c>
      <c r="AA218" s="206" t="str">
        <f>AA200&amp;".6"</f>
        <v>3.1.1.3.6</v>
      </c>
      <c r="AB218" s="198" t="s">
        <v>289</v>
      </c>
      <c r="AC218" s="197" t="s">
        <v>114</v>
      </c>
      <c r="AD218" s="136">
        <v>58.691527301100002</v>
      </c>
      <c r="AE218" s="136">
        <v>62.127212588600003</v>
      </c>
      <c r="AF218" s="195">
        <v>71.667276147199999</v>
      </c>
      <c r="AG218" s="202"/>
      <c r="AH218" s="202"/>
      <c r="AI218" s="136">
        <v>71.667276147199999</v>
      </c>
      <c r="AJ218" s="202"/>
      <c r="AK218" s="202"/>
      <c r="AL218" s="202"/>
      <c r="AM218" s="202"/>
      <c r="AN218" s="203">
        <f t="array" ref="AN218">IF('ВС 2021-2025'!$AN$81="Методика",IF('ВС 2021-2025'!AI$158=0,0,'ВС 2021-2025'!AI218/'ВС 2021-2025'!AI$158*'ВС 2021-2025'!AN$159),[2]Адм.расходы!BT178)</f>
        <v>3.6019999999999999</v>
      </c>
      <c r="AO218" s="195"/>
      <c r="AP218" s="202"/>
      <c r="AQ218" s="202"/>
      <c r="AR218" s="136">
        <f t="array" ref="AR218">'ВС 2021-2025'!$AO$218</f>
        <v>0</v>
      </c>
      <c r="AS218" s="202"/>
      <c r="AT218" s="202"/>
      <c r="AU218" s="203">
        <f t="array" ref="AU218">[2]Адм.расходы!BY178</f>
        <v>0</v>
      </c>
      <c r="AV218" s="195">
        <v>0</v>
      </c>
      <c r="AW218" s="202"/>
      <c r="AX218" s="202"/>
      <c r="AY218" s="136">
        <f>IF(AY$88,AR218*AY$112,AV218*1)</f>
        <v>0</v>
      </c>
      <c r="AZ218" s="202"/>
      <c r="BA218" s="202"/>
      <c r="BB218" s="85"/>
      <c r="BC218" s="85"/>
      <c r="BD218" s="85"/>
      <c r="BE218" s="99">
        <f t="shared" si="3"/>
        <v>267.75529218409997</v>
      </c>
      <c r="BF218" s="99" t="e">
        <f t="array" ref="BF218">#REF!</f>
        <v>#REF!</v>
      </c>
      <c r="BG218" s="101"/>
      <c r="BH218" s="101"/>
      <c r="BI218" s="101"/>
      <c r="BJ218" s="101"/>
      <c r="BK218" s="101"/>
      <c r="BL218" s="101"/>
      <c r="BM218" s="101"/>
    </row>
    <row r="219" spans="3:65" ht="14.25" customHeight="1" outlineLevel="4" x14ac:dyDescent="0.25">
      <c r="C219" s="2" t="s">
        <v>84</v>
      </c>
      <c r="D219" s="2" t="s">
        <v>85</v>
      </c>
      <c r="E219" s="2" t="s">
        <v>74</v>
      </c>
      <c r="F219" s="2" t="s">
        <v>75</v>
      </c>
      <c r="G219" s="2" t="s">
        <v>290</v>
      </c>
      <c r="H219" s="2" t="s">
        <v>74</v>
      </c>
      <c r="I219" s="2" t="s">
        <v>74</v>
      </c>
      <c r="J219" s="2" t="s">
        <v>74</v>
      </c>
      <c r="K219" s="5" t="s">
        <v>74</v>
      </c>
      <c r="L219" s="2" t="s">
        <v>196</v>
      </c>
      <c r="M219" s="8" t="str">
        <f t="array" ref="M219">Y107</f>
        <v>1ХВС::1.1</v>
      </c>
      <c r="AA219" s="206" t="str">
        <f>AA200&amp;".7"</f>
        <v>3.1.1.3.7</v>
      </c>
      <c r="AB219" s="198" t="s">
        <v>291</v>
      </c>
      <c r="AC219" s="197" t="s">
        <v>114</v>
      </c>
      <c r="AD219" s="173">
        <v>4207.9027246337</v>
      </c>
      <c r="AE219" s="173">
        <v>4454.2249818109003</v>
      </c>
      <c r="AF219" s="173">
        <v>5138.2020614249996</v>
      </c>
      <c r="AG219" s="174"/>
      <c r="AH219" s="174"/>
      <c r="AI219" s="173">
        <f>AI220+AI221+AI226+AI222+AI223+AI224+AI225</f>
        <v>5138.2020614249996</v>
      </c>
      <c r="AJ219" s="174"/>
      <c r="AK219" s="174"/>
      <c r="AL219" s="174"/>
      <c r="AM219" s="174"/>
      <c r="AN219" s="173">
        <f>AN220+AN221+AN226+AN222+AN223+AN224+AN225</f>
        <v>9478.0586600000006</v>
      </c>
      <c r="AO219" s="173">
        <v>4270.1313406400004</v>
      </c>
      <c r="AP219" s="174"/>
      <c r="AQ219" s="174"/>
      <c r="AR219" s="173">
        <f>AR220+AR221+AR226+AR222+AR223+AR224+AR225</f>
        <v>4270.1313406400004</v>
      </c>
      <c r="AS219" s="174"/>
      <c r="AT219" s="174"/>
      <c r="AU219" s="173">
        <f>AU220+AU221+AU226+AU222+AU223+AU224+AU225</f>
        <v>0</v>
      </c>
      <c r="AV219" s="173">
        <v>4385.5087234973998</v>
      </c>
      <c r="AW219" s="174"/>
      <c r="AX219" s="174"/>
      <c r="AY219" s="173">
        <f>AY220+AY221+AY226+AY222+AY223+AY224+AY225</f>
        <v>4385.5087234973998</v>
      </c>
      <c r="AZ219" s="174"/>
      <c r="BA219" s="174"/>
      <c r="BB219" s="85"/>
      <c r="BC219" s="85"/>
      <c r="BD219" s="85"/>
      <c r="BE219" s="99">
        <f t="shared" si="3"/>
        <v>45727.870617569395</v>
      </c>
      <c r="BF219" s="100" t="e">
        <f>BF220+BF221+BF226+BF222+BF223+BF224+BF225</f>
        <v>#REF!</v>
      </c>
      <c r="BG219" s="101"/>
      <c r="BH219" s="101"/>
      <c r="BI219" s="101"/>
      <c r="BJ219" s="101"/>
      <c r="BK219" s="101"/>
      <c r="BL219" s="101"/>
      <c r="BM219" s="101"/>
    </row>
    <row r="220" spans="3:65" ht="14.25" customHeight="1" outlineLevel="5" x14ac:dyDescent="0.25">
      <c r="C220" s="2" t="s">
        <v>84</v>
      </c>
      <c r="D220" s="2" t="s">
        <v>85</v>
      </c>
      <c r="E220" s="2" t="s">
        <v>74</v>
      </c>
      <c r="F220" s="2" t="s">
        <v>75</v>
      </c>
      <c r="G220" s="2" t="s">
        <v>292</v>
      </c>
      <c r="H220" s="2" t="s">
        <v>74</v>
      </c>
      <c r="I220" s="2" t="s">
        <v>74</v>
      </c>
      <c r="J220" s="2" t="s">
        <v>74</v>
      </c>
      <c r="K220" s="5" t="s">
        <v>74</v>
      </c>
      <c r="L220" s="2" t="s">
        <v>196</v>
      </c>
      <c r="M220" s="8" t="str">
        <f t="array" ref="M220">Y107</f>
        <v>1ХВС::1.1</v>
      </c>
      <c r="AA220" s="107" t="str">
        <f>AA219&amp;".1"</f>
        <v>3.1.1.3.7.1</v>
      </c>
      <c r="AB220" s="199" t="s">
        <v>293</v>
      </c>
      <c r="AC220" s="197" t="s">
        <v>114</v>
      </c>
      <c r="AD220" s="136"/>
      <c r="AE220" s="136"/>
      <c r="AF220" s="195"/>
      <c r="AG220" s="202"/>
      <c r="AH220" s="202"/>
      <c r="AI220" s="136">
        <f t="array" ref="AI220">'ВС 2021-2025'!$AF$220</f>
        <v>0</v>
      </c>
      <c r="AJ220" s="202"/>
      <c r="AK220" s="202"/>
      <c r="AL220" s="202"/>
      <c r="AM220" s="202"/>
      <c r="AN220" s="203">
        <f t="array" ref="AN220">IF('ВС 2021-2025'!$AN$81="Методика",IF('ВС 2021-2025'!AI$158=0,0,'ВС 2021-2025'!AI220/'ВС 2021-2025'!AI$158*'ВС 2021-2025'!AN$159),[2]Адм.расходы!BT180)</f>
        <v>164.24266</v>
      </c>
      <c r="AO220" s="195">
        <v>616.63599999999997</v>
      </c>
      <c r="AP220" s="202"/>
      <c r="AQ220" s="202"/>
      <c r="AR220" s="136">
        <v>616.63599999999997</v>
      </c>
      <c r="AS220" s="202"/>
      <c r="AT220" s="202"/>
      <c r="AU220" s="203">
        <f t="array" ref="AU220">[2]Адм.расходы!BY180</f>
        <v>0</v>
      </c>
      <c r="AV220" s="195">
        <v>616.63599999999997</v>
      </c>
      <c r="AW220" s="202"/>
      <c r="AX220" s="202"/>
      <c r="AY220" s="136">
        <v>616.63599999999997</v>
      </c>
      <c r="AZ220" s="202"/>
      <c r="BA220" s="202"/>
      <c r="BB220" s="85"/>
      <c r="BC220" s="85"/>
      <c r="BD220" s="85"/>
      <c r="BE220" s="99">
        <f t="shared" si="3"/>
        <v>2630.7866599999998</v>
      </c>
      <c r="BF220" s="99" t="e">
        <f t="array" ref="BF220">#REF!</f>
        <v>#REF!</v>
      </c>
      <c r="BG220" s="101"/>
      <c r="BH220" s="101"/>
      <c r="BI220" s="101"/>
      <c r="BJ220" s="101"/>
      <c r="BK220" s="101"/>
      <c r="BL220" s="101"/>
      <c r="BM220" s="101"/>
    </row>
    <row r="221" spans="3:65" ht="23.25" customHeight="1" outlineLevel="5" x14ac:dyDescent="0.25">
      <c r="C221" s="2" t="s">
        <v>84</v>
      </c>
      <c r="D221" s="2" t="s">
        <v>85</v>
      </c>
      <c r="E221" s="2" t="s">
        <v>74</v>
      </c>
      <c r="F221" s="2" t="s">
        <v>75</v>
      </c>
      <c r="G221" s="2" t="s">
        <v>294</v>
      </c>
      <c r="H221" s="2" t="s">
        <v>74</v>
      </c>
      <c r="I221" s="2" t="s">
        <v>74</v>
      </c>
      <c r="J221" s="2" t="s">
        <v>74</v>
      </c>
      <c r="K221" s="5" t="s">
        <v>74</v>
      </c>
      <c r="L221" s="2" t="s">
        <v>196</v>
      </c>
      <c r="M221" s="8" t="str">
        <f t="array" ref="M221">Y107</f>
        <v>1ХВС::1.1</v>
      </c>
      <c r="AA221" s="107" t="str">
        <f>AA219&amp;".2"</f>
        <v>3.1.1.3.7.2</v>
      </c>
      <c r="AB221" s="199" t="s">
        <v>295</v>
      </c>
      <c r="AC221" s="197" t="s">
        <v>114</v>
      </c>
      <c r="AD221" s="136">
        <v>2448.3410053296998</v>
      </c>
      <c r="AE221" s="136">
        <v>2591.6620187271001</v>
      </c>
      <c r="AF221" s="195">
        <v>2989.6296620666999</v>
      </c>
      <c r="AG221" s="202"/>
      <c r="AH221" s="202"/>
      <c r="AI221" s="136">
        <v>2989.6296620666999</v>
      </c>
      <c r="AJ221" s="202"/>
      <c r="AK221" s="202"/>
      <c r="AL221" s="202"/>
      <c r="AM221" s="202"/>
      <c r="AN221" s="203">
        <f t="array" ref="AN221">IF('ВС 2021-2025'!$AN$81="Методика",IF('ВС 2021-2025'!AI$158=0,0,'ВС 2021-2025'!AI221/'ВС 2021-2025'!AI$158*'ВС 2021-2025'!AN$159),[2]Адм.расходы!BT181)</f>
        <v>227.16300000000001</v>
      </c>
      <c r="AO221" s="195"/>
      <c r="AP221" s="202"/>
      <c r="AQ221" s="202"/>
      <c r="AR221" s="136">
        <f t="array" ref="AR221">'ВС 2021-2025'!$AO$221</f>
        <v>0</v>
      </c>
      <c r="AS221" s="202"/>
      <c r="AT221" s="202"/>
      <c r="AU221" s="203">
        <f t="array" ref="AU221">[2]Адм.расходы!BY181</f>
        <v>0</v>
      </c>
      <c r="AV221" s="195">
        <v>0</v>
      </c>
      <c r="AW221" s="202"/>
      <c r="AX221" s="202"/>
      <c r="AY221" s="136">
        <f>IF(AY$88,AR221*AY$112,AV221*1)</f>
        <v>0</v>
      </c>
      <c r="AZ221" s="202"/>
      <c r="BA221" s="202"/>
      <c r="BB221" s="85"/>
      <c r="BC221" s="85"/>
      <c r="BD221" s="85"/>
      <c r="BE221" s="99">
        <f t="shared" si="3"/>
        <v>11246.4253481902</v>
      </c>
      <c r="BF221" s="99" t="e">
        <f t="array" ref="BF221">#REF!</f>
        <v>#REF!</v>
      </c>
      <c r="BG221" s="101"/>
      <c r="BH221" s="101"/>
      <c r="BI221" s="101"/>
      <c r="BJ221" s="101"/>
      <c r="BK221" s="101"/>
      <c r="BL221" s="101"/>
      <c r="BM221" s="101"/>
    </row>
    <row r="222" spans="3:65" ht="14.25" customHeight="1" outlineLevel="5" x14ac:dyDescent="0.25">
      <c r="C222" s="2" t="s">
        <v>84</v>
      </c>
      <c r="D222" s="2" t="s">
        <v>85</v>
      </c>
      <c r="E222" s="2" t="s">
        <v>74</v>
      </c>
      <c r="F222" s="2" t="s">
        <v>75</v>
      </c>
      <c r="G222" s="2" t="s">
        <v>296</v>
      </c>
      <c r="H222" s="2" t="s">
        <v>74</v>
      </c>
      <c r="I222" s="2" t="s">
        <v>74</v>
      </c>
      <c r="J222" s="2" t="s">
        <v>74</v>
      </c>
      <c r="K222" s="5" t="s">
        <v>74</v>
      </c>
      <c r="L222" s="2" t="s">
        <v>196</v>
      </c>
      <c r="M222" s="8" t="str">
        <f t="array" ref="M222">Y107</f>
        <v>1ХВС::1.1</v>
      </c>
      <c r="AA222" s="107" t="str">
        <f>AA219&amp;".3"</f>
        <v>3.1.1.3.7.3</v>
      </c>
      <c r="AB222" s="199" t="s">
        <v>297</v>
      </c>
      <c r="AC222" s="197" t="s">
        <v>114</v>
      </c>
      <c r="AD222" s="136"/>
      <c r="AE222" s="136"/>
      <c r="AF222" s="195"/>
      <c r="AG222" s="202"/>
      <c r="AH222" s="202"/>
      <c r="AI222" s="136">
        <f t="array" ref="AI222">'ВС 2021-2025'!$AF$222</f>
        <v>0</v>
      </c>
      <c r="AJ222" s="202"/>
      <c r="AK222" s="202"/>
      <c r="AL222" s="202"/>
      <c r="AM222" s="202"/>
      <c r="AN222" s="203">
        <f t="array" ref="AN222">IF('ВС 2021-2025'!$AN$81="Методика",IF('ВС 2021-2025'!AI$158=0,0,'ВС 2021-2025'!AI222/'ВС 2021-2025'!AI$158*'ВС 2021-2025'!AN$159),[2]Адм.расходы!BT182)</f>
        <v>0</v>
      </c>
      <c r="AO222" s="195">
        <v>119.4811072</v>
      </c>
      <c r="AP222" s="202"/>
      <c r="AQ222" s="202"/>
      <c r="AR222" s="136">
        <v>119.4811072</v>
      </c>
      <c r="AS222" s="202"/>
      <c r="AT222" s="202"/>
      <c r="AU222" s="203">
        <f t="array" ref="AU222">[2]Адм.расходы!BY182</f>
        <v>0</v>
      </c>
      <c r="AV222" s="195">
        <v>123.25432056539999</v>
      </c>
      <c r="AW222" s="202"/>
      <c r="AX222" s="202"/>
      <c r="AY222" s="136">
        <v>123.25432056539999</v>
      </c>
      <c r="AZ222" s="202"/>
      <c r="BA222" s="202"/>
      <c r="BB222" s="85"/>
      <c r="BC222" s="85"/>
      <c r="BD222" s="85"/>
      <c r="BE222" s="99">
        <f t="shared" ref="BE222:BE253" si="4">SUM(AD222:BA222)</f>
        <v>485.47085553080001</v>
      </c>
      <c r="BF222" s="99" t="e">
        <f t="array" ref="BF222">#REF!</f>
        <v>#REF!</v>
      </c>
      <c r="BG222" s="101"/>
      <c r="BH222" s="101"/>
      <c r="BI222" s="101"/>
      <c r="BJ222" s="101"/>
      <c r="BK222" s="101"/>
      <c r="BL222" s="101"/>
      <c r="BM222" s="101"/>
    </row>
    <row r="223" spans="3:65" ht="14.25" customHeight="1" outlineLevel="5" x14ac:dyDescent="0.25">
      <c r="C223" s="2" t="s">
        <v>84</v>
      </c>
      <c r="D223" s="2" t="s">
        <v>85</v>
      </c>
      <c r="E223" s="2" t="s">
        <v>74</v>
      </c>
      <c r="F223" s="2" t="s">
        <v>75</v>
      </c>
      <c r="G223" s="2" t="s">
        <v>298</v>
      </c>
      <c r="H223" s="2" t="s">
        <v>74</v>
      </c>
      <c r="I223" s="2" t="s">
        <v>74</v>
      </c>
      <c r="J223" s="2" t="s">
        <v>74</v>
      </c>
      <c r="K223" s="5" t="s">
        <v>74</v>
      </c>
      <c r="L223" s="2" t="s">
        <v>196</v>
      </c>
      <c r="M223" s="8" t="str">
        <f t="array" ref="M223">Y107</f>
        <v>1ХВС::1.1</v>
      </c>
      <c r="AA223" s="206" t="str">
        <f>AA219&amp;".4"</f>
        <v>3.1.1.3.7.4</v>
      </c>
      <c r="AB223" s="199" t="s">
        <v>299</v>
      </c>
      <c r="AC223" s="197" t="s">
        <v>114</v>
      </c>
      <c r="AD223" s="136"/>
      <c r="AE223" s="136"/>
      <c r="AF223" s="195"/>
      <c r="AG223" s="202"/>
      <c r="AH223" s="202"/>
      <c r="AI223" s="136">
        <f t="array" ref="AI223">'ВС 2021-2025'!$AF$223</f>
        <v>0</v>
      </c>
      <c r="AJ223" s="202"/>
      <c r="AK223" s="202"/>
      <c r="AL223" s="202"/>
      <c r="AM223" s="202"/>
      <c r="AN223" s="203">
        <f t="array" ref="AN223">IF('ВС 2021-2025'!$AN$81="Методика",IF('ВС 2021-2025'!AI$158=0,0,'ВС 2021-2025'!AI223/'ВС 2021-2025'!AI$158*'ВС 2021-2025'!AN$159),[2]Адм.расходы!BT184)</f>
        <v>0</v>
      </c>
      <c r="AO223" s="195"/>
      <c r="AP223" s="202"/>
      <c r="AQ223" s="202"/>
      <c r="AR223" s="136">
        <f t="array" ref="AR223">'ВС 2021-2025'!$AO$223</f>
        <v>0</v>
      </c>
      <c r="AS223" s="202"/>
      <c r="AT223" s="202"/>
      <c r="AU223" s="203">
        <f t="array" ref="AU223">[2]Адм.расходы!BY184</f>
        <v>0</v>
      </c>
      <c r="AV223" s="195">
        <v>0</v>
      </c>
      <c r="AW223" s="202"/>
      <c r="AX223" s="202"/>
      <c r="AY223" s="136">
        <f>IF(AY$88,AR223*AY$112,AV223*1)</f>
        <v>0</v>
      </c>
      <c r="AZ223" s="202"/>
      <c r="BA223" s="202"/>
      <c r="BB223" s="85"/>
      <c r="BC223" s="85"/>
      <c r="BD223" s="85"/>
      <c r="BE223" s="99">
        <f t="shared" si="4"/>
        <v>0</v>
      </c>
      <c r="BF223" s="99" t="e">
        <f t="array" ref="BF223">#REF!</f>
        <v>#REF!</v>
      </c>
      <c r="BG223" s="101"/>
      <c r="BH223" s="101"/>
      <c r="BI223" s="101"/>
      <c r="BJ223" s="101"/>
      <c r="BK223" s="101"/>
      <c r="BL223" s="101"/>
      <c r="BM223" s="101"/>
    </row>
    <row r="224" spans="3:65" ht="14.25" customHeight="1" outlineLevel="5" x14ac:dyDescent="0.25">
      <c r="C224" s="2" t="s">
        <v>84</v>
      </c>
      <c r="D224" s="2" t="s">
        <v>85</v>
      </c>
      <c r="E224" s="2" t="s">
        <v>74</v>
      </c>
      <c r="F224" s="2" t="s">
        <v>75</v>
      </c>
      <c r="G224" s="2" t="s">
        <v>300</v>
      </c>
      <c r="H224" s="2" t="s">
        <v>74</v>
      </c>
      <c r="I224" s="2" t="s">
        <v>74</v>
      </c>
      <c r="J224" s="2" t="s">
        <v>74</v>
      </c>
      <c r="K224" s="5" t="s">
        <v>74</v>
      </c>
      <c r="L224" s="2" t="s">
        <v>196</v>
      </c>
      <c r="M224" s="8" t="str">
        <f t="array" ref="M224">Y107</f>
        <v>1ХВС::1.1</v>
      </c>
      <c r="AA224" s="206" t="str">
        <f>AA219&amp;".5"</f>
        <v>3.1.1.3.7.5</v>
      </c>
      <c r="AB224" s="199" t="s">
        <v>301</v>
      </c>
      <c r="AC224" s="197" t="s">
        <v>114</v>
      </c>
      <c r="AD224" s="136"/>
      <c r="AE224" s="136"/>
      <c r="AF224" s="195"/>
      <c r="AG224" s="202"/>
      <c r="AH224" s="202"/>
      <c r="AI224" s="136">
        <f t="array" ref="AI224">'ВС 2021-2025'!$AF$224</f>
        <v>0</v>
      </c>
      <c r="AJ224" s="202"/>
      <c r="AK224" s="202"/>
      <c r="AL224" s="202"/>
      <c r="AM224" s="202"/>
      <c r="AN224" s="203">
        <f t="array" ref="AN224">IF('ВС 2021-2025'!$AN$81="Методика",IF('ВС 2021-2025'!AI$158=0,0,'ВС 2021-2025'!AI224/'ВС 2021-2025'!AI$158*'ВС 2021-2025'!AN$159),[2]Адм.расходы!BT185)</f>
        <v>0</v>
      </c>
      <c r="AO224" s="195"/>
      <c r="AP224" s="202"/>
      <c r="AQ224" s="202"/>
      <c r="AR224" s="136">
        <f t="array" ref="AR224">'ВС 2021-2025'!$AO$224</f>
        <v>0</v>
      </c>
      <c r="AS224" s="202"/>
      <c r="AT224" s="202"/>
      <c r="AU224" s="203">
        <f t="array" ref="AU224">[2]Адм.расходы!BY185</f>
        <v>0</v>
      </c>
      <c r="AV224" s="195">
        <v>0</v>
      </c>
      <c r="AW224" s="202"/>
      <c r="AX224" s="202"/>
      <c r="AY224" s="136">
        <f>IF(AY$88,AR224*AY$112,AV224*1)</f>
        <v>0</v>
      </c>
      <c r="AZ224" s="202"/>
      <c r="BA224" s="202"/>
      <c r="BB224" s="85"/>
      <c r="BC224" s="85"/>
      <c r="BD224" s="85"/>
      <c r="BE224" s="99">
        <f t="shared" si="4"/>
        <v>0</v>
      </c>
      <c r="BF224" s="99" t="e">
        <f t="array" ref="BF224">#REF!</f>
        <v>#REF!</v>
      </c>
      <c r="BG224" s="101"/>
      <c r="BH224" s="101"/>
      <c r="BI224" s="101"/>
      <c r="BJ224" s="101"/>
      <c r="BK224" s="101"/>
      <c r="BL224" s="101"/>
      <c r="BM224" s="101"/>
    </row>
    <row r="225" spans="3:65" ht="14.25" customHeight="1" outlineLevel="5" x14ac:dyDescent="0.25">
      <c r="C225" s="2" t="s">
        <v>84</v>
      </c>
      <c r="D225" s="2" t="s">
        <v>85</v>
      </c>
      <c r="E225" s="2" t="s">
        <v>74</v>
      </c>
      <c r="F225" s="2" t="s">
        <v>75</v>
      </c>
      <c r="G225" s="2" t="s">
        <v>302</v>
      </c>
      <c r="H225" s="2" t="s">
        <v>74</v>
      </c>
      <c r="I225" s="2" t="s">
        <v>74</v>
      </c>
      <c r="J225" s="2" t="s">
        <v>74</v>
      </c>
      <c r="K225" s="5" t="s">
        <v>74</v>
      </c>
      <c r="L225" s="2" t="s">
        <v>196</v>
      </c>
      <c r="M225" s="8" t="str">
        <f t="array" ref="M225">Y107</f>
        <v>1ХВС::1.1</v>
      </c>
      <c r="AA225" s="206" t="str">
        <f>AA219&amp;".6"</f>
        <v>3.1.1.3.7.6</v>
      </c>
      <c r="AB225" s="199" t="s">
        <v>303</v>
      </c>
      <c r="AC225" s="197" t="s">
        <v>114</v>
      </c>
      <c r="AD225" s="136"/>
      <c r="AE225" s="136"/>
      <c r="AF225" s="195"/>
      <c r="AG225" s="202"/>
      <c r="AH225" s="202"/>
      <c r="AI225" s="136">
        <f t="array" ref="AI225">'ВС 2021-2025'!$AF$225</f>
        <v>0</v>
      </c>
      <c r="AJ225" s="202"/>
      <c r="AK225" s="202"/>
      <c r="AL225" s="202"/>
      <c r="AM225" s="202"/>
      <c r="AN225" s="203">
        <f t="array" ref="AN225">IF('ВС 2021-2025'!$AN$81="Методика",IF('ВС 2021-2025'!AI$158=0,0,'ВС 2021-2025'!AI225/'ВС 2021-2025'!AI$158*'ВС 2021-2025'!AN$159),[2]Адм.расходы!BT186)</f>
        <v>0</v>
      </c>
      <c r="AO225" s="195"/>
      <c r="AP225" s="202"/>
      <c r="AQ225" s="202"/>
      <c r="AR225" s="136">
        <f t="array" ref="AR225">'ВС 2021-2025'!$AO$225</f>
        <v>0</v>
      </c>
      <c r="AS225" s="202"/>
      <c r="AT225" s="202"/>
      <c r="AU225" s="203">
        <f t="array" ref="AU225">[2]Адм.расходы!BY186</f>
        <v>0</v>
      </c>
      <c r="AV225" s="195">
        <v>0</v>
      </c>
      <c r="AW225" s="202"/>
      <c r="AX225" s="202"/>
      <c r="AY225" s="136">
        <f>IF(AY$88,AR225*AY$112,AV225*1)</f>
        <v>0</v>
      </c>
      <c r="AZ225" s="202"/>
      <c r="BA225" s="202"/>
      <c r="BB225" s="85"/>
      <c r="BC225" s="85"/>
      <c r="BD225" s="85"/>
      <c r="BE225" s="99">
        <f t="shared" si="4"/>
        <v>0</v>
      </c>
      <c r="BF225" s="99" t="e">
        <f t="array" ref="BF225">#REF!</f>
        <v>#REF!</v>
      </c>
      <c r="BG225" s="101"/>
      <c r="BH225" s="101"/>
      <c r="BI225" s="101"/>
      <c r="BJ225" s="101"/>
      <c r="BK225" s="101"/>
      <c r="BL225" s="101"/>
      <c r="BM225" s="101"/>
    </row>
    <row r="226" spans="3:65" ht="14.25" customHeight="1" outlineLevel="5" x14ac:dyDescent="0.25">
      <c r="C226" s="2" t="s">
        <v>84</v>
      </c>
      <c r="D226" s="2" t="s">
        <v>85</v>
      </c>
      <c r="E226" s="2" t="s">
        <v>74</v>
      </c>
      <c r="F226" s="2" t="s">
        <v>75</v>
      </c>
      <c r="G226" s="2" t="s">
        <v>304</v>
      </c>
      <c r="H226" s="2" t="s">
        <v>74</v>
      </c>
      <c r="I226" s="2" t="s">
        <v>74</v>
      </c>
      <c r="J226" s="2" t="s">
        <v>74</v>
      </c>
      <c r="K226" s="5" t="s">
        <v>74</v>
      </c>
      <c r="L226" s="2" t="s">
        <v>196</v>
      </c>
      <c r="M226" s="8" t="str">
        <f t="array" ref="M226">Y107</f>
        <v>1ХВС::1.1</v>
      </c>
      <c r="AA226" s="206" t="str">
        <f>AA219&amp;".7"</f>
        <v>3.1.1.3.7.7</v>
      </c>
      <c r="AB226" s="199" t="s">
        <v>305</v>
      </c>
      <c r="AC226" s="197" t="s">
        <v>114</v>
      </c>
      <c r="AD226" s="136">
        <v>1759.561719304</v>
      </c>
      <c r="AE226" s="136">
        <v>1862.5629630838</v>
      </c>
      <c r="AF226" s="195">
        <v>2148.5723993583001</v>
      </c>
      <c r="AG226" s="202"/>
      <c r="AH226" s="202"/>
      <c r="AI226" s="136">
        <v>2148.5723993583001</v>
      </c>
      <c r="AJ226" s="202"/>
      <c r="AK226" s="202"/>
      <c r="AL226" s="202"/>
      <c r="AM226" s="202"/>
      <c r="AN226" s="203">
        <f t="array" ref="AN226">IF('ВС 2021-2025'!$AN$81="Методика",IF('ВС 2021-2025'!AI$158=0,0,'ВС 2021-2025'!AI226/'ВС 2021-2025'!AI$158*'ВС 2021-2025'!AN$159),[2]Адм.расходы!BT192)</f>
        <v>9086.6530000000002</v>
      </c>
      <c r="AO226" s="195">
        <v>3534.0142334400002</v>
      </c>
      <c r="AP226" s="202"/>
      <c r="AQ226" s="202"/>
      <c r="AR226" s="136">
        <v>3534.0142334400002</v>
      </c>
      <c r="AS226" s="202"/>
      <c r="AT226" s="202"/>
      <c r="AU226" s="203">
        <f t="array" ref="AU226">[2]Адм.расходы!BY192</f>
        <v>0</v>
      </c>
      <c r="AV226" s="195">
        <v>3645.6184029320002</v>
      </c>
      <c r="AW226" s="202"/>
      <c r="AX226" s="202"/>
      <c r="AY226" s="136">
        <v>3645.6184029320002</v>
      </c>
      <c r="AZ226" s="202"/>
      <c r="BA226" s="202"/>
      <c r="BB226" s="85"/>
      <c r="BC226" s="85"/>
      <c r="BD226" s="85"/>
      <c r="BE226" s="99">
        <f t="shared" si="4"/>
        <v>31365.1877538484</v>
      </c>
      <c r="BF226" s="99" t="e">
        <f t="array" ref="BF226">#REF!</f>
        <v>#REF!</v>
      </c>
      <c r="BG226" s="101"/>
      <c r="BH226" s="101"/>
      <c r="BI226" s="101"/>
      <c r="BJ226" s="101"/>
      <c r="BK226" s="101"/>
      <c r="BL226" s="101"/>
      <c r="BM226" s="101"/>
    </row>
    <row r="227" spans="3:65" ht="14.25" customHeight="1" outlineLevel="3" x14ac:dyDescent="0.25">
      <c r="C227" s="2" t="s">
        <v>84</v>
      </c>
      <c r="D227" s="2" t="s">
        <v>85</v>
      </c>
      <c r="E227" s="2" t="s">
        <v>74</v>
      </c>
      <c r="F227" s="2" t="s">
        <v>75</v>
      </c>
      <c r="G227" s="2" t="s">
        <v>306</v>
      </c>
      <c r="H227" s="2" t="s">
        <v>74</v>
      </c>
      <c r="I227" s="2" t="s">
        <v>74</v>
      </c>
      <c r="J227" s="2" t="s">
        <v>74</v>
      </c>
      <c r="K227" s="5" t="s">
        <v>74</v>
      </c>
      <c r="L227" s="2" t="s">
        <v>196</v>
      </c>
      <c r="M227" s="8" t="str">
        <f t="array" ref="M227">Y107</f>
        <v>1ХВС::1.1</v>
      </c>
      <c r="AA227" s="206" t="str">
        <f>AA158&amp;".4"</f>
        <v>3.1.1.4</v>
      </c>
      <c r="AB227" s="214" t="s">
        <v>307</v>
      </c>
      <c r="AC227" s="197" t="s">
        <v>114</v>
      </c>
      <c r="AD227" s="136"/>
      <c r="AE227" s="136"/>
      <c r="AF227" s="195"/>
      <c r="AG227" s="202"/>
      <c r="AH227" s="202"/>
      <c r="AI227" s="136">
        <f t="array" ref="AI227">'ВС 2021-2025'!$AF$227</f>
        <v>0</v>
      </c>
      <c r="AJ227" s="202"/>
      <c r="AK227" s="202"/>
      <c r="AL227" s="202"/>
      <c r="AM227" s="202"/>
      <c r="AN227" s="173" t="e">
        <f>SUM(AN228:AN230)+SUM(AN236:AN240)</f>
        <v>#REF!</v>
      </c>
      <c r="AO227" s="195">
        <v>85770.585073202397</v>
      </c>
      <c r="AP227" s="202"/>
      <c r="AQ227" s="202"/>
      <c r="AR227" s="136">
        <v>85770.585073202397</v>
      </c>
      <c r="AS227" s="202"/>
      <c r="AT227" s="202"/>
      <c r="AU227" s="173" t="e">
        <f>SUM(AU228:AU230)+SUM(AU236:AU240)</f>
        <v>#REF!</v>
      </c>
      <c r="AV227" s="195">
        <v>88479.220149814093</v>
      </c>
      <c r="AW227" s="202"/>
      <c r="AX227" s="202"/>
      <c r="AY227" s="136">
        <v>88479.220149814093</v>
      </c>
      <c r="AZ227" s="202"/>
      <c r="BA227" s="202"/>
      <c r="BB227" s="85"/>
      <c r="BC227" s="85"/>
      <c r="BD227" s="85"/>
      <c r="BE227" s="99" t="e">
        <f t="shared" si="4"/>
        <v>#REF!</v>
      </c>
      <c r="BF227" s="99" t="e">
        <f t="array" ref="BF227">#REF!</f>
        <v>#REF!</v>
      </c>
      <c r="BG227" s="101"/>
      <c r="BH227" s="101"/>
      <c r="BI227" s="101"/>
      <c r="BJ227" s="101"/>
      <c r="BK227" s="101"/>
      <c r="BL227" s="101"/>
      <c r="BM227" s="101"/>
    </row>
    <row r="228" spans="3:65" ht="21.75" customHeight="1" outlineLevel="4" x14ac:dyDescent="0.25">
      <c r="C228" s="2" t="s">
        <v>84</v>
      </c>
      <c r="D228" s="2" t="s">
        <v>85</v>
      </c>
      <c r="E228" s="2" t="s">
        <v>74</v>
      </c>
      <c r="F228" s="2" t="s">
        <v>75</v>
      </c>
      <c r="G228" s="2" t="s">
        <v>308</v>
      </c>
      <c r="H228" s="2" t="s">
        <v>74</v>
      </c>
      <c r="I228" s="2" t="s">
        <v>74</v>
      </c>
      <c r="J228" s="2" t="s">
        <v>74</v>
      </c>
      <c r="K228" s="5" t="s">
        <v>74</v>
      </c>
      <c r="L228" s="2" t="s">
        <v>74</v>
      </c>
      <c r="M228" s="8" t="str">
        <f t="array" ref="M228">Y107</f>
        <v>1ХВС::1.1</v>
      </c>
      <c r="AA228" s="107" t="str">
        <f>AA227&amp;".1"</f>
        <v>3.1.1.4.1</v>
      </c>
      <c r="AB228" s="198" t="s">
        <v>308</v>
      </c>
      <c r="AC228" s="197" t="s">
        <v>114</v>
      </c>
      <c r="AD228" s="136"/>
      <c r="AE228" s="136"/>
      <c r="AF228" s="195"/>
      <c r="AG228" s="202"/>
      <c r="AH228" s="202"/>
      <c r="AI228" s="136">
        <f t="array" ref="AI228">'ВС 2021-2025'!$AF$228</f>
        <v>0</v>
      </c>
      <c r="AJ228" s="202"/>
      <c r="AK228" s="202"/>
      <c r="AL228" s="202"/>
      <c r="AM228" s="202"/>
      <c r="AN228" s="200" t="e">
        <f t="array" ref="AN228">IF('ВС 2021-2025'!$AN$81="Методика",IF('ВС 2021-2025'!AI$158=0,0,'ВС 2021-2025'!AI228/'ВС 2021-2025'!AI$158*'ВС 2021-2025'!AN$159),'ВС 2021-2025'!#REF!)</f>
        <v>#REF!</v>
      </c>
      <c r="AO228" s="195"/>
      <c r="AP228" s="202"/>
      <c r="AQ228" s="202"/>
      <c r="AR228" s="136">
        <f t="array" ref="AR228">'ВС 2021-2025'!$AO$228</f>
        <v>0</v>
      </c>
      <c r="AS228" s="202"/>
      <c r="AT228" s="202"/>
      <c r="AU228" s="200" t="e">
        <f t="array" ref="AU228">'ВС 2021-2025'!#REF!</f>
        <v>#REF!</v>
      </c>
      <c r="AV228" s="195">
        <v>0</v>
      </c>
      <c r="AW228" s="202"/>
      <c r="AX228" s="202"/>
      <c r="AY228" s="136">
        <f>IF(AY$88,AR228*AY$112,AV228*1)</f>
        <v>0</v>
      </c>
      <c r="AZ228" s="202"/>
      <c r="BA228" s="202"/>
      <c r="BB228" s="85"/>
      <c r="BC228" s="85"/>
      <c r="BD228" s="85"/>
      <c r="BE228" s="99" t="e">
        <f t="shared" si="4"/>
        <v>#REF!</v>
      </c>
      <c r="BF228" s="99" t="e">
        <f t="array" ref="BF228">#REF!</f>
        <v>#REF!</v>
      </c>
      <c r="BG228" s="101"/>
      <c r="BH228" s="101"/>
      <c r="BI228" s="101"/>
      <c r="BJ228" s="101"/>
      <c r="BK228" s="101"/>
      <c r="BL228" s="101"/>
      <c r="BM228" s="101"/>
    </row>
    <row r="229" spans="3:65" ht="24" customHeight="1" outlineLevel="4" x14ac:dyDescent="0.25">
      <c r="C229" s="2" t="s">
        <v>84</v>
      </c>
      <c r="D229" s="2" t="s">
        <v>85</v>
      </c>
      <c r="E229" s="2" t="s">
        <v>74</v>
      </c>
      <c r="F229" s="2" t="s">
        <v>75</v>
      </c>
      <c r="G229" s="2" t="s">
        <v>309</v>
      </c>
      <c r="H229" s="2" t="s">
        <v>74</v>
      </c>
      <c r="I229" s="2" t="s">
        <v>74</v>
      </c>
      <c r="J229" s="2" t="s">
        <v>74</v>
      </c>
      <c r="K229" s="5" t="s">
        <v>74</v>
      </c>
      <c r="L229" s="2" t="s">
        <v>74</v>
      </c>
      <c r="M229" s="8" t="str">
        <f t="array" ref="M229">Y107</f>
        <v>1ХВС::1.1</v>
      </c>
      <c r="AA229" s="107" t="str">
        <f>AA227&amp;".2"</f>
        <v>3.1.1.4.2</v>
      </c>
      <c r="AB229" s="198" t="s">
        <v>309</v>
      </c>
      <c r="AC229" s="197" t="s">
        <v>114</v>
      </c>
      <c r="AD229" s="136"/>
      <c r="AE229" s="136"/>
      <c r="AF229" s="195"/>
      <c r="AG229" s="202"/>
      <c r="AH229" s="202"/>
      <c r="AI229" s="136">
        <f t="array" ref="AI229">'ВС 2021-2025'!$AF$229</f>
        <v>0</v>
      </c>
      <c r="AJ229" s="202"/>
      <c r="AK229" s="202"/>
      <c r="AL229" s="202"/>
      <c r="AM229" s="202"/>
      <c r="AN229" s="200" t="e">
        <f t="array" ref="AN229">IF('ВС 2021-2025'!$AN$81="Методика",IF('ВС 2021-2025'!AI$158=0,0,'ВС 2021-2025'!AI229/'ВС 2021-2025'!AI$158*'ВС 2021-2025'!AN$159),'ВС 2021-2025'!#REF!)</f>
        <v>#REF!</v>
      </c>
      <c r="AO229" s="195"/>
      <c r="AP229" s="202"/>
      <c r="AQ229" s="202"/>
      <c r="AR229" s="136">
        <f t="array" ref="AR229">'ВС 2021-2025'!$AO$229</f>
        <v>0</v>
      </c>
      <c r="AS229" s="202"/>
      <c r="AT229" s="202"/>
      <c r="AU229" s="200" t="e">
        <f t="array" ref="AU229">'ВС 2021-2025'!#REF!</f>
        <v>#REF!</v>
      </c>
      <c r="AV229" s="195">
        <v>0</v>
      </c>
      <c r="AW229" s="202"/>
      <c r="AX229" s="202"/>
      <c r="AY229" s="136">
        <f>IF(AY$88,AR229*AY$112,AV229*1)</f>
        <v>0</v>
      </c>
      <c r="AZ229" s="202"/>
      <c r="BA229" s="202"/>
      <c r="BB229" s="85"/>
      <c r="BC229" s="85"/>
      <c r="BD229" s="85"/>
      <c r="BE229" s="99" t="e">
        <f t="shared" si="4"/>
        <v>#REF!</v>
      </c>
      <c r="BF229" s="99" t="e">
        <f t="array" ref="BF229">#REF!</f>
        <v>#REF!</v>
      </c>
      <c r="BG229" s="101"/>
      <c r="BH229" s="101"/>
      <c r="BI229" s="101"/>
      <c r="BJ229" s="101"/>
      <c r="BK229" s="101"/>
      <c r="BL229" s="101"/>
      <c r="BM229" s="101"/>
    </row>
    <row r="230" spans="3:65" ht="35.25" customHeight="1" outlineLevel="4" x14ac:dyDescent="0.25">
      <c r="C230" s="2" t="s">
        <v>84</v>
      </c>
      <c r="D230" s="2" t="s">
        <v>85</v>
      </c>
      <c r="E230" s="2" t="s">
        <v>74</v>
      </c>
      <c r="F230" s="2" t="s">
        <v>75</v>
      </c>
      <c r="G230" s="2" t="s">
        <v>205</v>
      </c>
      <c r="H230" s="2" t="s">
        <v>310</v>
      </c>
      <c r="I230" s="2" t="s">
        <v>74</v>
      </c>
      <c r="J230" s="2" t="s">
        <v>74</v>
      </c>
      <c r="K230" s="5" t="s">
        <v>74</v>
      </c>
      <c r="L230" s="2" t="s">
        <v>74</v>
      </c>
      <c r="M230" s="8" t="str">
        <f t="array" ref="M230">Y107</f>
        <v>1ХВС::1.1</v>
      </c>
      <c r="AA230" s="107" t="str">
        <f>AA227&amp;".3"</f>
        <v>3.1.1.4.3</v>
      </c>
      <c r="AB230" s="198" t="s">
        <v>311</v>
      </c>
      <c r="AC230" s="197" t="s">
        <v>114</v>
      </c>
      <c r="AD230" s="136"/>
      <c r="AE230" s="136"/>
      <c r="AF230" s="195"/>
      <c r="AG230" s="202"/>
      <c r="AH230" s="202"/>
      <c r="AI230" s="136">
        <f t="array" ref="AI230">'ВС 2021-2025'!$AF$230</f>
        <v>0</v>
      </c>
      <c r="AJ230" s="202"/>
      <c r="AK230" s="202"/>
      <c r="AL230" s="202"/>
      <c r="AM230" s="202"/>
      <c r="AN230" s="173" t="e">
        <f>AN231+AN234</f>
        <v>#REF!</v>
      </c>
      <c r="AO230" s="195">
        <v>74863.17501264</v>
      </c>
      <c r="AP230" s="202"/>
      <c r="AQ230" s="202"/>
      <c r="AR230" s="136">
        <v>74863.17501264</v>
      </c>
      <c r="AS230" s="202"/>
      <c r="AT230" s="202"/>
      <c r="AU230" s="173" t="e">
        <f>AU231+AU234</f>
        <v>#REF!</v>
      </c>
      <c r="AV230" s="195">
        <v>77227.354079539204</v>
      </c>
      <c r="AW230" s="202"/>
      <c r="AX230" s="202"/>
      <c r="AY230" s="136">
        <v>77227.354079539204</v>
      </c>
      <c r="AZ230" s="202"/>
      <c r="BA230" s="202"/>
      <c r="BB230" s="85"/>
      <c r="BC230" s="85"/>
      <c r="BD230" s="85"/>
      <c r="BE230" s="99" t="e">
        <f t="shared" si="4"/>
        <v>#REF!</v>
      </c>
      <c r="BF230" s="99" t="e">
        <f t="array" ref="BF230">#REF!</f>
        <v>#REF!</v>
      </c>
      <c r="BG230" s="101"/>
      <c r="BH230" s="101"/>
      <c r="BI230" s="101"/>
      <c r="BJ230" s="101"/>
      <c r="BK230" s="101"/>
      <c r="BL230" s="101"/>
      <c r="BM230" s="101"/>
    </row>
    <row r="231" spans="3:65" ht="14.25" customHeight="1" outlineLevel="4" x14ac:dyDescent="0.25">
      <c r="C231" s="2" t="s">
        <v>312</v>
      </c>
      <c r="D231" s="2" t="s">
        <v>85</v>
      </c>
      <c r="F231" s="2" t="s">
        <v>75</v>
      </c>
      <c r="G231" s="3" t="str">
        <f t="array" ref="G231">AB231</f>
        <v>Заработная плата всего</v>
      </c>
      <c r="H231" s="2" t="s">
        <v>74</v>
      </c>
      <c r="I231" s="2" t="s">
        <v>74</v>
      </c>
      <c r="J231" s="2" t="s">
        <v>74</v>
      </c>
      <c r="L231" s="2" t="s">
        <v>74</v>
      </c>
      <c r="M231" s="8" t="str">
        <f t="array" ref="M231">Y107</f>
        <v>1ХВС::1.1</v>
      </c>
      <c r="AA231" s="107" t="str">
        <f>AA230&amp;".1"</f>
        <v>3.1.1.4.3.1</v>
      </c>
      <c r="AB231" s="199" t="s">
        <v>313</v>
      </c>
      <c r="AC231" s="197" t="s">
        <v>114</v>
      </c>
      <c r="AD231" s="136"/>
      <c r="AE231" s="136"/>
      <c r="AF231" s="195"/>
      <c r="AG231" s="202"/>
      <c r="AH231" s="202"/>
      <c r="AI231" s="136">
        <f t="array" ref="AI231">'ВС 2021-2025'!$AF$231</f>
        <v>0</v>
      </c>
      <c r="AJ231" s="202"/>
      <c r="AK231" s="202"/>
      <c r="AL231" s="202"/>
      <c r="AM231" s="202"/>
      <c r="AN231" s="200" t="e">
        <f t="array" ref="AN231">IF('ВС 2021-2025'!$AN$81="Методика",IF('ВС 2021-2025'!AI$158=0,0,'ВС 2021-2025'!AI231/'ВС 2021-2025'!AI$158*'ВС 2021-2025'!AN$159),'ВС 2021-2025'!#REF!)</f>
        <v>#REF!</v>
      </c>
      <c r="AO231" s="195"/>
      <c r="AP231" s="202"/>
      <c r="AQ231" s="202"/>
      <c r="AR231" s="136">
        <f t="array" ref="AR231">'ВС 2021-2025'!$AO$231</f>
        <v>0</v>
      </c>
      <c r="AS231" s="202"/>
      <c r="AT231" s="202"/>
      <c r="AU231" s="200" t="e">
        <f t="array" ref="AU231">'ВС 2021-2025'!#REF!</f>
        <v>#REF!</v>
      </c>
      <c r="AV231" s="195">
        <v>0</v>
      </c>
      <c r="AW231" s="202"/>
      <c r="AX231" s="202"/>
      <c r="AY231" s="136">
        <f>IF(AY$88,AR231*AY$112,AV231*1)</f>
        <v>0</v>
      </c>
      <c r="AZ231" s="202"/>
      <c r="BA231" s="202"/>
      <c r="BB231" s="85"/>
      <c r="BC231" s="85"/>
      <c r="BD231" s="85"/>
      <c r="BE231" s="99" t="e">
        <f t="shared" si="4"/>
        <v>#REF!</v>
      </c>
      <c r="BF231" s="99" t="e">
        <f t="array" ref="BF231">#REF!</f>
        <v>#REF!</v>
      </c>
      <c r="BG231" s="101"/>
      <c r="BH231" s="101"/>
      <c r="BI231" s="101"/>
      <c r="BJ231" s="101"/>
      <c r="BK231" s="101"/>
      <c r="BL231" s="101"/>
      <c r="BM231" s="101"/>
    </row>
    <row r="232" spans="3:65" ht="14.25" customHeight="1" outlineLevel="4" x14ac:dyDescent="0.25">
      <c r="C232" s="2" t="s">
        <v>210</v>
      </c>
      <c r="D232" s="2" t="s">
        <v>211</v>
      </c>
      <c r="E232" s="2" t="s">
        <v>74</v>
      </c>
      <c r="F232" s="2" t="s">
        <v>75</v>
      </c>
      <c r="G232" s="2" t="s">
        <v>74</v>
      </c>
      <c r="H232" s="2" t="s">
        <v>74</v>
      </c>
      <c r="I232" s="2" t="s">
        <v>74</v>
      </c>
      <c r="J232" s="2" t="s">
        <v>74</v>
      </c>
      <c r="K232" s="5" t="s">
        <v>74</v>
      </c>
      <c r="L232" s="2" t="s">
        <v>74</v>
      </c>
      <c r="M232" s="8" t="str">
        <f t="array" ref="M232">Y107</f>
        <v>1ХВС::1.1</v>
      </c>
      <c r="AA232" s="107" t="str">
        <f>AA231&amp;".1"</f>
        <v>3.1.1.4.3.1.1</v>
      </c>
      <c r="AB232" s="205" t="s">
        <v>212</v>
      </c>
      <c r="AC232" s="197" t="s">
        <v>213</v>
      </c>
      <c r="AD232" s="173">
        <v>0</v>
      </c>
      <c r="AE232" s="173">
        <v>0</v>
      </c>
      <c r="AF232" s="173">
        <v>0</v>
      </c>
      <c r="AG232" s="174"/>
      <c r="AH232" s="174"/>
      <c r="AI232" s="173">
        <f>IF(AI233=0,0,AI231*1000/AI$89/AI233)</f>
        <v>0</v>
      </c>
      <c r="AJ232" s="174"/>
      <c r="AK232" s="174"/>
      <c r="AL232" s="174"/>
      <c r="AM232" s="174"/>
      <c r="AN232" s="173" t="e">
        <f>IF(AN233=0,0,AN231*1000/AN$89/AN233)</f>
        <v>#REF!</v>
      </c>
      <c r="AO232" s="173">
        <v>0</v>
      </c>
      <c r="AP232" s="174"/>
      <c r="AQ232" s="174"/>
      <c r="AR232" s="173">
        <f>IF(AR233=0,0,AR231*1000/AR$89/AR233)</f>
        <v>0</v>
      </c>
      <c r="AS232" s="174"/>
      <c r="AT232" s="174"/>
      <c r="AU232" s="173" t="e">
        <f>IF(AU233=0,0,AU231*1000/AU$89/AU233)</f>
        <v>#REF!</v>
      </c>
      <c r="AV232" s="173">
        <v>0</v>
      </c>
      <c r="AW232" s="174"/>
      <c r="AX232" s="174"/>
      <c r="AY232" s="173" t="e">
        <f>IF(AY233=0,0,AY231*1000/AY$89/AY233)</f>
        <v>#REF!</v>
      </c>
      <c r="AZ232" s="174"/>
      <c r="BA232" s="174"/>
      <c r="BB232" s="85"/>
      <c r="BC232" s="85"/>
      <c r="BD232" s="85"/>
      <c r="BE232" s="99" t="e">
        <f t="shared" si="4"/>
        <v>#REF!</v>
      </c>
      <c r="BF232" s="100" t="e">
        <f>IF(BF233=0,0,BF231*1000/BF$89/BF233)</f>
        <v>#REF!</v>
      </c>
      <c r="BG232" s="101"/>
      <c r="BH232" s="101"/>
      <c r="BI232" s="101"/>
      <c r="BJ232" s="101"/>
      <c r="BK232" s="101"/>
      <c r="BL232" s="101"/>
      <c r="BM232" s="101"/>
    </row>
    <row r="233" spans="3:65" ht="14.25" customHeight="1" outlineLevel="4" x14ac:dyDescent="0.25">
      <c r="C233" s="2" t="s">
        <v>214</v>
      </c>
      <c r="D233" s="2" t="s">
        <v>215</v>
      </c>
      <c r="E233" s="2" t="s">
        <v>74</v>
      </c>
      <c r="F233" s="2" t="s">
        <v>75</v>
      </c>
      <c r="G233" s="2" t="s">
        <v>74</v>
      </c>
      <c r="H233" s="2" t="s">
        <v>74</v>
      </c>
      <c r="I233" s="2" t="s">
        <v>74</v>
      </c>
      <c r="J233" s="2" t="s">
        <v>74</v>
      </c>
      <c r="K233" s="5" t="s">
        <v>74</v>
      </c>
      <c r="L233" s="2" t="s">
        <v>74</v>
      </c>
      <c r="M233" s="8" t="str">
        <f t="array" ref="M233">Y107</f>
        <v>1ХВС::1.1</v>
      </c>
      <c r="AA233" s="107" t="str">
        <f>AA231&amp;".2"</f>
        <v>3.1.1.4.3.1.2</v>
      </c>
      <c r="AB233" s="205" t="s">
        <v>216</v>
      </c>
      <c r="AC233" s="197" t="s">
        <v>217</v>
      </c>
      <c r="AD233" s="136"/>
      <c r="AE233" s="136"/>
      <c r="AF233" s="195"/>
      <c r="AG233" s="202"/>
      <c r="AH233" s="202"/>
      <c r="AI233" s="136">
        <f t="array" ref="AI233">'ВС 2021-2025'!$AF$233</f>
        <v>0</v>
      </c>
      <c r="AJ233" s="202"/>
      <c r="AK233" s="202"/>
      <c r="AL233" s="202"/>
      <c r="AM233" s="202"/>
      <c r="AN233" s="200" t="e">
        <f t="array" ref="AN233">IF('ВС 2021-2025'!$AN$81="Методика",'ВС 2021-2025'!AI233,'ВС 2021-2025'!#REF!)</f>
        <v>#REF!</v>
      </c>
      <c r="AO233" s="195"/>
      <c r="AP233" s="202"/>
      <c r="AQ233" s="202"/>
      <c r="AR233" s="136">
        <f t="array" ref="AR233">'ВС 2021-2025'!$AO$233</f>
        <v>0</v>
      </c>
      <c r="AS233" s="202"/>
      <c r="AT233" s="202"/>
      <c r="AU233" s="200" t="e">
        <f t="array" ref="AU233">'ВС 2021-2025'!#REF!</f>
        <v>#REF!</v>
      </c>
      <c r="AV233" s="195">
        <v>0</v>
      </c>
      <c r="AW233" s="202"/>
      <c r="AX233" s="202"/>
      <c r="AY233" s="136" t="e">
        <f t="array" ref="AY233">IF(AY$88,IF(#REF!="индексировать",AR233*(1-AY$113)*(1+AY$115),AR233),AV233*1)</f>
        <v>#REF!</v>
      </c>
      <c r="AZ233" s="202"/>
      <c r="BA233" s="202"/>
      <c r="BB233" s="85"/>
      <c r="BC233" s="85"/>
      <c r="BD233" s="85"/>
      <c r="BE233" s="99" t="e">
        <f t="shared" si="4"/>
        <v>#REF!</v>
      </c>
      <c r="BF233" s="99" t="e">
        <f t="array" ref="BF233">#REF!</f>
        <v>#REF!</v>
      </c>
      <c r="BG233" s="101"/>
      <c r="BH233" s="101"/>
      <c r="BI233" s="101"/>
      <c r="BJ233" s="101"/>
      <c r="BK233" s="101"/>
      <c r="BL233" s="101"/>
      <c r="BM233" s="101"/>
    </row>
    <row r="234" spans="3:65" ht="14.25" customHeight="1" outlineLevel="4" x14ac:dyDescent="0.25">
      <c r="C234" s="2" t="s">
        <v>84</v>
      </c>
      <c r="D234" s="2" t="s">
        <v>85</v>
      </c>
      <c r="E234" s="2" t="s">
        <v>74</v>
      </c>
      <c r="F234" s="2" t="s">
        <v>75</v>
      </c>
      <c r="G234" s="2" t="s">
        <v>218</v>
      </c>
      <c r="H234" s="2" t="s">
        <v>74</v>
      </c>
      <c r="I234" s="2" t="s">
        <v>74</v>
      </c>
      <c r="J234" s="2" t="s">
        <v>74</v>
      </c>
      <c r="K234" s="5" t="s">
        <v>74</v>
      </c>
      <c r="L234" s="2" t="s">
        <v>74</v>
      </c>
      <c r="M234" s="8" t="str">
        <f t="array" ref="M234">Y107</f>
        <v>1ХВС::1.1</v>
      </c>
      <c r="AA234" s="107" t="str">
        <f>AA230&amp;".2"</f>
        <v>3.1.1.4.3.2</v>
      </c>
      <c r="AB234" s="199" t="s">
        <v>218</v>
      </c>
      <c r="AC234" s="197" t="s">
        <v>114</v>
      </c>
      <c r="AD234" s="173">
        <v>0</v>
      </c>
      <c r="AE234" s="173">
        <v>0</v>
      </c>
      <c r="AF234" s="173">
        <v>0</v>
      </c>
      <c r="AG234" s="174"/>
      <c r="AH234" s="174"/>
      <c r="AI234" s="173">
        <f>AI230-AI231</f>
        <v>0</v>
      </c>
      <c r="AJ234" s="174"/>
      <c r="AK234" s="174"/>
      <c r="AL234" s="174"/>
      <c r="AM234" s="174"/>
      <c r="AN234" s="200" t="e">
        <f t="array" ref="AN234">IF('ВС 2021-2025'!$AN$81="Методика",IF('ВС 2021-2025'!AI$158=0,0,'ВС 2021-2025'!AI234/'ВС 2021-2025'!AI$158*'ВС 2021-2025'!AN$159),'ВС 2021-2025'!#REF!)</f>
        <v>#REF!</v>
      </c>
      <c r="AO234" s="173">
        <v>74863.17501264</v>
      </c>
      <c r="AP234" s="174"/>
      <c r="AQ234" s="174"/>
      <c r="AR234" s="173">
        <f>AR230-AR231</f>
        <v>74863.17501264</v>
      </c>
      <c r="AS234" s="174"/>
      <c r="AT234" s="174"/>
      <c r="AU234" s="200" t="e">
        <f t="array" ref="AU234">'ВС 2021-2025'!#REF!</f>
        <v>#REF!</v>
      </c>
      <c r="AV234" s="173">
        <v>77227.354079539204</v>
      </c>
      <c r="AW234" s="174"/>
      <c r="AX234" s="174"/>
      <c r="AY234" s="173">
        <f>AY230-AY231</f>
        <v>77227.354079539204</v>
      </c>
      <c r="AZ234" s="174"/>
      <c r="BA234" s="174"/>
      <c r="BB234" s="85"/>
      <c r="BC234" s="85"/>
      <c r="BD234" s="85"/>
      <c r="BE234" s="99" t="e">
        <f t="shared" si="4"/>
        <v>#REF!</v>
      </c>
      <c r="BF234" s="100" t="e">
        <f>BF230-BF231</f>
        <v>#REF!</v>
      </c>
      <c r="BG234" s="101"/>
      <c r="BH234" s="101"/>
      <c r="BI234" s="101"/>
      <c r="BJ234" s="101"/>
      <c r="BK234" s="101"/>
      <c r="BL234" s="101"/>
      <c r="BM234" s="101"/>
    </row>
    <row r="235" spans="3:65" ht="14.25" customHeight="1" outlineLevel="4" x14ac:dyDescent="0.25">
      <c r="C235" s="2" t="s">
        <v>220</v>
      </c>
      <c r="D235" s="2" t="s">
        <v>221</v>
      </c>
      <c r="E235" s="2" t="s">
        <v>74</v>
      </c>
      <c r="F235" s="2" t="s">
        <v>75</v>
      </c>
      <c r="G235" s="2" t="s">
        <v>74</v>
      </c>
      <c r="H235" s="2" t="s">
        <v>74</v>
      </c>
      <c r="I235" s="2" t="s">
        <v>74</v>
      </c>
      <c r="J235" s="2" t="s">
        <v>74</v>
      </c>
      <c r="K235" s="5" t="s">
        <v>74</v>
      </c>
      <c r="L235" s="2" t="s">
        <v>74</v>
      </c>
      <c r="M235" s="8" t="str">
        <f t="array" ref="M235">Y107</f>
        <v>1ХВС::1.1</v>
      </c>
      <c r="AA235" s="107" t="str">
        <f>AA234&amp;".1"</f>
        <v>3.1.1.4.3.2.1</v>
      </c>
      <c r="AB235" s="205" t="s">
        <v>222</v>
      </c>
      <c r="AC235" s="197" t="s">
        <v>122</v>
      </c>
      <c r="AD235" s="173">
        <v>0</v>
      </c>
      <c r="AE235" s="173">
        <v>0</v>
      </c>
      <c r="AF235" s="173">
        <v>0</v>
      </c>
      <c r="AG235" s="174"/>
      <c r="AH235" s="174"/>
      <c r="AI235" s="173">
        <f>IF(AI231=0,0,AI234/AI231*100)</f>
        <v>0</v>
      </c>
      <c r="AJ235" s="174"/>
      <c r="AK235" s="174"/>
      <c r="AL235" s="174"/>
      <c r="AM235" s="174"/>
      <c r="AN235" s="173" t="e">
        <f>IF(AN231=0,0,AN234/AN231*100)</f>
        <v>#REF!</v>
      </c>
      <c r="AO235" s="173">
        <v>0</v>
      </c>
      <c r="AP235" s="174"/>
      <c r="AQ235" s="174"/>
      <c r="AR235" s="173">
        <f>IF(AR231=0,0,AR234/AR231*100)</f>
        <v>0</v>
      </c>
      <c r="AS235" s="174"/>
      <c r="AT235" s="174"/>
      <c r="AU235" s="173" t="e">
        <f>IF(AU231=0,0,AU234/AU231*100)</f>
        <v>#REF!</v>
      </c>
      <c r="AV235" s="173">
        <v>0</v>
      </c>
      <c r="AW235" s="174"/>
      <c r="AX235" s="174"/>
      <c r="AY235" s="173">
        <f>IF(AY231=0,0,AY234/AY231*100)</f>
        <v>0</v>
      </c>
      <c r="AZ235" s="174"/>
      <c r="BA235" s="174"/>
      <c r="BB235" s="85"/>
      <c r="BC235" s="85"/>
      <c r="BD235" s="85"/>
      <c r="BE235" s="99" t="e">
        <f t="shared" si="4"/>
        <v>#REF!</v>
      </c>
      <c r="BF235" s="100" t="e">
        <f>IF(BF231=0,0,BF234/BF231*100)</f>
        <v>#REF!</v>
      </c>
      <c r="BG235" s="101"/>
      <c r="BH235" s="101"/>
      <c r="BI235" s="101"/>
      <c r="BJ235" s="101"/>
      <c r="BK235" s="101"/>
      <c r="BL235" s="101"/>
      <c r="BM235" s="101"/>
    </row>
    <row r="236" spans="3:65" ht="27.75" customHeight="1" outlineLevel="4" x14ac:dyDescent="0.25">
      <c r="C236" s="2" t="s">
        <v>84</v>
      </c>
      <c r="D236" s="2" t="s">
        <v>85</v>
      </c>
      <c r="E236" s="2" t="s">
        <v>74</v>
      </c>
      <c r="F236" s="2" t="s">
        <v>75</v>
      </c>
      <c r="G236" s="2" t="s">
        <v>314</v>
      </c>
      <c r="H236" s="2" t="s">
        <v>74</v>
      </c>
      <c r="I236" s="2" t="s">
        <v>74</v>
      </c>
      <c r="J236" s="2" t="s">
        <v>74</v>
      </c>
      <c r="K236" s="5" t="s">
        <v>74</v>
      </c>
      <c r="L236" s="2" t="s">
        <v>74</v>
      </c>
      <c r="M236" s="8" t="str">
        <f t="array" ref="M236">Y107</f>
        <v>1ХВС::1.1</v>
      </c>
      <c r="AA236" s="206" t="str">
        <f>AA227&amp;".4"</f>
        <v>3.1.1.4.4</v>
      </c>
      <c r="AB236" s="198" t="s">
        <v>315</v>
      </c>
      <c r="AC236" s="197" t="s">
        <v>114</v>
      </c>
      <c r="AD236" s="136"/>
      <c r="AE236" s="136"/>
      <c r="AF236" s="195"/>
      <c r="AG236" s="202"/>
      <c r="AH236" s="202"/>
      <c r="AI236" s="136">
        <f t="array" ref="AI236">'ВС 2021-2025'!$AF$236</f>
        <v>0</v>
      </c>
      <c r="AJ236" s="202"/>
      <c r="AK236" s="202"/>
      <c r="AL236" s="202"/>
      <c r="AM236" s="202"/>
      <c r="AN236" s="200" t="e">
        <f t="array" ref="AN236">IF('ВС 2021-2025'!$AN$81="Методика",IF('ВС 2021-2025'!AI$158=0,0,'ВС 2021-2025'!AI236/'ВС 2021-2025'!AI$158*'ВС 2021-2025'!AN$159),'ВС 2021-2025'!#REF!)</f>
        <v>#REF!</v>
      </c>
      <c r="AO236" s="195"/>
      <c r="AP236" s="202"/>
      <c r="AQ236" s="202"/>
      <c r="AR236" s="136">
        <f t="array" ref="AR236">'ВС 2021-2025'!$AO$236</f>
        <v>0</v>
      </c>
      <c r="AS236" s="202"/>
      <c r="AT236" s="202"/>
      <c r="AU236" s="200" t="e">
        <f t="array" ref="AU236">'ВС 2021-2025'!#REF!</f>
        <v>#REF!</v>
      </c>
      <c r="AV236" s="195">
        <v>0</v>
      </c>
      <c r="AW236" s="202"/>
      <c r="AX236" s="202"/>
      <c r="AY236" s="136">
        <f>IF(AY$88,AR236*AY$112,AV236*1)</f>
        <v>0</v>
      </c>
      <c r="AZ236" s="202"/>
      <c r="BA236" s="202"/>
      <c r="BB236" s="85"/>
      <c r="BC236" s="85"/>
      <c r="BD236" s="85"/>
      <c r="BE236" s="99" t="e">
        <f t="shared" si="4"/>
        <v>#REF!</v>
      </c>
      <c r="BF236" s="99" t="e">
        <f t="array" ref="BF236">#REF!</f>
        <v>#REF!</v>
      </c>
      <c r="BG236" s="101"/>
      <c r="BH236" s="101"/>
      <c r="BI236" s="101"/>
      <c r="BJ236" s="101"/>
      <c r="BK236" s="101"/>
      <c r="BL236" s="101"/>
      <c r="BM236" s="101"/>
    </row>
    <row r="237" spans="3:65" ht="27.75" customHeight="1" outlineLevel="4" x14ac:dyDescent="0.25">
      <c r="C237" s="2" t="s">
        <v>84</v>
      </c>
      <c r="D237" s="2" t="s">
        <v>85</v>
      </c>
      <c r="E237" s="2" t="s">
        <v>74</v>
      </c>
      <c r="F237" s="2" t="s">
        <v>75</v>
      </c>
      <c r="G237" s="2" t="s">
        <v>316</v>
      </c>
      <c r="H237" s="2" t="s">
        <v>74</v>
      </c>
      <c r="I237" s="2" t="s">
        <v>74</v>
      </c>
      <c r="J237" s="2" t="s">
        <v>74</v>
      </c>
      <c r="K237" s="5" t="s">
        <v>74</v>
      </c>
      <c r="L237" s="2" t="s">
        <v>74</v>
      </c>
      <c r="M237" s="8" t="str">
        <f t="array" ref="M237">Y107</f>
        <v>1ХВС::1.1</v>
      </c>
      <c r="AA237" s="206" t="str">
        <f>AA227&amp;".5"</f>
        <v>3.1.1.4.5</v>
      </c>
      <c r="AB237" s="198" t="s">
        <v>316</v>
      </c>
      <c r="AC237" s="197" t="s">
        <v>114</v>
      </c>
      <c r="AD237" s="136"/>
      <c r="AE237" s="136"/>
      <c r="AF237" s="195"/>
      <c r="AG237" s="202"/>
      <c r="AH237" s="202"/>
      <c r="AI237" s="136">
        <f t="array" ref="AI237">'ВС 2021-2025'!$AF$237</f>
        <v>0</v>
      </c>
      <c r="AJ237" s="202"/>
      <c r="AK237" s="202"/>
      <c r="AL237" s="202"/>
      <c r="AM237" s="202"/>
      <c r="AN237" s="200" t="e">
        <f t="array" ref="AN237">IF('ВС 2021-2025'!$AN$81="Методика",IF('ВС 2021-2025'!AI$158=0,0,'ВС 2021-2025'!AI237/'ВС 2021-2025'!AI$158*'ВС 2021-2025'!AN$159),'ВС 2021-2025'!#REF!)</f>
        <v>#REF!</v>
      </c>
      <c r="AO237" s="195">
        <v>228.8700605624</v>
      </c>
      <c r="AP237" s="202"/>
      <c r="AQ237" s="202"/>
      <c r="AR237" s="136">
        <v>228.8700605624</v>
      </c>
      <c r="AS237" s="202"/>
      <c r="AT237" s="202"/>
      <c r="AU237" s="200" t="e">
        <f t="array" ref="AU237">'ВС 2021-2025'!#REF!</f>
        <v>#REF!</v>
      </c>
      <c r="AV237" s="195">
        <v>236.09777707489999</v>
      </c>
      <c r="AW237" s="202"/>
      <c r="AX237" s="202"/>
      <c r="AY237" s="136">
        <v>236.09777707489999</v>
      </c>
      <c r="AZ237" s="202"/>
      <c r="BA237" s="202"/>
      <c r="BB237" s="85"/>
      <c r="BC237" s="85"/>
      <c r="BD237" s="85"/>
      <c r="BE237" s="99" t="e">
        <f t="shared" si="4"/>
        <v>#REF!</v>
      </c>
      <c r="BF237" s="99" t="e">
        <f t="array" ref="BF237">#REF!</f>
        <v>#REF!</v>
      </c>
      <c r="BG237" s="101"/>
      <c r="BH237" s="101"/>
      <c r="BI237" s="101"/>
      <c r="BJ237" s="101"/>
      <c r="BK237" s="101"/>
      <c r="BL237" s="101"/>
      <c r="BM237" s="101"/>
    </row>
    <row r="238" spans="3:65" ht="50.25" customHeight="1" outlineLevel="4" x14ac:dyDescent="0.25">
      <c r="C238" s="2" t="s">
        <v>84</v>
      </c>
      <c r="D238" s="2" t="s">
        <v>85</v>
      </c>
      <c r="E238" s="2" t="s">
        <v>74</v>
      </c>
      <c r="F238" s="2" t="s">
        <v>75</v>
      </c>
      <c r="G238" s="2" t="s">
        <v>317</v>
      </c>
      <c r="H238" s="2" t="s">
        <v>74</v>
      </c>
      <c r="I238" s="2" t="s">
        <v>74</v>
      </c>
      <c r="J238" s="2" t="s">
        <v>74</v>
      </c>
      <c r="K238" s="5" t="s">
        <v>74</v>
      </c>
      <c r="L238" s="2" t="s">
        <v>74</v>
      </c>
      <c r="M238" s="8" t="str">
        <f t="array" ref="M238">Y107</f>
        <v>1ХВС::1.1</v>
      </c>
      <c r="AA238" s="206" t="str">
        <f>AA227&amp;".6"</f>
        <v>3.1.1.4.6</v>
      </c>
      <c r="AB238" s="198" t="s">
        <v>318</v>
      </c>
      <c r="AC238" s="197" t="s">
        <v>114</v>
      </c>
      <c r="AD238" s="136"/>
      <c r="AE238" s="136"/>
      <c r="AF238" s="195"/>
      <c r="AG238" s="202"/>
      <c r="AH238" s="202"/>
      <c r="AI238" s="136">
        <f t="array" ref="AI238">'ВС 2021-2025'!$AF$238</f>
        <v>0</v>
      </c>
      <c r="AJ238" s="202"/>
      <c r="AK238" s="202"/>
      <c r="AL238" s="202"/>
      <c r="AM238" s="202"/>
      <c r="AN238" s="200" t="e">
        <f t="array" ref="AN238">IF('ВС 2021-2025'!$AN$81="Методика",IF('ВС 2021-2025'!AI$158=0,0,'ВС 2021-2025'!AI238/'ВС 2021-2025'!AI$158*'ВС 2021-2025'!AN$159),'ВС 2021-2025'!#REF!)</f>
        <v>#REF!</v>
      </c>
      <c r="AO238" s="195"/>
      <c r="AP238" s="202"/>
      <c r="AQ238" s="202"/>
      <c r="AR238" s="136">
        <f t="array" ref="AR238">'ВС 2021-2025'!$AO$238</f>
        <v>0</v>
      </c>
      <c r="AS238" s="202"/>
      <c r="AT238" s="202"/>
      <c r="AU238" s="200" t="e">
        <f t="array" ref="AU238">'ВС 2021-2025'!#REF!</f>
        <v>#REF!</v>
      </c>
      <c r="AV238" s="195">
        <v>0</v>
      </c>
      <c r="AW238" s="202"/>
      <c r="AX238" s="202"/>
      <c r="AY238" s="136">
        <f>IF(AY$88,AR238*AY$112,AV238*1)</f>
        <v>0</v>
      </c>
      <c r="AZ238" s="202"/>
      <c r="BA238" s="202"/>
      <c r="BB238" s="85"/>
      <c r="BC238" s="85"/>
      <c r="BD238" s="85"/>
      <c r="BE238" s="99" t="e">
        <f t="shared" si="4"/>
        <v>#REF!</v>
      </c>
      <c r="BF238" s="99" t="e">
        <f t="array" ref="BF238">#REF!</f>
        <v>#REF!</v>
      </c>
      <c r="BG238" s="101"/>
      <c r="BH238" s="101"/>
      <c r="BI238" s="101"/>
      <c r="BJ238" s="101"/>
      <c r="BK238" s="101"/>
      <c r="BL238" s="101"/>
      <c r="BM238" s="101"/>
    </row>
    <row r="239" spans="3:65" ht="38.25" customHeight="1" outlineLevel="4" x14ac:dyDescent="0.25">
      <c r="C239" s="2" t="s">
        <v>84</v>
      </c>
      <c r="D239" s="2" t="s">
        <v>85</v>
      </c>
      <c r="E239" s="2" t="s">
        <v>74</v>
      </c>
      <c r="F239" s="2" t="s">
        <v>75</v>
      </c>
      <c r="G239" s="2" t="s">
        <v>319</v>
      </c>
      <c r="H239" s="2" t="s">
        <v>74</v>
      </c>
      <c r="I239" s="2" t="s">
        <v>74</v>
      </c>
      <c r="J239" s="2" t="s">
        <v>74</v>
      </c>
      <c r="K239" s="5" t="s">
        <v>74</v>
      </c>
      <c r="L239" s="2" t="s">
        <v>74</v>
      </c>
      <c r="M239" s="8" t="str">
        <f t="array" ref="M239">Y107</f>
        <v>1ХВС::1.1</v>
      </c>
      <c r="AA239" s="206" t="str">
        <f>AA227&amp;".7"</f>
        <v>3.1.1.4.7</v>
      </c>
      <c r="AB239" s="198" t="s">
        <v>320</v>
      </c>
      <c r="AC239" s="197" t="s">
        <v>114</v>
      </c>
      <c r="AD239" s="136"/>
      <c r="AE239" s="136"/>
      <c r="AF239" s="195"/>
      <c r="AG239" s="202"/>
      <c r="AH239" s="202"/>
      <c r="AI239" s="136">
        <f t="array" ref="AI239">'ВС 2021-2025'!$AF$239</f>
        <v>0</v>
      </c>
      <c r="AJ239" s="202"/>
      <c r="AK239" s="202"/>
      <c r="AL239" s="202"/>
      <c r="AM239" s="202"/>
      <c r="AN239" s="200" t="e">
        <f t="array" ref="AN239">IF('ВС 2021-2025'!$AN$81="Методика",IF('ВС 2021-2025'!AI$158=0,0,'ВС 2021-2025'!AI239/'ВС 2021-2025'!AI$158*'ВС 2021-2025'!AN$159),'ВС 2021-2025'!#REF!)</f>
        <v>#REF!</v>
      </c>
      <c r="AO239" s="195">
        <v>10678.54</v>
      </c>
      <c r="AP239" s="202"/>
      <c r="AQ239" s="202"/>
      <c r="AR239" s="136">
        <v>10678.54</v>
      </c>
      <c r="AS239" s="202"/>
      <c r="AT239" s="202"/>
      <c r="AU239" s="200" t="e">
        <f t="array" ref="AU239">'ВС 2021-2025'!#REF!</f>
        <v>#REF!</v>
      </c>
      <c r="AV239" s="195">
        <v>11015.768293200001</v>
      </c>
      <c r="AW239" s="202"/>
      <c r="AX239" s="202"/>
      <c r="AY239" s="136">
        <v>11015.768293200001</v>
      </c>
      <c r="AZ239" s="202"/>
      <c r="BA239" s="202"/>
      <c r="BB239" s="85"/>
      <c r="BC239" s="85"/>
      <c r="BD239" s="85"/>
      <c r="BE239" s="99" t="e">
        <f t="shared" si="4"/>
        <v>#REF!</v>
      </c>
      <c r="BF239" s="99" t="e">
        <f t="array" ref="BF239">#REF!</f>
        <v>#REF!</v>
      </c>
      <c r="BG239" s="101"/>
      <c r="BH239" s="101"/>
      <c r="BI239" s="101"/>
      <c r="BJ239" s="101"/>
      <c r="BK239" s="101"/>
      <c r="BL239" s="101"/>
      <c r="BM239" s="101"/>
    </row>
    <row r="240" spans="3:65" ht="14.25" customHeight="1" outlineLevel="4" x14ac:dyDescent="0.25">
      <c r="C240" s="2" t="s">
        <v>84</v>
      </c>
      <c r="D240" s="2" t="s">
        <v>85</v>
      </c>
      <c r="E240" s="2" t="s">
        <v>74</v>
      </c>
      <c r="F240" s="2" t="s">
        <v>75</v>
      </c>
      <c r="G240" s="2" t="s">
        <v>321</v>
      </c>
      <c r="H240" s="2" t="s">
        <v>74</v>
      </c>
      <c r="I240" s="2" t="s">
        <v>74</v>
      </c>
      <c r="J240" s="2" t="s">
        <v>74</v>
      </c>
      <c r="K240" s="5" t="s">
        <v>74</v>
      </c>
      <c r="L240" s="2" t="s">
        <v>74</v>
      </c>
      <c r="M240" s="8" t="str">
        <f t="array" ref="M240">Y107</f>
        <v>1ХВС::1.1</v>
      </c>
      <c r="AA240" s="206" t="str">
        <f>AA227&amp;".8"</f>
        <v>3.1.1.4.8</v>
      </c>
      <c r="AB240" s="198" t="s">
        <v>321</v>
      </c>
      <c r="AC240" s="197" t="s">
        <v>114</v>
      </c>
      <c r="AD240" s="173">
        <v>0</v>
      </c>
      <c r="AE240" s="173">
        <v>0</v>
      </c>
      <c r="AF240" s="173">
        <v>0</v>
      </c>
      <c r="AG240" s="174"/>
      <c r="AH240" s="174"/>
      <c r="AI240" s="173">
        <f>AI227-SUM(AI228:AI230)-SUM(AI236:AI239)</f>
        <v>0</v>
      </c>
      <c r="AJ240" s="174"/>
      <c r="AK240" s="174"/>
      <c r="AL240" s="174"/>
      <c r="AM240" s="174"/>
      <c r="AN240" s="200" t="e">
        <f t="array" ref="AN240">IF('ВС 2021-2025'!$AN$81="Методика",IF('ВС 2021-2025'!AI$158=0,0,'ВС 2021-2025'!AI240/'ВС 2021-2025'!AI$158*'ВС 2021-2025'!AN$159),'ВС 2021-2025'!#REF!)</f>
        <v>#REF!</v>
      </c>
      <c r="AO240" s="173">
        <v>0</v>
      </c>
      <c r="AP240" s="174"/>
      <c r="AQ240" s="174"/>
      <c r="AR240" s="173">
        <f>AR227-SUM(AR228:AR230)-SUM(AR236:AR239)</f>
        <v>0</v>
      </c>
      <c r="AS240" s="174"/>
      <c r="AT240" s="174"/>
      <c r="AU240" s="200" t="e">
        <f t="array" ref="AU240">'ВС 2021-2025'!#REF!</f>
        <v>#REF!</v>
      </c>
      <c r="AV240" s="173">
        <v>0</v>
      </c>
      <c r="AW240" s="174"/>
      <c r="AX240" s="174"/>
      <c r="AY240" s="173">
        <f>AY227-SUM(AY228:AY230)-SUM(AY236:AY239)</f>
        <v>0</v>
      </c>
      <c r="AZ240" s="174"/>
      <c r="BA240" s="174"/>
      <c r="BB240" s="85"/>
      <c r="BC240" s="85"/>
      <c r="BD240" s="85"/>
      <c r="BE240" s="99" t="e">
        <f t="shared" si="4"/>
        <v>#REF!</v>
      </c>
      <c r="BF240" s="100" t="e">
        <f>BF227-SUM(BF228:BF230)-SUM(BF236:BF239)</f>
        <v>#REF!</v>
      </c>
      <c r="BG240" s="101"/>
      <c r="BH240" s="101"/>
      <c r="BI240" s="101"/>
      <c r="BJ240" s="101"/>
      <c r="BK240" s="101"/>
      <c r="BL240" s="101"/>
      <c r="BM240" s="101"/>
    </row>
    <row r="241" spans="1:66" ht="14.25" customHeight="1" outlineLevel="2" x14ac:dyDescent="0.25">
      <c r="C241" s="2" t="s">
        <v>84</v>
      </c>
      <c r="D241" s="2" t="s">
        <v>85</v>
      </c>
      <c r="E241" s="2" t="s">
        <v>74</v>
      </c>
      <c r="F241" s="2" t="s">
        <v>75</v>
      </c>
      <c r="G241" s="2" t="s">
        <v>322</v>
      </c>
      <c r="H241" s="2" t="s">
        <v>74</v>
      </c>
      <c r="I241" s="2" t="s">
        <v>74</v>
      </c>
      <c r="J241" s="2" t="s">
        <v>74</v>
      </c>
      <c r="K241" s="5" t="s">
        <v>74</v>
      </c>
      <c r="L241" s="2" t="s">
        <v>136</v>
      </c>
      <c r="M241" s="8" t="str">
        <f t="array" ref="M241">Y107</f>
        <v>1ХВС::1.1</v>
      </c>
      <c r="AA241" s="194" t="str">
        <f>AA157&amp;".2"</f>
        <v>3.1.2</v>
      </c>
      <c r="AB241" s="193" t="s">
        <v>323</v>
      </c>
      <c r="AC241" s="194" t="s">
        <v>114</v>
      </c>
      <c r="AD241" s="136">
        <v>117770.43</v>
      </c>
      <c r="AE241" s="136">
        <v>127281.795042654</v>
      </c>
      <c r="AF241" s="215">
        <v>178187.53613156799</v>
      </c>
      <c r="AG241" s="202"/>
      <c r="AH241" s="202"/>
      <c r="AI241" s="136">
        <v>178187.53613156799</v>
      </c>
      <c r="AJ241" s="202"/>
      <c r="AK241" s="202"/>
      <c r="AL241" s="202"/>
      <c r="AM241" s="202"/>
      <c r="AN241" s="173">
        <f>AN242+AN255+AN256+AN257</f>
        <v>183656.34666021334</v>
      </c>
      <c r="AO241" s="215">
        <v>209631.02225031401</v>
      </c>
      <c r="AP241" s="202"/>
      <c r="AQ241" s="202"/>
      <c r="AR241" s="216">
        <v>209631.02225031401</v>
      </c>
      <c r="AS241" s="202"/>
      <c r="AT241" s="202"/>
      <c r="AU241" s="173">
        <f>AU242+AU255+AU256+AU257</f>
        <v>0</v>
      </c>
      <c r="AV241" s="215">
        <v>226445.557592</v>
      </c>
      <c r="AW241" s="202"/>
      <c r="AX241" s="202"/>
      <c r="AY241" s="216">
        <v>226445.557592</v>
      </c>
      <c r="AZ241" s="202"/>
      <c r="BA241" s="202"/>
      <c r="BB241" s="85"/>
      <c r="BC241" s="85"/>
      <c r="BD241" s="85"/>
      <c r="BE241" s="99">
        <f t="shared" si="4"/>
        <v>1657236.8036506311</v>
      </c>
      <c r="BF241" s="100" t="e">
        <f>BF242+BF255+BF256+BF257</f>
        <v>#REF!</v>
      </c>
      <c r="BG241" s="101"/>
      <c r="BH241" s="101"/>
      <c r="BI241" s="101"/>
      <c r="BJ241" s="101"/>
      <c r="BK241" s="101"/>
      <c r="BL241" s="101"/>
      <c r="BM241" s="101"/>
    </row>
    <row r="242" spans="1:66" ht="14.25" customHeight="1" outlineLevel="3" x14ac:dyDescent="0.25">
      <c r="C242" s="2" t="s">
        <v>84</v>
      </c>
      <c r="D242" s="2" t="s">
        <v>85</v>
      </c>
      <c r="E242" s="2" t="s">
        <v>74</v>
      </c>
      <c r="F242" s="2" t="s">
        <v>75</v>
      </c>
      <c r="G242" s="2" t="s">
        <v>324</v>
      </c>
      <c r="H242" s="2" t="s">
        <v>74</v>
      </c>
      <c r="I242" s="2" t="s">
        <v>74</v>
      </c>
      <c r="J242" s="2" t="s">
        <v>74</v>
      </c>
      <c r="K242" s="5" t="s">
        <v>74</v>
      </c>
      <c r="L242" s="2" t="s">
        <v>325</v>
      </c>
      <c r="M242" s="8" t="str">
        <f t="array" ref="M242">Y107</f>
        <v>1ХВС::1.1</v>
      </c>
      <c r="Y242" s="2">
        <v>1</v>
      </c>
      <c r="AA242" s="107" t="str">
        <f>AA241&amp;".1"</f>
        <v>3.1.2.1</v>
      </c>
      <c r="AB242" s="171" t="s">
        <v>324</v>
      </c>
      <c r="AC242" s="197" t="s">
        <v>114</v>
      </c>
      <c r="AD242" s="173">
        <v>117770.43</v>
      </c>
      <c r="AE242" s="173">
        <v>127281.795042654</v>
      </c>
      <c r="AF242" s="173">
        <v>178187.53613156799</v>
      </c>
      <c r="AG242" s="174"/>
      <c r="AH242" s="174"/>
      <c r="AI242" s="173">
        <f>AI241-SUM(AI255:AI257)</f>
        <v>178187.53613156799</v>
      </c>
      <c r="AJ242" s="174"/>
      <c r="AK242" s="174"/>
      <c r="AL242" s="174"/>
      <c r="AM242" s="174"/>
      <c r="AN242" s="203">
        <f t="array" ref="AN242">[2]ЭЭ!BB96</f>
        <v>183656.34666021334</v>
      </c>
      <c r="AO242" s="173">
        <v>209631.02225031401</v>
      </c>
      <c r="AP242" s="174"/>
      <c r="AQ242" s="174"/>
      <c r="AR242" s="173">
        <f>AR241-SUM(AR255:AR257)</f>
        <v>209631.02225031401</v>
      </c>
      <c r="AS242" s="174"/>
      <c r="AT242" s="174"/>
      <c r="AU242" s="203">
        <f>[2]ЭЭ!BG96*1</f>
        <v>0</v>
      </c>
      <c r="AV242" s="173">
        <v>226445.557592</v>
      </c>
      <c r="AW242" s="174"/>
      <c r="AX242" s="174"/>
      <c r="AY242" s="173">
        <f>AY241-SUM(AY255:AY257)</f>
        <v>226445.557592</v>
      </c>
      <c r="AZ242" s="174"/>
      <c r="BA242" s="174"/>
      <c r="BB242" s="85"/>
      <c r="BC242" s="85"/>
      <c r="BD242" s="85"/>
      <c r="BE242" s="99">
        <f t="shared" si="4"/>
        <v>1657236.8036506311</v>
      </c>
      <c r="BF242" s="99" t="e">
        <f t="array" ref="BF242">#REF!</f>
        <v>#REF!</v>
      </c>
      <c r="BG242" s="101"/>
      <c r="BH242" s="101"/>
      <c r="BI242" s="101"/>
      <c r="BJ242" s="101"/>
      <c r="BK242" s="101"/>
      <c r="BL242" s="101"/>
      <c r="BM242" s="101"/>
    </row>
    <row r="243" spans="1:66" ht="14.25" customHeight="1" outlineLevel="3" x14ac:dyDescent="0.25">
      <c r="C243" s="2" t="s">
        <v>326</v>
      </c>
      <c r="D243" s="2" t="s">
        <v>327</v>
      </c>
      <c r="E243" s="2" t="s">
        <v>74</v>
      </c>
      <c r="F243" s="2" t="s">
        <v>75</v>
      </c>
      <c r="G243" s="2" t="s">
        <v>74</v>
      </c>
      <c r="H243" s="2" t="s">
        <v>74</v>
      </c>
      <c r="I243" s="2" t="s">
        <v>74</v>
      </c>
      <c r="J243" s="2" t="s">
        <v>74</v>
      </c>
      <c r="K243" s="5" t="s">
        <v>74</v>
      </c>
      <c r="L243" s="2" t="s">
        <v>325</v>
      </c>
      <c r="M243" s="8" t="str">
        <f t="array" ref="M243">Y107</f>
        <v>1ХВС::1.1</v>
      </c>
      <c r="AA243" s="107" t="str">
        <f>AA242&amp;".1"</f>
        <v>3.1.2.1.1</v>
      </c>
      <c r="AB243" s="217" t="s">
        <v>328</v>
      </c>
      <c r="AC243" s="197" t="s">
        <v>329</v>
      </c>
      <c r="AD243" s="218">
        <v>4.5815532564232742</v>
      </c>
      <c r="AE243" s="218">
        <v>4.9431687899999899</v>
      </c>
      <c r="AF243" s="218">
        <v>6.0593567600091074</v>
      </c>
      <c r="AG243" s="219"/>
      <c r="AH243" s="219"/>
      <c r="AI243" s="218">
        <f>IF(AI244=0,0,AI242/AI244)</f>
        <v>6.0593567600091074</v>
      </c>
      <c r="AJ243" s="219"/>
      <c r="AK243" s="219"/>
      <c r="AL243" s="219"/>
      <c r="AM243" s="219"/>
      <c r="AN243" s="218">
        <f>IF(AN244=0,0,AN242/AN244)</f>
        <v>6.6709945609498389</v>
      </c>
      <c r="AO243" s="218">
        <v>7.3995984000000146</v>
      </c>
      <c r="AP243" s="219"/>
      <c r="AQ243" s="219"/>
      <c r="AR243" s="218">
        <f>IF(AR244=0,0,AR242/AR244)</f>
        <v>7.3995984000000146</v>
      </c>
      <c r="AS243" s="219"/>
      <c r="AT243" s="219"/>
      <c r="AU243" s="218">
        <f>IF(AU244=0,0,AU242/AU244)</f>
        <v>0</v>
      </c>
      <c r="AV243" s="218">
        <v>7.8435743039999828</v>
      </c>
      <c r="AW243" s="219"/>
      <c r="AX243" s="219"/>
      <c r="AY243" s="218">
        <f>IF(AY244=0,0,AY242/AY244)</f>
        <v>7.8435743039999828</v>
      </c>
      <c r="AZ243" s="219"/>
      <c r="BA243" s="219"/>
      <c r="BB243" s="85"/>
      <c r="BC243" s="85"/>
      <c r="BD243" s="85"/>
      <c r="BE243" s="99">
        <f t="shared" si="4"/>
        <v>58.800775535391324</v>
      </c>
      <c r="BF243" s="100" t="e">
        <f>IF(BF244=0,0,BF242/BF244)</f>
        <v>#REF!</v>
      </c>
      <c r="BG243" s="101"/>
      <c r="BH243" s="101"/>
      <c r="BI243" s="101"/>
      <c r="BJ243" s="101"/>
      <c r="BK243" s="101"/>
      <c r="BL243" s="101"/>
      <c r="BM243" s="101"/>
    </row>
    <row r="244" spans="1:66" ht="14.25" customHeight="1" outlineLevel="3" x14ac:dyDescent="0.25">
      <c r="C244" s="2" t="s">
        <v>330</v>
      </c>
      <c r="D244" s="2" t="s">
        <v>331</v>
      </c>
      <c r="E244" s="2" t="s">
        <v>74</v>
      </c>
      <c r="F244" s="2" t="s">
        <v>75</v>
      </c>
      <c r="G244" s="2" t="s">
        <v>74</v>
      </c>
      <c r="H244" s="2" t="s">
        <v>74</v>
      </c>
      <c r="I244" s="2" t="s">
        <v>74</v>
      </c>
      <c r="J244" s="2" t="s">
        <v>74</v>
      </c>
      <c r="K244" s="5" t="s">
        <v>74</v>
      </c>
      <c r="L244" s="2" t="s">
        <v>325</v>
      </c>
      <c r="M244" s="8" t="str">
        <f t="array" ref="M244">Y107</f>
        <v>1ХВС::1.1</v>
      </c>
      <c r="AA244" s="107" t="str">
        <f>AA243&amp;".2"</f>
        <v>3.1.2.1.1.2</v>
      </c>
      <c r="AB244" s="217" t="s">
        <v>332</v>
      </c>
      <c r="AC244" s="197" t="s">
        <v>333</v>
      </c>
      <c r="AD244" s="127">
        <v>25705.35</v>
      </c>
      <c r="AE244" s="127">
        <v>25749.028699999999</v>
      </c>
      <c r="AF244" s="126">
        <v>29407.005262931601</v>
      </c>
      <c r="AG244" s="220"/>
      <c r="AH244" s="220"/>
      <c r="AI244" s="127">
        <v>29407.005262931601</v>
      </c>
      <c r="AJ244" s="220"/>
      <c r="AK244" s="220"/>
      <c r="AL244" s="220"/>
      <c r="AM244" s="220"/>
      <c r="AN244" s="158">
        <f t="array" ref="AN244">[2]ЭЭ!BB98</f>
        <v>27530.579583333332</v>
      </c>
      <c r="AO244" s="126">
        <v>28330.054</v>
      </c>
      <c r="AP244" s="220"/>
      <c r="AQ244" s="220"/>
      <c r="AR244" s="127">
        <v>28330.054</v>
      </c>
      <c r="AS244" s="220"/>
      <c r="AT244" s="220"/>
      <c r="AU244" s="158">
        <f t="array" ref="AU244">[2]ЭЭ!BG98</f>
        <v>0</v>
      </c>
      <c r="AV244" s="126">
        <v>28870.1998368932</v>
      </c>
      <c r="AW244" s="220"/>
      <c r="AX244" s="220"/>
      <c r="AY244" s="127">
        <v>28870.1998368932</v>
      </c>
      <c r="AZ244" s="220"/>
      <c r="BA244" s="220"/>
      <c r="BB244" s="85"/>
      <c r="BC244" s="85"/>
      <c r="BD244" s="85"/>
      <c r="BE244" s="99">
        <f t="shared" si="4"/>
        <v>252199.47648298298</v>
      </c>
      <c r="BF244" s="99" t="e">
        <f t="array" ref="BF244">#REF!</f>
        <v>#REF!</v>
      </c>
      <c r="BG244" s="101"/>
      <c r="BH244" s="101"/>
      <c r="BI244" s="101"/>
      <c r="BJ244" s="101"/>
      <c r="BK244" s="101"/>
      <c r="BL244" s="101"/>
      <c r="BM244" s="101"/>
    </row>
    <row r="245" spans="1:66" ht="14.25" hidden="1" customHeight="1" outlineLevel="3" x14ac:dyDescent="0.25">
      <c r="A245" s="7"/>
      <c r="B245" s="2" t="b">
        <f>$AC$36="да"</f>
        <v>0</v>
      </c>
      <c r="C245" s="4" t="s">
        <v>330</v>
      </c>
      <c r="D245" s="2" t="s">
        <v>331</v>
      </c>
      <c r="E245" s="2" t="s">
        <v>74</v>
      </c>
      <c r="F245" s="2" t="s">
        <v>75</v>
      </c>
      <c r="G245" s="2" t="s">
        <v>74</v>
      </c>
      <c r="H245" s="2" t="s">
        <v>74</v>
      </c>
      <c r="I245" s="2" t="s">
        <v>74</v>
      </c>
      <c r="J245" s="4" t="s">
        <v>334</v>
      </c>
      <c r="K245" s="5" t="s">
        <v>74</v>
      </c>
      <c r="L245" s="2" t="s">
        <v>335</v>
      </c>
      <c r="M245" s="8" t="str">
        <f t="array" ref="M245">Y107</f>
        <v>1ХВС::1.1</v>
      </c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07" t="str">
        <f t="array" ref="AA245">IF(A245,AA244&amp;".1",AA244)</f>
        <v>3.1.2.1.1.2</v>
      </c>
      <c r="AB245" s="221" t="s">
        <v>336</v>
      </c>
      <c r="AC245" s="197" t="s">
        <v>333</v>
      </c>
      <c r="AD245" s="127">
        <v>25705.35</v>
      </c>
      <c r="AE245" s="127">
        <v>25749.028999999999</v>
      </c>
      <c r="AF245" s="127">
        <v>29407.005262931601</v>
      </c>
      <c r="AG245" s="220"/>
      <c r="AH245" s="220"/>
      <c r="AI245" s="127">
        <v>29407.005262931601</v>
      </c>
      <c r="AJ245" s="220"/>
      <c r="AK245" s="220"/>
      <c r="AL245" s="220"/>
      <c r="AM245" s="220"/>
      <c r="AN245" s="158">
        <f t="array" ref="AN245">[2]ЭЭ!BB99</f>
        <v>0</v>
      </c>
      <c r="AO245" s="127">
        <v>28330.054409466</v>
      </c>
      <c r="AP245" s="220"/>
      <c r="AQ245" s="220"/>
      <c r="AR245" s="127">
        <f>IF($AC$37="да",AR248+AR251,AR247*AR246)</f>
        <v>28330.054409466</v>
      </c>
      <c r="AS245" s="220"/>
      <c r="AT245" s="220"/>
      <c r="AU245" s="158">
        <f t="array" ref="AU245">[2]ЭЭ!BG99</f>
        <v>0</v>
      </c>
      <c r="AV245" s="127">
        <v>27572.871999999999</v>
      </c>
      <c r="AW245" s="220"/>
      <c r="AX245" s="220"/>
      <c r="AY245" s="127">
        <v>27572.871999999999</v>
      </c>
      <c r="AZ245" s="220"/>
      <c r="BA245" s="220"/>
      <c r="BB245" s="85"/>
      <c r="BC245" s="85"/>
      <c r="BD245" s="85"/>
      <c r="BE245" s="99">
        <f t="shared" si="4"/>
        <v>222074.2423447952</v>
      </c>
      <c r="BF245" s="99" t="e">
        <f t="array" ref="BF245">#REF!</f>
        <v>#REF!</v>
      </c>
      <c r="BG245" s="101"/>
      <c r="BH245" s="101"/>
      <c r="BI245" s="101"/>
      <c r="BJ245" s="101"/>
      <c r="BK245" s="101"/>
      <c r="BL245" s="101"/>
      <c r="BM245" s="101"/>
      <c r="BN245" s="7"/>
    </row>
    <row r="246" spans="1:66" ht="14.25" hidden="1" customHeight="1" outlineLevel="3" x14ac:dyDescent="0.25">
      <c r="A246" s="7"/>
      <c r="B246" s="2" t="b">
        <f>$AC$37="нет"</f>
        <v>0</v>
      </c>
      <c r="C246" s="2" t="s">
        <v>337</v>
      </c>
      <c r="D246" s="2" t="s">
        <v>338</v>
      </c>
      <c r="E246" s="2" t="s">
        <v>74</v>
      </c>
      <c r="F246" s="2" t="s">
        <v>75</v>
      </c>
      <c r="G246" s="2" t="s">
        <v>74</v>
      </c>
      <c r="H246" s="2" t="s">
        <v>74</v>
      </c>
      <c r="I246" s="2" t="s">
        <v>74</v>
      </c>
      <c r="J246" s="2" t="s">
        <v>74</v>
      </c>
      <c r="K246" s="5" t="s">
        <v>74</v>
      </c>
      <c r="L246" s="2" t="s">
        <v>335</v>
      </c>
      <c r="M246" s="8" t="str">
        <f t="array" ref="M246">Y107</f>
        <v>1ХВС::1.1</v>
      </c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07" t="str">
        <f>IF(AA245="",AA244&amp;".1",AA245&amp;".1")</f>
        <v>3.1.2.1.1.2.1</v>
      </c>
      <c r="AB246" s="222" t="s">
        <v>339</v>
      </c>
      <c r="AC246" s="197" t="s">
        <v>340</v>
      </c>
      <c r="AD246" s="223"/>
      <c r="AE246" s="223">
        <v>0.5679573376</v>
      </c>
      <c r="AF246" s="223">
        <v>0.56799999999999995</v>
      </c>
      <c r="AG246" s="224"/>
      <c r="AH246" s="224"/>
      <c r="AI246" s="223">
        <v>0.56799999999999995</v>
      </c>
      <c r="AJ246" s="224"/>
      <c r="AK246" s="224"/>
      <c r="AL246" s="224"/>
      <c r="AM246" s="224"/>
      <c r="AN246" s="225">
        <f>IF(AN247=0,0,IF($AC$36="нет",AN244/AN247,AN245/AN247))</f>
        <v>0.55528242754550539</v>
      </c>
      <c r="AO246" s="223">
        <v>0.55800000000000005</v>
      </c>
      <c r="AP246" s="224"/>
      <c r="AQ246" s="224"/>
      <c r="AR246" s="223">
        <v>0.55800000000000005</v>
      </c>
      <c r="AS246" s="224"/>
      <c r="AT246" s="224"/>
      <c r="AU246" s="225">
        <f>IF(AU247=0,0,IF($AC$36="нет",AU244/AU247,AU245/AU247))</f>
        <v>0</v>
      </c>
      <c r="AV246" s="223">
        <v>0.55800000000000005</v>
      </c>
      <c r="AW246" s="224"/>
      <c r="AX246" s="224"/>
      <c r="AY246" s="223">
        <v>0.55800000000000005</v>
      </c>
      <c r="AZ246" s="224"/>
      <c r="BA246" s="224"/>
      <c r="BB246" s="85"/>
      <c r="BC246" s="85"/>
      <c r="BD246" s="85"/>
      <c r="BE246" s="99">
        <f t="shared" si="4"/>
        <v>4.4912397651455045</v>
      </c>
      <c r="BF246" s="99" t="e">
        <f t="array" ref="BF246">#REF!</f>
        <v>#REF!</v>
      </c>
      <c r="BG246" s="101"/>
      <c r="BH246" s="101"/>
      <c r="BI246" s="101"/>
      <c r="BJ246" s="101"/>
      <c r="BK246" s="101"/>
      <c r="BL246" s="101"/>
      <c r="BM246" s="101"/>
      <c r="BN246" s="7"/>
    </row>
    <row r="247" spans="1:66" ht="14.25" hidden="1" customHeight="1" outlineLevel="3" x14ac:dyDescent="0.25">
      <c r="A247" s="7"/>
      <c r="B247" s="2" t="b">
        <f t="array" ref="B247">B246</f>
        <v>0</v>
      </c>
      <c r="C247" s="2" t="s">
        <v>341</v>
      </c>
      <c r="D247" s="2" t="s">
        <v>342</v>
      </c>
      <c r="E247" s="2" t="s">
        <v>74</v>
      </c>
      <c r="F247" s="2" t="s">
        <v>75</v>
      </c>
      <c r="G247" s="2" t="s">
        <v>74</v>
      </c>
      <c r="H247" s="2" t="s">
        <v>74</v>
      </c>
      <c r="I247" s="2" t="s">
        <v>74</v>
      </c>
      <c r="J247" s="2" t="s">
        <v>74</v>
      </c>
      <c r="K247" s="5" t="s">
        <v>74</v>
      </c>
      <c r="L247" s="2" t="s">
        <v>335</v>
      </c>
      <c r="M247" s="8" t="str">
        <f t="array" ref="M247">Y107</f>
        <v>1ХВС::1.1</v>
      </c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107" t="str">
        <f>IF(AA245="",AA244&amp;".2",AA245&amp;".2")</f>
        <v>3.1.2.1.1.2.2</v>
      </c>
      <c r="AB247" s="222" t="s">
        <v>343</v>
      </c>
      <c r="AC247" s="197" t="s">
        <v>140</v>
      </c>
      <c r="AD247" s="127">
        <v>45253.046683</v>
      </c>
      <c r="AE247" s="127">
        <v>45336.202202771703</v>
      </c>
      <c r="AF247" s="127">
        <v>51772.8965896683</v>
      </c>
      <c r="AG247" s="220"/>
      <c r="AH247" s="220"/>
      <c r="AI247" s="127">
        <v>51772.8965896683</v>
      </c>
      <c r="AJ247" s="220"/>
      <c r="AK247" s="220"/>
      <c r="AL247" s="220"/>
      <c r="AM247" s="220"/>
      <c r="AN247" s="158">
        <f t="array" ref="AN247">[2]ЭЭ!BB102</f>
        <v>49579.418000000012</v>
      </c>
      <c r="AO247" s="127">
        <v>50770.706827000002</v>
      </c>
      <c r="AP247" s="220"/>
      <c r="AQ247" s="220"/>
      <c r="AR247" s="127">
        <v>50770.706827000002</v>
      </c>
      <c r="AS247" s="220"/>
      <c r="AT247" s="220"/>
      <c r="AU247" s="158">
        <f t="array" ref="AU247">[2]ЭЭ!BG102</f>
        <v>40890.824000000001</v>
      </c>
      <c r="AV247" s="127">
        <v>51738.709385113303</v>
      </c>
      <c r="AW247" s="220"/>
      <c r="AX247" s="220"/>
      <c r="AY247" s="127">
        <v>51738.709385113303</v>
      </c>
      <c r="AZ247" s="220"/>
      <c r="BA247" s="220"/>
      <c r="BB247" s="85"/>
      <c r="BC247" s="85"/>
      <c r="BD247" s="85"/>
      <c r="BE247" s="99">
        <f t="shared" si="4"/>
        <v>489624.11648933496</v>
      </c>
      <c r="BF247" s="99" t="e">
        <f t="array" ref="BF247">#REF!</f>
        <v>#REF!</v>
      </c>
      <c r="BG247" s="101"/>
      <c r="BH247" s="101"/>
      <c r="BI247" s="101"/>
      <c r="BJ247" s="101"/>
      <c r="BK247" s="101"/>
      <c r="BL247" s="101"/>
      <c r="BM247" s="101"/>
      <c r="BN247" s="7"/>
    </row>
    <row r="248" spans="1:66" ht="23.25" customHeight="1" outlineLevel="3" x14ac:dyDescent="0.25">
      <c r="B248" s="2" t="b">
        <f>NOT(B247)</f>
        <v>1</v>
      </c>
      <c r="C248" s="2" t="s">
        <v>344</v>
      </c>
      <c r="D248" s="2" t="s">
        <v>345</v>
      </c>
      <c r="E248" s="2" t="s">
        <v>74</v>
      </c>
      <c r="F248" s="2" t="s">
        <v>75</v>
      </c>
      <c r="G248" s="2" t="s">
        <v>74</v>
      </c>
      <c r="H248" s="2" t="s">
        <v>74</v>
      </c>
      <c r="I248" s="2" t="s">
        <v>346</v>
      </c>
      <c r="J248" s="2" t="s">
        <v>74</v>
      </c>
      <c r="K248" s="5" t="s">
        <v>74</v>
      </c>
      <c r="L248" s="2" t="s">
        <v>347</v>
      </c>
      <c r="M248" s="8" t="str">
        <f t="array" ref="M248">Y107</f>
        <v>1ХВС::1.1</v>
      </c>
      <c r="AA248" s="107" t="str">
        <f>AA245&amp;".1"</f>
        <v>3.1.2.1.1.2.1</v>
      </c>
      <c r="AB248" s="226" t="s">
        <v>348</v>
      </c>
      <c r="AC248" s="197" t="s">
        <v>333</v>
      </c>
      <c r="AD248" s="126">
        <v>-27.920283872999999</v>
      </c>
      <c r="AE248" s="158">
        <v>-31.527999999999999</v>
      </c>
      <c r="AF248" s="158">
        <v>11804.220422444399</v>
      </c>
      <c r="AG248" s="220"/>
      <c r="AH248" s="220"/>
      <c r="AI248" s="158">
        <f t="array" ref="AI248">[2]Показатели!AL118</f>
        <v>11804.220422444399</v>
      </c>
      <c r="AJ248" s="220"/>
      <c r="AK248" s="220"/>
      <c r="AL248" s="220"/>
      <c r="AM248" s="220"/>
      <c r="AN248" s="158">
        <f t="array" ref="AN248">[2]Показатели!AO118</f>
        <v>12076.954</v>
      </c>
      <c r="AO248" s="158">
        <v>11524.950449729</v>
      </c>
      <c r="AP248" s="220"/>
      <c r="AQ248" s="220"/>
      <c r="AR248" s="158">
        <f t="array" ref="AR248">[2]Показатели!AR118</f>
        <v>11524.950449729</v>
      </c>
      <c r="AS248" s="220"/>
      <c r="AT248" s="220"/>
      <c r="AU248" s="158">
        <f t="array" ref="AU248">[2]Показатели!AV118</f>
        <v>16021.441999999999</v>
      </c>
      <c r="AV248" s="158">
        <v>11744.6870304207</v>
      </c>
      <c r="AW248" s="220"/>
      <c r="AX248" s="220"/>
      <c r="AY248" s="158">
        <f t="array" ref="AY248">[2]Показатели!AY118</f>
        <v>11744.6870304207</v>
      </c>
      <c r="AZ248" s="220"/>
      <c r="BA248" s="220"/>
      <c r="BB248" s="90"/>
      <c r="BC248" s="90"/>
      <c r="BD248" s="90"/>
      <c r="BE248" s="227">
        <f t="shared" si="4"/>
        <v>98186.663521315189</v>
      </c>
      <c r="BF248" s="227" t="e">
        <f t="array" ref="BF248">#REF!</f>
        <v>#REF!</v>
      </c>
      <c r="BG248" s="92"/>
      <c r="BH248" s="92"/>
      <c r="BI248" s="92"/>
      <c r="BJ248" s="92"/>
      <c r="BK248" s="92"/>
      <c r="BL248" s="92"/>
      <c r="BM248" s="92"/>
    </row>
    <row r="249" spans="1:66" ht="23.25" customHeight="1" outlineLevel="3" x14ac:dyDescent="0.25">
      <c r="B249" s="2" t="b">
        <f t="array" ref="B249">B248</f>
        <v>1</v>
      </c>
      <c r="C249" s="2" t="s">
        <v>344</v>
      </c>
      <c r="D249" s="2" t="s">
        <v>345</v>
      </c>
      <c r="E249" s="2" t="s">
        <v>74</v>
      </c>
      <c r="F249" s="2" t="s">
        <v>75</v>
      </c>
      <c r="G249" s="2" t="s">
        <v>74</v>
      </c>
      <c r="H249" s="2" t="s">
        <v>74</v>
      </c>
      <c r="I249" s="2" t="s">
        <v>349</v>
      </c>
      <c r="J249" s="2" t="s">
        <v>74</v>
      </c>
      <c r="K249" s="5" t="s">
        <v>74</v>
      </c>
      <c r="L249" s="2" t="s">
        <v>347</v>
      </c>
      <c r="M249" s="8" t="str">
        <f t="array" ref="M249">Y107</f>
        <v>1ХВС::1.1</v>
      </c>
      <c r="AA249" s="228" t="str">
        <f>AA248&amp;".1"</f>
        <v>3.1.2.1.1.2.1.1</v>
      </c>
      <c r="AB249" s="229" t="s">
        <v>350</v>
      </c>
      <c r="AC249" s="197" t="s">
        <v>340</v>
      </c>
      <c r="AD249" s="230">
        <v>-6.1765150000000005E-4</v>
      </c>
      <c r="AE249" s="231">
        <v>-1E-3</v>
      </c>
      <c r="AF249" s="231">
        <v>0.22800000000000001</v>
      </c>
      <c r="AG249" s="224"/>
      <c r="AH249" s="224"/>
      <c r="AI249" s="231">
        <f t="array" ref="AI249">[2]Показатели!AL117</f>
        <v>0.22800000000000001</v>
      </c>
      <c r="AJ249" s="224"/>
      <c r="AK249" s="224"/>
      <c r="AL249" s="224"/>
      <c r="AM249" s="224"/>
      <c r="AN249" s="231">
        <f t="array" ref="AN249">[2]Показатели!AO117</f>
        <v>0.23475459702452028</v>
      </c>
      <c r="AO249" s="231">
        <v>0.22700000000000001</v>
      </c>
      <c r="AP249" s="224"/>
      <c r="AQ249" s="224"/>
      <c r="AR249" s="231">
        <f t="array" ref="AR249">[2]Показатели!AR117</f>
        <v>0.22700000000000001</v>
      </c>
      <c r="AS249" s="224"/>
      <c r="AT249" s="224"/>
      <c r="AU249" s="231">
        <f t="array" ref="AU249">[2]Показатели!AV117</f>
        <v>0.30821548694981682</v>
      </c>
      <c r="AV249" s="231">
        <v>0.32380999999999999</v>
      </c>
      <c r="AW249" s="224"/>
      <c r="AX249" s="224"/>
      <c r="AY249" s="231">
        <f t="array" ref="AY249">[2]Показатели!AY117</f>
        <v>0.22700000000000001</v>
      </c>
      <c r="AZ249" s="224"/>
      <c r="BA249" s="224"/>
      <c r="BB249" s="90"/>
      <c r="BC249" s="90"/>
      <c r="BD249" s="90"/>
      <c r="BE249" s="227">
        <f t="shared" si="4"/>
        <v>2.002162432474337</v>
      </c>
      <c r="BF249" s="227" t="e">
        <f t="array" ref="BF249">#REF!</f>
        <v>#REF!</v>
      </c>
      <c r="BG249" s="92"/>
      <c r="BH249" s="92"/>
      <c r="BI249" s="92"/>
      <c r="BJ249" s="92"/>
      <c r="BK249" s="92"/>
      <c r="BL249" s="92"/>
      <c r="BM249" s="92"/>
    </row>
    <row r="250" spans="1:66" ht="14.25" customHeight="1" outlineLevel="3" x14ac:dyDescent="0.25">
      <c r="B250" s="2" t="b">
        <f t="array" ref="B250">B249</f>
        <v>1</v>
      </c>
      <c r="C250" s="2" t="s">
        <v>344</v>
      </c>
      <c r="D250" s="2" t="s">
        <v>345</v>
      </c>
      <c r="E250" s="2" t="s">
        <v>74</v>
      </c>
      <c r="F250" s="2" t="s">
        <v>75</v>
      </c>
      <c r="G250" s="2" t="s">
        <v>74</v>
      </c>
      <c r="H250" s="2" t="s">
        <v>74</v>
      </c>
      <c r="I250" s="2" t="s">
        <v>351</v>
      </c>
      <c r="J250" s="2" t="s">
        <v>74</v>
      </c>
      <c r="K250" s="5" t="s">
        <v>74</v>
      </c>
      <c r="L250" s="2" t="s">
        <v>347</v>
      </c>
      <c r="M250" s="8" t="str">
        <f t="array" ref="M250">Y107</f>
        <v>1ХВС::1.1</v>
      </c>
      <c r="AA250" s="228" t="str">
        <f>AA248&amp;".2"</f>
        <v>3.1.2.1.1.2.1.2</v>
      </c>
      <c r="AB250" s="229" t="s">
        <v>343</v>
      </c>
      <c r="AC250" s="197" t="s">
        <v>140</v>
      </c>
      <c r="AD250" s="126">
        <v>45203.947682999999</v>
      </c>
      <c r="AE250" s="158">
        <v>45284.614999999998</v>
      </c>
      <c r="AF250" s="158">
        <v>51772.8965896683</v>
      </c>
      <c r="AG250" s="220"/>
      <c r="AH250" s="220"/>
      <c r="AI250" s="158">
        <f t="array" ref="AI250">[2]Показатели!AL119</f>
        <v>51772.8965896683</v>
      </c>
      <c r="AJ250" s="220"/>
      <c r="AK250" s="220"/>
      <c r="AL250" s="220"/>
      <c r="AM250" s="220"/>
      <c r="AN250" s="158">
        <f t="array" ref="AN250">[2]Показатели!AO119</f>
        <v>51445.016000000003</v>
      </c>
      <c r="AO250" s="158">
        <v>50770.706827000002</v>
      </c>
      <c r="AP250" s="220"/>
      <c r="AQ250" s="220"/>
      <c r="AR250" s="158">
        <f t="array" ref="AR250">[2]Показатели!AR119</f>
        <v>50770.706827000002</v>
      </c>
      <c r="AS250" s="220"/>
      <c r="AT250" s="220"/>
      <c r="AU250" s="158">
        <f t="array" ref="AU250">[2]Показатели!AV119</f>
        <v>51981.300999999999</v>
      </c>
      <c r="AV250" s="158">
        <v>51738.709385113303</v>
      </c>
      <c r="AW250" s="220"/>
      <c r="AX250" s="220"/>
      <c r="AY250" s="158">
        <f t="array" ref="AY250">[2]Показатели!AY119</f>
        <v>51738.709385113303</v>
      </c>
      <c r="AZ250" s="220"/>
      <c r="BA250" s="220"/>
      <c r="BB250" s="90"/>
      <c r="BC250" s="90"/>
      <c r="BD250" s="90"/>
      <c r="BE250" s="227">
        <f t="shared" si="4"/>
        <v>502479.50528656325</v>
      </c>
      <c r="BF250" s="227" t="e">
        <f t="array" ref="BF250">#REF!</f>
        <v>#REF!</v>
      </c>
      <c r="BG250" s="92"/>
      <c r="BH250" s="92"/>
      <c r="BI250" s="92"/>
      <c r="BJ250" s="92"/>
      <c r="BK250" s="92"/>
      <c r="BL250" s="92"/>
      <c r="BM250" s="92"/>
    </row>
    <row r="251" spans="1:66" ht="23.25" customHeight="1" outlineLevel="3" x14ac:dyDescent="0.25">
      <c r="B251" s="2" t="b">
        <f t="array" ref="B251">B250</f>
        <v>1</v>
      </c>
      <c r="C251" s="2" t="s">
        <v>344</v>
      </c>
      <c r="D251" s="2" t="s">
        <v>345</v>
      </c>
      <c r="E251" s="2" t="s">
        <v>74</v>
      </c>
      <c r="F251" s="2" t="s">
        <v>75</v>
      </c>
      <c r="G251" s="2" t="s">
        <v>74</v>
      </c>
      <c r="H251" s="2" t="s">
        <v>74</v>
      </c>
      <c r="I251" s="2" t="s">
        <v>352</v>
      </c>
      <c r="J251" s="2" t="s">
        <v>74</v>
      </c>
      <c r="K251" s="5" t="s">
        <v>74</v>
      </c>
      <c r="L251" s="2" t="s">
        <v>347</v>
      </c>
      <c r="M251" s="8" t="str">
        <f t="array" ref="M251">Y107</f>
        <v>1ХВС::1.1</v>
      </c>
      <c r="AA251" s="228" t="str">
        <f>AA245&amp;".2"</f>
        <v>3.1.2.1.1.2.2</v>
      </c>
      <c r="AB251" s="226" t="s">
        <v>353</v>
      </c>
      <c r="AC251" s="197" t="s">
        <v>333</v>
      </c>
      <c r="AD251" s="126">
        <v>25733.270283873</v>
      </c>
      <c r="AE251" s="158">
        <v>25780.557000000001</v>
      </c>
      <c r="AF251" s="158">
        <v>17602.784840487198</v>
      </c>
      <c r="AG251" s="220"/>
      <c r="AH251" s="220"/>
      <c r="AI251" s="158">
        <f t="array" ref="AI251">[2]Показатели!AL121</f>
        <v>17602.784840487198</v>
      </c>
      <c r="AJ251" s="220"/>
      <c r="AK251" s="220"/>
      <c r="AL251" s="220"/>
      <c r="AM251" s="220"/>
      <c r="AN251" s="158">
        <f t="array" ref="AN251">[2]Показатели!AO121</f>
        <v>15453.625583333333</v>
      </c>
      <c r="AO251" s="158">
        <v>16805.103959737</v>
      </c>
      <c r="AP251" s="220"/>
      <c r="AQ251" s="220"/>
      <c r="AR251" s="158">
        <f t="array" ref="AR251">[2]Показатели!AR121</f>
        <v>16805.103959737</v>
      </c>
      <c r="AS251" s="220"/>
      <c r="AT251" s="220"/>
      <c r="AU251" s="158">
        <f t="array" ref="AU251">[2]Показатели!AV121</f>
        <v>15595.192999999999</v>
      </c>
      <c r="AV251" s="158">
        <v>17125.5128064725</v>
      </c>
      <c r="AW251" s="220"/>
      <c r="AX251" s="220"/>
      <c r="AY251" s="158">
        <f t="array" ref="AY251">[2]Показатели!AY121</f>
        <v>17125.5128064725</v>
      </c>
      <c r="AZ251" s="220"/>
      <c r="BA251" s="220"/>
      <c r="BB251" s="90"/>
      <c r="BC251" s="90"/>
      <c r="BD251" s="90"/>
      <c r="BE251" s="227">
        <f t="shared" si="4"/>
        <v>185629.4490805997</v>
      </c>
      <c r="BF251" s="227" t="e">
        <f t="array" ref="BF251">#REF!</f>
        <v>#REF!</v>
      </c>
      <c r="BG251" s="92"/>
      <c r="BH251" s="92"/>
      <c r="BI251" s="92"/>
      <c r="BJ251" s="92"/>
      <c r="BK251" s="92"/>
      <c r="BL251" s="92"/>
      <c r="BM251" s="92"/>
    </row>
    <row r="252" spans="1:66" ht="23.25" customHeight="1" outlineLevel="3" x14ac:dyDescent="0.25">
      <c r="B252" s="2" t="b">
        <f t="array" ref="B252">B251</f>
        <v>1</v>
      </c>
      <c r="C252" s="2" t="s">
        <v>344</v>
      </c>
      <c r="D252" s="2" t="s">
        <v>345</v>
      </c>
      <c r="E252" s="2" t="s">
        <v>74</v>
      </c>
      <c r="F252" s="2" t="s">
        <v>75</v>
      </c>
      <c r="G252" s="2" t="s">
        <v>74</v>
      </c>
      <c r="H252" s="2" t="s">
        <v>74</v>
      </c>
      <c r="I252" s="2" t="s">
        <v>354</v>
      </c>
      <c r="J252" s="2" t="s">
        <v>74</v>
      </c>
      <c r="K252" s="5" t="s">
        <v>74</v>
      </c>
      <c r="L252" s="2" t="s">
        <v>347</v>
      </c>
      <c r="M252" s="8" t="str">
        <f t="array" ref="M252">Y107</f>
        <v>1ХВС::1.1</v>
      </c>
      <c r="AA252" s="228" t="str">
        <f>AA251&amp;".1"</f>
        <v>3.1.2.1.1.2.2.1</v>
      </c>
      <c r="AB252" s="229" t="s">
        <v>355</v>
      </c>
      <c r="AC252" s="197" t="s">
        <v>340</v>
      </c>
      <c r="AD252" s="230">
        <v>0.56865276860000002</v>
      </c>
      <c r="AE252" s="231">
        <v>0.56899999999999995</v>
      </c>
      <c r="AF252" s="231">
        <v>0.34</v>
      </c>
      <c r="AG252" s="224"/>
      <c r="AH252" s="224"/>
      <c r="AI252" s="231">
        <f t="array" ref="AI252">[2]Показатели!AL120</f>
        <v>0.34</v>
      </c>
      <c r="AJ252" s="224"/>
      <c r="AK252" s="224"/>
      <c r="AL252" s="224"/>
      <c r="AM252" s="224"/>
      <c r="AN252" s="231">
        <f t="array" ref="AN252">[2]Показатели!AO120</f>
        <v>0.31169437251831655</v>
      </c>
      <c r="AO252" s="231">
        <v>0.33100000000000002</v>
      </c>
      <c r="AP252" s="224"/>
      <c r="AQ252" s="224"/>
      <c r="AR252" s="231">
        <f t="array" ref="AR252">[2]Показатели!AR120</f>
        <v>0.33100000000000002</v>
      </c>
      <c r="AS252" s="224"/>
      <c r="AT252" s="224"/>
      <c r="AU252" s="231">
        <f t="array" ref="AU252">[2]Показатели!AV120</f>
        <v>0.38138612711741882</v>
      </c>
      <c r="AV252" s="231">
        <v>0.33300000000000002</v>
      </c>
      <c r="AW252" s="224"/>
      <c r="AX252" s="224"/>
      <c r="AY252" s="231">
        <f t="array" ref="AY252">[2]Показатели!AY120</f>
        <v>0.33100000000000002</v>
      </c>
      <c r="AZ252" s="224"/>
      <c r="BA252" s="224"/>
      <c r="BB252" s="90"/>
      <c r="BC252" s="90"/>
      <c r="BD252" s="90"/>
      <c r="BE252" s="227">
        <f t="shared" si="4"/>
        <v>3.8367332682357356</v>
      </c>
      <c r="BF252" s="227" t="e">
        <f t="array" ref="BF252">#REF!</f>
        <v>#REF!</v>
      </c>
      <c r="BG252" s="92"/>
      <c r="BH252" s="92"/>
      <c r="BI252" s="92"/>
      <c r="BJ252" s="92"/>
      <c r="BK252" s="92"/>
      <c r="BL252" s="92"/>
      <c r="BM252" s="92"/>
    </row>
    <row r="253" spans="1:66" ht="14.25" customHeight="1" outlineLevel="3" x14ac:dyDescent="0.25">
      <c r="B253" s="2" t="b">
        <f t="array" ref="B253">B252</f>
        <v>1</v>
      </c>
      <c r="C253" s="2" t="s">
        <v>344</v>
      </c>
      <c r="D253" s="2" t="s">
        <v>345</v>
      </c>
      <c r="E253" s="2" t="s">
        <v>74</v>
      </c>
      <c r="F253" s="2" t="s">
        <v>75</v>
      </c>
      <c r="G253" s="2" t="s">
        <v>74</v>
      </c>
      <c r="H253" s="2" t="s">
        <v>74</v>
      </c>
      <c r="I253" s="2" t="s">
        <v>356</v>
      </c>
      <c r="J253" s="2" t="s">
        <v>74</v>
      </c>
      <c r="K253" s="5" t="s">
        <v>74</v>
      </c>
      <c r="L253" s="2" t="s">
        <v>347</v>
      </c>
      <c r="M253" s="8" t="str">
        <f t="array" ref="M253">Y107</f>
        <v>1ХВС::1.1</v>
      </c>
      <c r="AA253" s="228" t="str">
        <f>AA251&amp;".2"</f>
        <v>3.1.2.1.1.2.2.2</v>
      </c>
      <c r="AB253" s="229" t="s">
        <v>343</v>
      </c>
      <c r="AC253" s="197" t="s">
        <v>140</v>
      </c>
      <c r="AD253" s="126">
        <v>45253.046683</v>
      </c>
      <c r="AE253" s="158">
        <v>45336.201999999997</v>
      </c>
      <c r="AF253" s="158">
        <v>51772.9</v>
      </c>
      <c r="AG253" s="220"/>
      <c r="AH253" s="220"/>
      <c r="AI253" s="158">
        <f t="array" ref="AI253">[2]Показатели!AL122</f>
        <v>51772.8965896683</v>
      </c>
      <c r="AJ253" s="220"/>
      <c r="AK253" s="220"/>
      <c r="AL253" s="220"/>
      <c r="AM253" s="220"/>
      <c r="AN253" s="158">
        <f t="array" ref="AN253">[2]Показатели!AO122</f>
        <v>49579.418000000012</v>
      </c>
      <c r="AO253" s="158">
        <v>50770.706827000002</v>
      </c>
      <c r="AP253" s="220"/>
      <c r="AQ253" s="220"/>
      <c r="AR253" s="158">
        <f t="array" ref="AR253">[2]Показатели!AR122</f>
        <v>50770.706827000002</v>
      </c>
      <c r="AS253" s="220"/>
      <c r="AT253" s="220"/>
      <c r="AU253" s="158">
        <f t="array" ref="AU253">[2]Показатели!AV122</f>
        <v>40890.824000000001</v>
      </c>
      <c r="AV253" s="158">
        <v>51738.709385113303</v>
      </c>
      <c r="AW253" s="220"/>
      <c r="AX253" s="220"/>
      <c r="AY253" s="158">
        <f t="array" ref="AY253">[2]Показатели!AY122</f>
        <v>51738.709385113303</v>
      </c>
      <c r="AZ253" s="220"/>
      <c r="BA253" s="220"/>
      <c r="BB253" s="90"/>
      <c r="BC253" s="90"/>
      <c r="BD253" s="90"/>
      <c r="BE253" s="227">
        <f t="shared" si="4"/>
        <v>489624.11969689501</v>
      </c>
      <c r="BF253" s="227" t="e">
        <f t="array" ref="BF253">#REF!</f>
        <v>#REF!</v>
      </c>
      <c r="BG253" s="92"/>
      <c r="BH253" s="92"/>
      <c r="BI253" s="92"/>
      <c r="BJ253" s="92"/>
      <c r="BK253" s="92"/>
      <c r="BL253" s="92"/>
      <c r="BM253" s="92"/>
    </row>
    <row r="254" spans="1:66" ht="14.25" hidden="1" customHeight="1" outlineLevel="3" x14ac:dyDescent="0.25">
      <c r="A254" s="7"/>
      <c r="B254" s="2" t="b">
        <f t="array" ref="B254">B245</f>
        <v>0</v>
      </c>
      <c r="C254" s="4" t="s">
        <v>330</v>
      </c>
      <c r="D254" s="2" t="s">
        <v>331</v>
      </c>
      <c r="E254" s="2" t="s">
        <v>74</v>
      </c>
      <c r="F254" s="2" t="s">
        <v>75</v>
      </c>
      <c r="G254" s="2" t="s">
        <v>74</v>
      </c>
      <c r="H254" s="2" t="s">
        <v>74</v>
      </c>
      <c r="I254" s="2" t="s">
        <v>74</v>
      </c>
      <c r="J254" s="4" t="s">
        <v>357</v>
      </c>
      <c r="K254" s="5" t="s">
        <v>74</v>
      </c>
      <c r="L254" s="2" t="s">
        <v>335</v>
      </c>
      <c r="M254" s="8" t="str">
        <f t="array" ref="M254">Y107</f>
        <v>1ХВС::1.1</v>
      </c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107" t="str">
        <f>AA244&amp;".2"</f>
        <v>3.1.2.1.1.2.2</v>
      </c>
      <c r="AB254" s="232" t="s">
        <v>358</v>
      </c>
      <c r="AC254" s="197" t="s">
        <v>333</v>
      </c>
      <c r="AD254" s="127"/>
      <c r="AE254" s="127"/>
      <c r="AF254" s="127"/>
      <c r="AG254" s="202"/>
      <c r="AH254" s="202"/>
      <c r="AI254" s="127">
        <f t="array" ref="AI254">AF254</f>
        <v>0</v>
      </c>
      <c r="AJ254" s="202"/>
      <c r="AK254" s="202"/>
      <c r="AL254" s="202"/>
      <c r="AM254" s="202"/>
      <c r="AN254" s="158">
        <f>[2]ЭЭ!BB100*1</f>
        <v>0</v>
      </c>
      <c r="AO254" s="127"/>
      <c r="AP254" s="202"/>
      <c r="AQ254" s="202"/>
      <c r="AR254" s="127">
        <f t="array" ref="AR254">AO254</f>
        <v>0</v>
      </c>
      <c r="AS254" s="202"/>
      <c r="AT254" s="202"/>
      <c r="AU254" s="158">
        <f>[2]ЭЭ!BG100*1</f>
        <v>0</v>
      </c>
      <c r="AV254" s="127"/>
      <c r="AW254" s="202"/>
      <c r="AX254" s="202"/>
      <c r="AY254" s="127">
        <f t="array" ref="AY254">AV254</f>
        <v>0</v>
      </c>
      <c r="AZ254" s="202"/>
      <c r="BA254" s="202"/>
      <c r="BB254" s="85"/>
      <c r="BC254" s="85"/>
      <c r="BD254" s="85"/>
      <c r="BE254" s="99">
        <f t="shared" ref="BE254:BE264" si="5">SUM(AD254:BA254)</f>
        <v>0</v>
      </c>
      <c r="BF254" s="99" t="e">
        <f t="array" ref="BF254">#REF!</f>
        <v>#REF!</v>
      </c>
      <c r="BG254" s="101"/>
      <c r="BH254" s="101"/>
      <c r="BI254" s="101"/>
      <c r="BJ254" s="101"/>
      <c r="BK254" s="101"/>
      <c r="BL254" s="101"/>
      <c r="BM254" s="101"/>
      <c r="BN254" s="7"/>
    </row>
    <row r="255" spans="1:66" ht="14.25" customHeight="1" outlineLevel="3" x14ac:dyDescent="0.25">
      <c r="A255" s="2" t="b">
        <f>$AC$48="да"</f>
        <v>1</v>
      </c>
      <c r="B255" s="8" t="b">
        <f t="array" ref="B255">A255</f>
        <v>1</v>
      </c>
      <c r="C255" s="2" t="s">
        <v>84</v>
      </c>
      <c r="D255" s="2" t="s">
        <v>85</v>
      </c>
      <c r="E255" s="2" t="s">
        <v>74</v>
      </c>
      <c r="F255" s="2" t="s">
        <v>75</v>
      </c>
      <c r="G255" s="2" t="s">
        <v>359</v>
      </c>
      <c r="H255" s="2" t="s">
        <v>74</v>
      </c>
      <c r="I255" s="2" t="s">
        <v>74</v>
      </c>
      <c r="J255" s="2" t="s">
        <v>74</v>
      </c>
      <c r="K255" s="5" t="s">
        <v>74</v>
      </c>
      <c r="L255" s="2" t="s">
        <v>360</v>
      </c>
      <c r="M255" s="8" t="str">
        <f t="array" ref="M255">Y107</f>
        <v>1ХВС::1.1</v>
      </c>
      <c r="Y255" s="2">
        <f>COUNT($Y242:Y254)+1</f>
        <v>2</v>
      </c>
      <c r="AA255" s="107" t="str">
        <f>AA$241&amp;"."&amp;Y255</f>
        <v>3.1.2.2</v>
      </c>
      <c r="AB255" s="171" t="s">
        <v>361</v>
      </c>
      <c r="AC255" s="197" t="s">
        <v>114</v>
      </c>
      <c r="AD255" s="195"/>
      <c r="AE255" s="195"/>
      <c r="AF255" s="195"/>
      <c r="AG255" s="202"/>
      <c r="AH255" s="202"/>
      <c r="AI255" s="195">
        <f t="array" ref="AI255">AF255</f>
        <v>0</v>
      </c>
      <c r="AJ255" s="202"/>
      <c r="AK255" s="202"/>
      <c r="AL255" s="202"/>
      <c r="AM255" s="202"/>
      <c r="AN255" s="203">
        <f>'[2]Счет 23'!BT236*1</f>
        <v>0</v>
      </c>
      <c r="AO255" s="195"/>
      <c r="AP255" s="202"/>
      <c r="AQ255" s="202"/>
      <c r="AR255" s="195">
        <f t="array" ref="AR255">AO255</f>
        <v>0</v>
      </c>
      <c r="AS255" s="202"/>
      <c r="AT255" s="202"/>
      <c r="AU255" s="203">
        <f>'[2]Счет 23'!BY236*1</f>
        <v>0</v>
      </c>
      <c r="AV255" s="195"/>
      <c r="AW255" s="202"/>
      <c r="AX255" s="202"/>
      <c r="AY255" s="195">
        <f t="array" ref="AY255">AV255</f>
        <v>0</v>
      </c>
      <c r="AZ255" s="202"/>
      <c r="BA255" s="202"/>
      <c r="BB255" s="90"/>
      <c r="BC255" s="90"/>
      <c r="BD255" s="90"/>
      <c r="BE255" s="227">
        <f t="shared" si="5"/>
        <v>0</v>
      </c>
      <c r="BF255" s="227" t="e">
        <f t="array" ref="BF255">#REF!</f>
        <v>#REF!</v>
      </c>
      <c r="BG255" s="92"/>
      <c r="BH255" s="92"/>
      <c r="BI255" s="92"/>
      <c r="BJ255" s="92"/>
      <c r="BK255" s="92"/>
      <c r="BL255" s="92"/>
      <c r="BM255" s="92"/>
    </row>
    <row r="256" spans="1:66" ht="22.5" customHeight="1" outlineLevel="3" x14ac:dyDescent="0.25">
      <c r="A256" s="2" t="b">
        <f>$AC$49="да"</f>
        <v>1</v>
      </c>
      <c r="B256" s="8" t="b">
        <f t="array" ref="B256">A256</f>
        <v>1</v>
      </c>
      <c r="C256" s="2" t="s">
        <v>84</v>
      </c>
      <c r="D256" s="2" t="s">
        <v>85</v>
      </c>
      <c r="E256" s="2" t="s">
        <v>74</v>
      </c>
      <c r="F256" s="2" t="s">
        <v>75</v>
      </c>
      <c r="G256" s="2" t="s">
        <v>362</v>
      </c>
      <c r="H256" s="2" t="s">
        <v>74</v>
      </c>
      <c r="I256" s="2" t="s">
        <v>74</v>
      </c>
      <c r="J256" s="2" t="s">
        <v>74</v>
      </c>
      <c r="K256" s="5" t="s">
        <v>74</v>
      </c>
      <c r="L256" s="2" t="s">
        <v>228</v>
      </c>
      <c r="M256" s="8" t="str">
        <f t="array" ref="M256">Y107</f>
        <v>1ХВС::1.1</v>
      </c>
      <c r="Y256" s="2">
        <f>COUNT($Y242:Y255)+1</f>
        <v>3</v>
      </c>
      <c r="AA256" s="107" t="str">
        <f>AA$241&amp;"."&amp;Y256</f>
        <v>3.1.2.3</v>
      </c>
      <c r="AB256" s="171" t="s">
        <v>363</v>
      </c>
      <c r="AC256" s="197" t="s">
        <v>114</v>
      </c>
      <c r="AD256" s="195"/>
      <c r="AE256" s="195"/>
      <c r="AF256" s="195"/>
      <c r="AG256" s="202"/>
      <c r="AH256" s="202"/>
      <c r="AI256" s="195">
        <f t="array" ref="AI256">AF256</f>
        <v>0</v>
      </c>
      <c r="AJ256" s="202"/>
      <c r="AK256" s="202"/>
      <c r="AL256" s="202"/>
      <c r="AM256" s="202"/>
      <c r="AN256" s="203">
        <f>'[2]Счет 25'!BT176*1</f>
        <v>0</v>
      </c>
      <c r="AO256" s="195"/>
      <c r="AP256" s="202"/>
      <c r="AQ256" s="202"/>
      <c r="AR256" s="195">
        <f t="array" ref="AR256">AO256</f>
        <v>0</v>
      </c>
      <c r="AS256" s="202"/>
      <c r="AT256" s="202"/>
      <c r="AU256" s="203">
        <f>'[2]Счет 25'!BY176*1</f>
        <v>0</v>
      </c>
      <c r="AV256" s="195"/>
      <c r="AW256" s="202"/>
      <c r="AX256" s="202"/>
      <c r="AY256" s="195">
        <f t="array" ref="AY256">AV256</f>
        <v>0</v>
      </c>
      <c r="AZ256" s="202"/>
      <c r="BA256" s="202"/>
      <c r="BB256" s="90"/>
      <c r="BC256" s="90"/>
      <c r="BD256" s="90"/>
      <c r="BE256" s="227">
        <f t="shared" si="5"/>
        <v>0</v>
      </c>
      <c r="BF256" s="227" t="e">
        <f t="array" ref="BF256">#REF!</f>
        <v>#REF!</v>
      </c>
      <c r="BG256" s="92"/>
      <c r="BH256" s="92"/>
      <c r="BI256" s="92"/>
      <c r="BJ256" s="92"/>
      <c r="BK256" s="92"/>
      <c r="BL256" s="92"/>
      <c r="BM256" s="92"/>
    </row>
    <row r="257" spans="1:66" ht="14.25" customHeight="1" outlineLevel="3" x14ac:dyDescent="0.25">
      <c r="A257" s="2" t="b">
        <f>$AC$50="да"</f>
        <v>1</v>
      </c>
      <c r="B257" s="8" t="b">
        <f t="array" ref="B257">A257</f>
        <v>1</v>
      </c>
      <c r="C257" s="2" t="s">
        <v>84</v>
      </c>
      <c r="D257" s="2" t="s">
        <v>85</v>
      </c>
      <c r="E257" s="2" t="s">
        <v>74</v>
      </c>
      <c r="F257" s="2" t="s">
        <v>75</v>
      </c>
      <c r="G257" s="2" t="s">
        <v>364</v>
      </c>
      <c r="H257" s="2" t="s">
        <v>74</v>
      </c>
      <c r="I257" s="2" t="s">
        <v>74</v>
      </c>
      <c r="J257" s="2" t="s">
        <v>74</v>
      </c>
      <c r="K257" s="5" t="s">
        <v>74</v>
      </c>
      <c r="L257" s="2" t="s">
        <v>365</v>
      </c>
      <c r="M257" s="8" t="str">
        <f t="array" ref="M257">Y107</f>
        <v>1ХВС::1.1</v>
      </c>
      <c r="Y257" s="2">
        <f>COUNT($Y242:Y256)+1</f>
        <v>4</v>
      </c>
      <c r="AA257" s="107" t="str">
        <f>AA$241&amp;"."&amp;Y257</f>
        <v>3.1.2.4</v>
      </c>
      <c r="AB257" s="171" t="s">
        <v>366</v>
      </c>
      <c r="AC257" s="197" t="s">
        <v>114</v>
      </c>
      <c r="AD257" s="195"/>
      <c r="AE257" s="195"/>
      <c r="AF257" s="195"/>
      <c r="AG257" s="202"/>
      <c r="AH257" s="202"/>
      <c r="AI257" s="195">
        <f t="array" ref="AI257">AF257</f>
        <v>0</v>
      </c>
      <c r="AJ257" s="202"/>
      <c r="AK257" s="202"/>
      <c r="AL257" s="202"/>
      <c r="AM257" s="202"/>
      <c r="AN257" s="203">
        <f>[2]Адм.расходы!BT200*1</f>
        <v>0</v>
      </c>
      <c r="AO257" s="195"/>
      <c r="AP257" s="202"/>
      <c r="AQ257" s="202"/>
      <c r="AR257" s="195">
        <f t="array" ref="AR257">AO257</f>
        <v>0</v>
      </c>
      <c r="AS257" s="202"/>
      <c r="AT257" s="202"/>
      <c r="AU257" s="203">
        <f>[2]Адм.расходы!BY200*1</f>
        <v>0</v>
      </c>
      <c r="AV257" s="195"/>
      <c r="AW257" s="202"/>
      <c r="AX257" s="202"/>
      <c r="AY257" s="195">
        <f t="array" ref="AY257">AV257</f>
        <v>0</v>
      </c>
      <c r="AZ257" s="202"/>
      <c r="BA257" s="202"/>
      <c r="BB257" s="90"/>
      <c r="BC257" s="90"/>
      <c r="BD257" s="90"/>
      <c r="BE257" s="227">
        <f t="shared" si="5"/>
        <v>0</v>
      </c>
      <c r="BF257" s="227" t="e">
        <f t="array" ref="BF257">#REF!</f>
        <v>#REF!</v>
      </c>
      <c r="BG257" s="92"/>
      <c r="BH257" s="92"/>
      <c r="BI257" s="92"/>
      <c r="BJ257" s="92"/>
      <c r="BK257" s="92"/>
      <c r="BL257" s="92"/>
      <c r="BM257" s="92"/>
    </row>
    <row r="258" spans="1:66" ht="14.25" customHeight="1" outlineLevel="2" x14ac:dyDescent="0.25">
      <c r="C258" s="2" t="s">
        <v>84</v>
      </c>
      <c r="D258" s="2" t="s">
        <v>85</v>
      </c>
      <c r="E258" s="2" t="s">
        <v>74</v>
      </c>
      <c r="F258" s="2" t="s">
        <v>75</v>
      </c>
      <c r="G258" s="2" t="s">
        <v>367</v>
      </c>
      <c r="H258" s="2" t="s">
        <v>74</v>
      </c>
      <c r="I258" s="2" t="s">
        <v>74</v>
      </c>
      <c r="J258" s="2" t="s">
        <v>74</v>
      </c>
      <c r="K258" s="5" t="s">
        <v>74</v>
      </c>
      <c r="L258" s="2" t="s">
        <v>136</v>
      </c>
      <c r="M258" s="8" t="str">
        <f t="array" ref="M258">Y107</f>
        <v>1ХВС::1.1</v>
      </c>
      <c r="AA258" s="194" t="str">
        <f>AA157&amp;".3"</f>
        <v>3.1.3</v>
      </c>
      <c r="AB258" s="193" t="s">
        <v>368</v>
      </c>
      <c r="AC258" s="194" t="s">
        <v>114</v>
      </c>
      <c r="AD258" s="136">
        <v>113277.71</v>
      </c>
      <c r="AE258" s="136">
        <v>118909.09364378999</v>
      </c>
      <c r="AF258" s="173">
        <v>129202.77051833289</v>
      </c>
      <c r="AG258" s="202"/>
      <c r="AH258" s="202"/>
      <c r="AI258" s="173" t="e">
        <f>AI259+AI272+AI273+AI283+AI290+AI291+AI292+AI293+AI294+AI297+AI298+AI299+AI300+AI301</f>
        <v>#VALUE!</v>
      </c>
      <c r="AJ258" s="202"/>
      <c r="AK258" s="202"/>
      <c r="AL258" s="202"/>
      <c r="AM258" s="202"/>
      <c r="AN258" s="173" t="e">
        <f>AN259+AN272+AN273+AN283+AN290+AN291+AN292+AN293+AN294+AN297+AN298+AN299+AN300+AN301</f>
        <v>#REF!</v>
      </c>
      <c r="AO258" s="173">
        <v>271834.62387558754</v>
      </c>
      <c r="AP258" s="202"/>
      <c r="AQ258" s="202"/>
      <c r="AR258" s="173" t="e">
        <f>AR259+AR272+AR273+AR283+AR290+AR291+AR292+AR293+AR294+AR297+AR298+AR299+AR300+AR301</f>
        <v>#VALUE!</v>
      </c>
      <c r="AS258" s="202"/>
      <c r="AT258" s="202"/>
      <c r="AU258" s="173" t="e">
        <f>AU259+AU272+AU273+AU283+AU290+AU291+AU292+AU293+AU294+AU297+AU298+AU299+AU300+AU301</f>
        <v>#REF!</v>
      </c>
      <c r="AV258" s="173">
        <v>287952.25931888248</v>
      </c>
      <c r="AW258" s="202"/>
      <c r="AX258" s="202"/>
      <c r="AY258" s="173" t="e">
        <f>AY259+AY272+AY273+AY283+AY290+AY291+AY292+AY293+AY294+AY297+AY298+AY299+AY300+AY301</f>
        <v>#VALUE!</v>
      </c>
      <c r="AZ258" s="202"/>
      <c r="BA258" s="202"/>
      <c r="BB258" s="85"/>
      <c r="BC258" s="85"/>
      <c r="BD258" s="85"/>
      <c r="BE258" s="99" t="e">
        <f t="shared" si="5"/>
        <v>#VALUE!</v>
      </c>
      <c r="BF258" s="100" t="e">
        <f>BF259+BF272+BF273+BF283+BF290+BF291+BF292+BF293+BF294+BF297+BF298+BF299+BF300+BF301</f>
        <v>#REF!</v>
      </c>
      <c r="BG258" s="101"/>
      <c r="BH258" s="101"/>
      <c r="BI258" s="101"/>
      <c r="BJ258" s="101"/>
      <c r="BK258" s="101"/>
      <c r="BL258" s="101"/>
      <c r="BM258" s="101"/>
    </row>
    <row r="259" spans="1:66" ht="24.75" customHeight="1" outlineLevel="3" x14ac:dyDescent="0.25">
      <c r="C259" s="2" t="s">
        <v>84</v>
      </c>
      <c r="D259" s="2" t="s">
        <v>85</v>
      </c>
      <c r="E259" s="2" t="s">
        <v>74</v>
      </c>
      <c r="F259" s="2" t="s">
        <v>75</v>
      </c>
      <c r="G259" s="2" t="s">
        <v>369</v>
      </c>
      <c r="H259" s="2" t="s">
        <v>74</v>
      </c>
      <c r="I259" s="2" t="s">
        <v>74</v>
      </c>
      <c r="J259" s="2" t="s">
        <v>74</v>
      </c>
      <c r="K259" s="5" t="s">
        <v>74</v>
      </c>
      <c r="L259" s="2" t="s">
        <v>370</v>
      </c>
      <c r="M259" s="8" t="str">
        <f t="array" ref="M259">Y107</f>
        <v>1ХВС::1.1</v>
      </c>
      <c r="AA259" s="107" t="str">
        <f>AA258&amp;".1"</f>
        <v>3.1.3.1</v>
      </c>
      <c r="AB259" s="196" t="s">
        <v>371</v>
      </c>
      <c r="AC259" s="197" t="s">
        <v>114</v>
      </c>
      <c r="AD259" s="173">
        <v>29501.59</v>
      </c>
      <c r="AE259" s="173">
        <v>32491.415588258802</v>
      </c>
      <c r="AF259" s="173">
        <v>33461.0387979488</v>
      </c>
      <c r="AG259" s="174"/>
      <c r="AH259" s="174"/>
      <c r="AI259" s="173" t="e">
        <f>AI260+AI261+AI262+AI263+AI264+AI265+AI266+AI267+AI268+AI269+AI270+AI271</f>
        <v>#VALUE!</v>
      </c>
      <c r="AJ259" s="174"/>
      <c r="AK259" s="174"/>
      <c r="AL259" s="174"/>
      <c r="AM259" s="174"/>
      <c r="AN259" s="173">
        <f>AN260+AN261+AN262+AN263+AN264+AN265+AN266+AN267+AN268+AN269+AN270+AN271</f>
        <v>34194.105124770002</v>
      </c>
      <c r="AO259" s="173">
        <v>36082.465020033</v>
      </c>
      <c r="AP259" s="174"/>
      <c r="AQ259" s="174"/>
      <c r="AR259" s="173" t="e">
        <f>AR260+AR261+AR262+AR263+AR264+AR265+AR266+AR267+AR268+AR269+AR270+AR271</f>
        <v>#VALUE!</v>
      </c>
      <c r="AS259" s="174"/>
      <c r="AT259" s="174"/>
      <c r="AU259" s="173">
        <f>AU260+AU261+AU262+AU263+AU264+AU265+AU266+AU267+AU268+AU269+AU270+AU271</f>
        <v>0</v>
      </c>
      <c r="AV259" s="173">
        <v>38140.396770315798</v>
      </c>
      <c r="AW259" s="174"/>
      <c r="AX259" s="174"/>
      <c r="AY259" s="173" t="e">
        <f>AY260+AY261+AY262+AY263+AY264+AY265+AY266+AY267+AY268+AY269+AY270+AY271</f>
        <v>#VALUE!</v>
      </c>
      <c r="AZ259" s="174"/>
      <c r="BA259" s="174"/>
      <c r="BB259" s="85"/>
      <c r="BC259" s="85"/>
      <c r="BD259" s="85"/>
      <c r="BE259" s="99" t="e">
        <f t="shared" si="5"/>
        <v>#VALUE!</v>
      </c>
      <c r="BF259" s="100" t="e">
        <f>BF260+BF261+BF262+BF263+BF264+BF265+BF266+BF267+BF268+BF269+BF270+BF271</f>
        <v>#REF!</v>
      </c>
      <c r="BG259" s="101"/>
      <c r="BH259" s="101"/>
      <c r="BI259" s="101"/>
      <c r="BJ259" s="101"/>
      <c r="BK259" s="101"/>
      <c r="BL259" s="101"/>
      <c r="BM259" s="101"/>
    </row>
    <row r="260" spans="1:66" ht="14.25" customHeight="1" outlineLevel="4" x14ac:dyDescent="0.25">
      <c r="C260" s="2" t="s">
        <v>84</v>
      </c>
      <c r="D260" s="2" t="s">
        <v>85</v>
      </c>
      <c r="E260" s="2" t="s">
        <v>74</v>
      </c>
      <c r="F260" s="2" t="s">
        <v>75</v>
      </c>
      <c r="G260" s="2" t="s">
        <v>372</v>
      </c>
      <c r="H260" s="2" t="s">
        <v>74</v>
      </c>
      <c r="I260" s="2" t="s">
        <v>74</v>
      </c>
      <c r="J260" s="2" t="s">
        <v>74</v>
      </c>
      <c r="K260" s="5" t="s">
        <v>74</v>
      </c>
      <c r="L260" s="2" t="s">
        <v>370</v>
      </c>
      <c r="M260" s="8" t="str">
        <f t="array" ref="M260">Y107</f>
        <v>1ХВС::1.1</v>
      </c>
      <c r="Y260" s="2">
        <v>1</v>
      </c>
      <c r="AA260" s="107" t="str">
        <f>AA$259&amp;"."&amp;Y260</f>
        <v>3.1.3.1.1</v>
      </c>
      <c r="AB260" s="233" t="s">
        <v>373</v>
      </c>
      <c r="AC260" s="197" t="s">
        <v>114</v>
      </c>
      <c r="AD260" s="136">
        <v>5114.93</v>
      </c>
      <c r="AE260" s="136">
        <v>4637.8946782588</v>
      </c>
      <c r="AF260" s="195">
        <v>5282.9599977375001</v>
      </c>
      <c r="AG260" s="202"/>
      <c r="AH260" s="202"/>
      <c r="AI260" s="136">
        <v>5282.9599977375001</v>
      </c>
      <c r="AJ260" s="202"/>
      <c r="AK260" s="202"/>
      <c r="AL260" s="202"/>
      <c r="AM260" s="202"/>
      <c r="AN260" s="203">
        <f t="array" ref="AN260">[2]ТЭ!AH92</f>
        <v>4971.5200000000004</v>
      </c>
      <c r="AO260" s="195">
        <v>4992.2700000000004</v>
      </c>
      <c r="AP260" s="202"/>
      <c r="AQ260" s="202"/>
      <c r="AR260" s="136">
        <v>4992.2700000000004</v>
      </c>
      <c r="AS260" s="202"/>
      <c r="AT260" s="202"/>
      <c r="AU260" s="203">
        <f t="array" ref="AU260">[2]ТЭ!AM92</f>
        <v>0</v>
      </c>
      <c r="AV260" s="195">
        <v>5292.79</v>
      </c>
      <c r="AW260" s="202"/>
      <c r="AX260" s="202"/>
      <c r="AY260" s="136">
        <v>5292.79</v>
      </c>
      <c r="AZ260" s="202"/>
      <c r="BA260" s="202"/>
      <c r="BB260" s="85"/>
      <c r="BC260" s="85"/>
      <c r="BD260" s="85"/>
      <c r="BE260" s="99">
        <f t="shared" si="5"/>
        <v>45860.384673733803</v>
      </c>
      <c r="BF260" s="99" t="e">
        <f t="array" ref="BF260">#REF!</f>
        <v>#REF!</v>
      </c>
      <c r="BG260" s="101"/>
      <c r="BH260" s="101"/>
      <c r="BI260" s="101"/>
      <c r="BJ260" s="101"/>
      <c r="BK260" s="101"/>
      <c r="BL260" s="101"/>
      <c r="BM260" s="101"/>
    </row>
    <row r="261" spans="1:66" ht="14.25" customHeight="1" outlineLevel="4" x14ac:dyDescent="0.25">
      <c r="C261" s="2" t="s">
        <v>84</v>
      </c>
      <c r="D261" s="2" t="s">
        <v>85</v>
      </c>
      <c r="E261" s="2" t="s">
        <v>74</v>
      </c>
      <c r="F261" s="2" t="s">
        <v>75</v>
      </c>
      <c r="G261" s="2" t="s">
        <v>374</v>
      </c>
      <c r="H261" s="2" t="s">
        <v>74</v>
      </c>
      <c r="I261" s="2" t="s">
        <v>74</v>
      </c>
      <c r="J261" s="2" t="s">
        <v>74</v>
      </c>
      <c r="K261" s="5" t="s">
        <v>74</v>
      </c>
      <c r="L261" s="2" t="s">
        <v>370</v>
      </c>
      <c r="M261" s="8" t="str">
        <f t="array" ref="M261">Y107</f>
        <v>1ХВС::1.1</v>
      </c>
      <c r="Y261" s="2">
        <f>COUNT($Y259:Y260)+1</f>
        <v>2</v>
      </c>
      <c r="AA261" s="107" t="str">
        <f>AA$259&amp;"."&amp;Y261</f>
        <v>3.1.3.1.2</v>
      </c>
      <c r="AB261" s="233" t="s">
        <v>374</v>
      </c>
      <c r="AC261" s="197" t="s">
        <v>114</v>
      </c>
      <c r="AD261" s="136"/>
      <c r="AE261" s="136"/>
      <c r="AF261" s="195">
        <v>0</v>
      </c>
      <c r="AG261" s="202"/>
      <c r="AH261" s="202"/>
      <c r="AI261" s="136" t="e">
        <f>SUMIF([2]ТН!$Z101:$Z102,"×",[2]ТН!AF101:AF102)</f>
        <v>#VALUE!</v>
      </c>
      <c r="AJ261" s="202"/>
      <c r="AK261" s="202"/>
      <c r="AL261" s="202"/>
      <c r="AM261" s="202"/>
      <c r="AN261" s="203">
        <f t="array" ref="AN261">[2]ТН!AH92</f>
        <v>0</v>
      </c>
      <c r="AO261" s="195">
        <v>0</v>
      </c>
      <c r="AP261" s="202"/>
      <c r="AQ261" s="202"/>
      <c r="AR261" s="136" t="e">
        <f>SUMIF([2]ТН!$Z101:$Z102,"×",[2]ТН!AJ101:AJ102)</f>
        <v>#VALUE!</v>
      </c>
      <c r="AS261" s="202"/>
      <c r="AT261" s="202"/>
      <c r="AU261" s="203">
        <f t="array" ref="AU261">[2]ТН!AM92</f>
        <v>0</v>
      </c>
      <c r="AV261" s="195">
        <v>0</v>
      </c>
      <c r="AW261" s="202"/>
      <c r="AX261" s="202"/>
      <c r="AY261" s="136" t="e">
        <f>SUMIF([2]ТН!$Z101:$Z102,"×",[2]ТН!AO101:AO102)</f>
        <v>#VALUE!</v>
      </c>
      <c r="AZ261" s="202"/>
      <c r="BA261" s="202"/>
      <c r="BB261" s="85"/>
      <c r="BC261" s="85"/>
      <c r="BD261" s="85"/>
      <c r="BE261" s="99" t="e">
        <f t="shared" si="5"/>
        <v>#VALUE!</v>
      </c>
      <c r="BF261" s="99" t="e">
        <f t="array" ref="BF261">#REF!</f>
        <v>#REF!</v>
      </c>
      <c r="BG261" s="101"/>
      <c r="BH261" s="101"/>
      <c r="BI261" s="101"/>
      <c r="BJ261" s="101"/>
      <c r="BK261" s="101"/>
      <c r="BL261" s="101"/>
      <c r="BM261" s="101"/>
    </row>
    <row r="262" spans="1:66" ht="14.25" customHeight="1" outlineLevel="4" x14ac:dyDescent="0.25">
      <c r="C262" s="2" t="s">
        <v>84</v>
      </c>
      <c r="D262" s="2" t="s">
        <v>85</v>
      </c>
      <c r="E262" s="2" t="s">
        <v>74</v>
      </c>
      <c r="F262" s="2" t="s">
        <v>75</v>
      </c>
      <c r="G262" s="2" t="s">
        <v>375</v>
      </c>
      <c r="H262" s="2" t="s">
        <v>74</v>
      </c>
      <c r="I262" s="2" t="s">
        <v>74</v>
      </c>
      <c r="J262" s="2" t="s">
        <v>74</v>
      </c>
      <c r="K262" s="5" t="s">
        <v>74</v>
      </c>
      <c r="L262" s="2" t="s">
        <v>370</v>
      </c>
      <c r="M262" s="8" t="str">
        <f t="array" ref="M262">Y107</f>
        <v>1ХВС::1.1</v>
      </c>
      <c r="Y262" s="2">
        <f>COUNT($Y259:Y261)+1</f>
        <v>3</v>
      </c>
      <c r="AA262" s="107" t="str">
        <f>AA$259&amp;"."&amp;Y262</f>
        <v>3.1.3.1.3</v>
      </c>
      <c r="AB262" s="233" t="s">
        <v>375</v>
      </c>
      <c r="AC262" s="197" t="s">
        <v>114</v>
      </c>
      <c r="AD262" s="136">
        <v>4372.59</v>
      </c>
      <c r="AE262" s="136">
        <v>7270.92</v>
      </c>
      <c r="AF262" s="195">
        <v>6383.43</v>
      </c>
      <c r="AG262" s="202"/>
      <c r="AH262" s="202"/>
      <c r="AI262" s="136">
        <v>6383.43</v>
      </c>
      <c r="AJ262" s="202"/>
      <c r="AK262" s="202"/>
      <c r="AL262" s="202"/>
      <c r="AM262" s="202"/>
      <c r="AN262" s="203">
        <f t="array" ref="AN262">[2]Топливо!AH95</f>
        <v>5659.6011247699998</v>
      </c>
      <c r="AO262" s="195">
        <v>740.79309803299998</v>
      </c>
      <c r="AP262" s="202"/>
      <c r="AQ262" s="202"/>
      <c r="AR262" s="136">
        <v>740.79309803299998</v>
      </c>
      <c r="AS262" s="202"/>
      <c r="AT262" s="202"/>
      <c r="AU262" s="203">
        <f t="array" ref="AU262">[2]Топливо!AM95</f>
        <v>0</v>
      </c>
      <c r="AV262" s="195">
        <v>784.10812509180005</v>
      </c>
      <c r="AW262" s="202"/>
      <c r="AX262" s="202"/>
      <c r="AY262" s="136">
        <v>784.10812509180005</v>
      </c>
      <c r="AZ262" s="202"/>
      <c r="BA262" s="202"/>
      <c r="BB262" s="85"/>
      <c r="BC262" s="85"/>
      <c r="BD262" s="85"/>
      <c r="BE262" s="99">
        <f t="shared" si="5"/>
        <v>33119.773571019599</v>
      </c>
      <c r="BF262" s="99" t="e">
        <f t="array" ref="BF262">#REF!</f>
        <v>#REF!</v>
      </c>
      <c r="BG262" s="101"/>
      <c r="BH262" s="101"/>
      <c r="BI262" s="101"/>
      <c r="BJ262" s="101"/>
      <c r="BK262" s="101"/>
      <c r="BL262" s="101"/>
      <c r="BM262" s="101"/>
    </row>
    <row r="263" spans="1:66" ht="14.25" customHeight="1" outlineLevel="4" x14ac:dyDescent="0.25">
      <c r="A263" s="81" t="b">
        <f>OR($AC$52="да",$U107="Водоснабжение")</f>
        <v>1</v>
      </c>
      <c r="B263" s="8" t="b">
        <f t="array" ref="B263">A263</f>
        <v>1</v>
      </c>
      <c r="C263" s="2" t="s">
        <v>84</v>
      </c>
      <c r="D263" s="2" t="s">
        <v>85</v>
      </c>
      <c r="E263" s="2" t="s">
        <v>74</v>
      </c>
      <c r="F263" s="2" t="s">
        <v>75</v>
      </c>
      <c r="G263" s="2" t="s">
        <v>376</v>
      </c>
      <c r="H263" s="2" t="s">
        <v>74</v>
      </c>
      <c r="I263" s="2" t="s">
        <v>74</v>
      </c>
      <c r="J263" s="2" t="s">
        <v>74</v>
      </c>
      <c r="K263" s="5" t="s">
        <v>74</v>
      </c>
      <c r="L263" s="2" t="s">
        <v>370</v>
      </c>
      <c r="M263" s="8" t="str">
        <f t="array" ref="M263">Y107</f>
        <v>1ХВС::1.1</v>
      </c>
      <c r="Y263" s="2">
        <f>COUNT($Y259:Y262)+1</f>
        <v>4</v>
      </c>
      <c r="AA263" s="107" t="str">
        <f>AA$259&amp;"."&amp;Y263</f>
        <v>3.1.3.1.4</v>
      </c>
      <c r="AB263" s="233" t="s">
        <v>377</v>
      </c>
      <c r="AC263" s="197" t="s">
        <v>114</v>
      </c>
      <c r="AD263" s="195"/>
      <c r="AE263" s="195"/>
      <c r="AF263" s="195">
        <v>0</v>
      </c>
      <c r="AG263" s="202"/>
      <c r="AH263" s="202"/>
      <c r="AI263" s="195" t="e">
        <f>SUMIF([2]Транспортировка!$Z102:$Z103,"×",[2]Транспортировка!AF102:AF103)</f>
        <v>#VALUE!</v>
      </c>
      <c r="AJ263" s="202"/>
      <c r="AK263" s="202"/>
      <c r="AL263" s="202"/>
      <c r="AM263" s="202"/>
      <c r="AN263" s="203">
        <f t="array" ref="AN263">[2]Транспортировка!AH93</f>
        <v>0</v>
      </c>
      <c r="AO263" s="195">
        <v>0</v>
      </c>
      <c r="AP263" s="202"/>
      <c r="AQ263" s="202"/>
      <c r="AR263" s="195" t="e">
        <f>SUMIF([2]Транспортировка!$Z102:$Z103,"×",[2]Транспортировка!AJ102:AJ103)</f>
        <v>#VALUE!</v>
      </c>
      <c r="AS263" s="202"/>
      <c r="AT263" s="202"/>
      <c r="AU263" s="203">
        <f t="array" ref="AU263">[2]Транспортировка!AM93</f>
        <v>0</v>
      </c>
      <c r="AV263" s="195">
        <v>0</v>
      </c>
      <c r="AW263" s="202"/>
      <c r="AX263" s="202"/>
      <c r="AY263" s="195" t="e">
        <f>SUMIF([2]Транспортировка!$Z102:$Z103,"×",[2]Транспортировка!AO102:AO103)</f>
        <v>#VALUE!</v>
      </c>
      <c r="AZ263" s="202"/>
      <c r="BA263" s="202"/>
      <c r="BB263" s="90"/>
      <c r="BC263" s="90"/>
      <c r="BD263" s="90"/>
      <c r="BE263" s="227" t="e">
        <f t="shared" si="5"/>
        <v>#VALUE!</v>
      </c>
      <c r="BF263" s="227" t="e">
        <f t="array" ref="BF263">#REF!</f>
        <v>#REF!</v>
      </c>
      <c r="BG263" s="92"/>
      <c r="BH263" s="92"/>
      <c r="BI263" s="92"/>
      <c r="BJ263" s="92"/>
      <c r="BK263" s="92"/>
      <c r="BL263" s="92"/>
      <c r="BM263" s="92"/>
    </row>
    <row r="264" spans="1:66" ht="14.25" customHeight="1" outlineLevel="4" x14ac:dyDescent="0.25">
      <c r="C264" s="2" t="s">
        <v>84</v>
      </c>
      <c r="D264" s="2" t="s">
        <v>85</v>
      </c>
      <c r="E264" s="2" t="s">
        <v>74</v>
      </c>
      <c r="F264" s="2" t="s">
        <v>75</v>
      </c>
      <c r="G264" s="2" t="s">
        <v>378</v>
      </c>
      <c r="H264" s="2" t="s">
        <v>74</v>
      </c>
      <c r="I264" s="2" t="s">
        <v>74</v>
      </c>
      <c r="J264" s="2" t="s">
        <v>74</v>
      </c>
      <c r="K264" s="5" t="s">
        <v>74</v>
      </c>
      <c r="L264" s="2" t="s">
        <v>370</v>
      </c>
      <c r="M264" s="8" t="str">
        <f t="array" ref="M264">Y107</f>
        <v>1ХВС::1.1</v>
      </c>
      <c r="Y264" s="2">
        <f>COUNT($Y259:Y263)+1</f>
        <v>5</v>
      </c>
      <c r="AA264" s="107" t="str">
        <f>AA$259&amp;"."&amp;Y264</f>
        <v>3.1.3.1.5</v>
      </c>
      <c r="AB264" s="233" t="s">
        <v>379</v>
      </c>
      <c r="AC264" s="197" t="s">
        <v>114</v>
      </c>
      <c r="AD264" s="136">
        <v>20014.07</v>
      </c>
      <c r="AE264" s="136">
        <v>20582.600910000001</v>
      </c>
      <c r="AF264" s="195">
        <v>21794.6488002113</v>
      </c>
      <c r="AG264" s="202"/>
      <c r="AH264" s="202"/>
      <c r="AI264" s="136">
        <v>21794.6488002113</v>
      </c>
      <c r="AJ264" s="202"/>
      <c r="AK264" s="202"/>
      <c r="AL264" s="202"/>
      <c r="AM264" s="202"/>
      <c r="AN264" s="203">
        <f t="array" ref="AN264">'[2]Покупка воды'!AH93</f>
        <v>23562.984</v>
      </c>
      <c r="AO264" s="195">
        <v>30349.401922000001</v>
      </c>
      <c r="AP264" s="202"/>
      <c r="AQ264" s="202"/>
      <c r="AR264" s="136">
        <v>30349.401922000001</v>
      </c>
      <c r="AS264" s="202"/>
      <c r="AT264" s="202"/>
      <c r="AU264" s="203">
        <f t="array" ref="AU264">'[2]Покупка воды'!AM93</f>
        <v>0</v>
      </c>
      <c r="AV264" s="195">
        <v>32063.498645224001</v>
      </c>
      <c r="AW264" s="202"/>
      <c r="AX264" s="202"/>
      <c r="AY264" s="136">
        <v>32063.498645224001</v>
      </c>
      <c r="AZ264" s="202"/>
      <c r="BA264" s="202"/>
      <c r="BB264" s="85"/>
      <c r="BC264" s="85"/>
      <c r="BD264" s="85"/>
      <c r="BE264" s="99">
        <f t="shared" si="5"/>
        <v>232574.75364487059</v>
      </c>
      <c r="BF264" s="99" t="e">
        <f t="array" ref="BF264">#REF!</f>
        <v>#REF!</v>
      </c>
      <c r="BG264" s="101"/>
      <c r="BH264" s="101"/>
      <c r="BI264" s="101"/>
      <c r="BJ264" s="101"/>
      <c r="BK264" s="101"/>
      <c r="BL264" s="101"/>
      <c r="BM264" s="101"/>
    </row>
    <row r="265" spans="1:66" ht="14.25" hidden="1" customHeight="1" outlineLevel="4" x14ac:dyDescent="0.25">
      <c r="A265" s="81" t="b">
        <f>$AC$52="да"</f>
        <v>0</v>
      </c>
      <c r="B265" s="8" t="b">
        <f t="array" ref="B265">A265</f>
        <v>0</v>
      </c>
      <c r="C265" s="2" t="s">
        <v>84</v>
      </c>
      <c r="D265" s="2" t="s">
        <v>85</v>
      </c>
      <c r="E265" s="2" t="s">
        <v>74</v>
      </c>
      <c r="F265" s="2" t="s">
        <v>75</v>
      </c>
      <c r="G265" s="2" t="s">
        <v>380</v>
      </c>
      <c r="H265" s="2" t="s">
        <v>74</v>
      </c>
      <c r="I265" s="2" t="s">
        <v>74</v>
      </c>
      <c r="J265" s="2" t="s">
        <v>74</v>
      </c>
      <c r="K265" s="5" t="s">
        <v>74</v>
      </c>
      <c r="L265" s="2" t="s">
        <v>370</v>
      </c>
      <c r="M265" s="8" t="str">
        <f t="array" ref="M265">Y107</f>
        <v>1ХВС::1.1</v>
      </c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2">
        <f>COUNT($Y259:Y264)+1</f>
        <v>6</v>
      </c>
      <c r="Z265" s="15"/>
      <c r="AA265" s="167"/>
      <c r="AB265" s="234"/>
      <c r="AC265" s="211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62"/>
      <c r="BC265" s="62"/>
      <c r="BD265" s="62"/>
      <c r="BE265" s="170"/>
      <c r="BF265" s="170"/>
      <c r="BG265" s="68"/>
      <c r="BH265" s="68"/>
      <c r="BI265" s="68"/>
      <c r="BJ265" s="68"/>
      <c r="BK265" s="68"/>
      <c r="BL265" s="68"/>
      <c r="BM265" s="68"/>
      <c r="BN265" s="15"/>
    </row>
    <row r="266" spans="1:66" ht="14.25" hidden="1" customHeight="1" outlineLevel="4" x14ac:dyDescent="0.25">
      <c r="A266" s="81" t="b">
        <f t="array" ref="A266">A265</f>
        <v>0</v>
      </c>
      <c r="B266" s="8" t="b">
        <f t="array" ref="B266">A266</f>
        <v>0</v>
      </c>
      <c r="C266" s="2" t="s">
        <v>84</v>
      </c>
      <c r="D266" s="2" t="s">
        <v>85</v>
      </c>
      <c r="E266" s="2" t="s">
        <v>74</v>
      </c>
      <c r="F266" s="2" t="s">
        <v>75</v>
      </c>
      <c r="G266" s="2" t="s">
        <v>381</v>
      </c>
      <c r="H266" s="2" t="s">
        <v>74</v>
      </c>
      <c r="I266" s="2" t="s">
        <v>74</v>
      </c>
      <c r="J266" s="2" t="s">
        <v>74</v>
      </c>
      <c r="K266" s="5" t="s">
        <v>74</v>
      </c>
      <c r="L266" s="2" t="s">
        <v>370</v>
      </c>
      <c r="M266" s="8" t="str">
        <f t="array" ref="M266">Y107</f>
        <v>1ХВС::1.1</v>
      </c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2">
        <f>COUNT($Y259:Y265)+1</f>
        <v>7</v>
      </c>
      <c r="Z266" s="15"/>
      <c r="AA266" s="167"/>
      <c r="AB266" s="234"/>
      <c r="AC266" s="211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62"/>
      <c r="BC266" s="62"/>
      <c r="BD266" s="62"/>
      <c r="BE266" s="170"/>
      <c r="BF266" s="170"/>
      <c r="BG266" s="68"/>
      <c r="BH266" s="68"/>
      <c r="BI266" s="68"/>
      <c r="BJ266" s="68"/>
      <c r="BK266" s="68"/>
      <c r="BL266" s="68"/>
      <c r="BM266" s="68"/>
      <c r="BN266" s="15"/>
    </row>
    <row r="267" spans="1:66" ht="14.25" hidden="1" customHeight="1" outlineLevel="4" x14ac:dyDescent="0.25">
      <c r="A267" s="81" t="b">
        <f t="array" ref="A267">A266</f>
        <v>0</v>
      </c>
      <c r="B267" s="8" t="b">
        <f t="array" ref="B267">A267</f>
        <v>0</v>
      </c>
      <c r="C267" s="2" t="s">
        <v>84</v>
      </c>
      <c r="D267" s="2" t="s">
        <v>85</v>
      </c>
      <c r="E267" s="2" t="s">
        <v>74</v>
      </c>
      <c r="F267" s="2" t="s">
        <v>75</v>
      </c>
      <c r="G267" s="2" t="s">
        <v>382</v>
      </c>
      <c r="H267" s="2" t="s">
        <v>74</v>
      </c>
      <c r="I267" s="2" t="s">
        <v>74</v>
      </c>
      <c r="J267" s="2" t="s">
        <v>74</v>
      </c>
      <c r="K267" s="5" t="s">
        <v>74</v>
      </c>
      <c r="L267" s="2" t="s">
        <v>370</v>
      </c>
      <c r="M267" s="8" t="str">
        <f t="array" ref="M267">Y107</f>
        <v>1ХВС::1.1</v>
      </c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2">
        <f>COUNT($Y259:Y266)+1</f>
        <v>8</v>
      </c>
      <c r="Z267" s="15"/>
      <c r="AA267" s="167"/>
      <c r="AB267" s="234"/>
      <c r="AC267" s="211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62"/>
      <c r="BC267" s="62"/>
      <c r="BD267" s="62"/>
      <c r="BE267" s="170"/>
      <c r="BF267" s="170"/>
      <c r="BG267" s="68"/>
      <c r="BH267" s="68"/>
      <c r="BI267" s="68"/>
      <c r="BJ267" s="68"/>
      <c r="BK267" s="68"/>
      <c r="BL267" s="68"/>
      <c r="BM267" s="68"/>
      <c r="BN267" s="15"/>
    </row>
    <row r="268" spans="1:66" ht="14.25" hidden="1" customHeight="1" outlineLevel="4" x14ac:dyDescent="0.25">
      <c r="A268" s="81" t="b">
        <f t="array" ref="A268">A267</f>
        <v>0</v>
      </c>
      <c r="B268" s="8" t="b">
        <f t="array" ref="B268">A268</f>
        <v>0</v>
      </c>
      <c r="C268" s="2" t="s">
        <v>84</v>
      </c>
      <c r="D268" s="2" t="s">
        <v>85</v>
      </c>
      <c r="E268" s="2" t="s">
        <v>74</v>
      </c>
      <c r="F268" s="2" t="s">
        <v>75</v>
      </c>
      <c r="G268" s="2" t="s">
        <v>383</v>
      </c>
      <c r="H268" s="2" t="s">
        <v>74</v>
      </c>
      <c r="I268" s="2" t="s">
        <v>74</v>
      </c>
      <c r="J268" s="2" t="s">
        <v>74</v>
      </c>
      <c r="K268" s="5" t="s">
        <v>74</v>
      </c>
      <c r="L268" s="2" t="s">
        <v>370</v>
      </c>
      <c r="M268" s="8" t="str">
        <f t="array" ref="M268">Y107</f>
        <v>1ХВС::1.1</v>
      </c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2">
        <f>COUNT($Y259:Y267)+1</f>
        <v>9</v>
      </c>
      <c r="Z268" s="15"/>
      <c r="AA268" s="167"/>
      <c r="AB268" s="234"/>
      <c r="AC268" s="211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62"/>
      <c r="BC268" s="62"/>
      <c r="BD268" s="62"/>
      <c r="BE268" s="170"/>
      <c r="BF268" s="170"/>
      <c r="BG268" s="68"/>
      <c r="BH268" s="68"/>
      <c r="BI268" s="68"/>
      <c r="BJ268" s="68"/>
      <c r="BK268" s="68"/>
      <c r="BL268" s="68"/>
      <c r="BM268" s="68"/>
      <c r="BN268" s="15"/>
    </row>
    <row r="269" spans="1:66" ht="14.25" hidden="1" customHeight="1" outlineLevel="4" x14ac:dyDescent="0.25">
      <c r="A269" s="81" t="b">
        <f t="array" ref="A269">A268</f>
        <v>0</v>
      </c>
      <c r="B269" s="8" t="b">
        <f t="array" ref="B269">A269</f>
        <v>0</v>
      </c>
      <c r="C269" s="2" t="s">
        <v>84</v>
      </c>
      <c r="D269" s="2" t="s">
        <v>85</v>
      </c>
      <c r="E269" s="2" t="s">
        <v>74</v>
      </c>
      <c r="F269" s="2" t="s">
        <v>75</v>
      </c>
      <c r="G269" s="2" t="s">
        <v>384</v>
      </c>
      <c r="H269" s="2" t="s">
        <v>74</v>
      </c>
      <c r="I269" s="2" t="s">
        <v>74</v>
      </c>
      <c r="J269" s="2" t="s">
        <v>74</v>
      </c>
      <c r="K269" s="5" t="s">
        <v>74</v>
      </c>
      <c r="L269" s="2" t="s">
        <v>370</v>
      </c>
      <c r="M269" s="8" t="str">
        <f t="array" ref="M269">Y107</f>
        <v>1ХВС::1.1</v>
      </c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2">
        <f>COUNT($Y259:Y268)+1</f>
        <v>10</v>
      </c>
      <c r="Z269" s="15"/>
      <c r="AA269" s="167"/>
      <c r="AB269" s="234"/>
      <c r="AC269" s="211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62"/>
      <c r="BC269" s="62"/>
      <c r="BD269" s="62"/>
      <c r="BE269" s="170"/>
      <c r="BF269" s="170"/>
      <c r="BG269" s="68"/>
      <c r="BH269" s="68"/>
      <c r="BI269" s="68"/>
      <c r="BJ269" s="68"/>
      <c r="BK269" s="68"/>
      <c r="BL269" s="68"/>
      <c r="BM269" s="68"/>
      <c r="BN269" s="15"/>
    </row>
    <row r="270" spans="1:66" ht="14.25" customHeight="1" outlineLevel="4" x14ac:dyDescent="0.25">
      <c r="C270" s="2" t="s">
        <v>84</v>
      </c>
      <c r="D270" s="2" t="s">
        <v>85</v>
      </c>
      <c r="E270" s="2" t="s">
        <v>74</v>
      </c>
      <c r="F270" s="2" t="s">
        <v>75</v>
      </c>
      <c r="G270" s="2" t="s">
        <v>385</v>
      </c>
      <c r="H270" s="2" t="s">
        <v>74</v>
      </c>
      <c r="I270" s="2" t="s">
        <v>74</v>
      </c>
      <c r="J270" s="2" t="s">
        <v>74</v>
      </c>
      <c r="K270" s="5" t="s">
        <v>74</v>
      </c>
      <c r="L270" s="2" t="s">
        <v>370</v>
      </c>
      <c r="M270" s="8" t="str">
        <f t="array" ref="M270">Y107</f>
        <v>1ХВС::1.1</v>
      </c>
      <c r="Y270" s="2">
        <f>COUNT($Y259:Y269)+1</f>
        <v>11</v>
      </c>
      <c r="AA270" s="107" t="str">
        <f>AA$259&amp;"."&amp;Y270</f>
        <v>3.1.3.1.11</v>
      </c>
      <c r="AB270" s="233" t="s">
        <v>386</v>
      </c>
      <c r="AC270" s="197" t="s">
        <v>114</v>
      </c>
      <c r="AD270" s="136"/>
      <c r="AE270" s="136"/>
      <c r="AF270" s="195">
        <v>0</v>
      </c>
      <c r="AG270" s="202"/>
      <c r="AH270" s="202"/>
      <c r="AI270" s="136" t="e">
        <f>SUMIF('[2]Оплата услуг ВО'!$Z$102:$Z$103,"×",'[2]Оплата услуг ВО'!AF$102:AF$103)</f>
        <v>#VALUE!</v>
      </c>
      <c r="AJ270" s="202"/>
      <c r="AK270" s="202"/>
      <c r="AL270" s="202"/>
      <c r="AM270" s="202"/>
      <c r="AN270" s="203">
        <f t="array" ref="AN270">'[2]Оплата услуг ВО'!AH93</f>
        <v>0</v>
      </c>
      <c r="AO270" s="195">
        <v>0</v>
      </c>
      <c r="AP270" s="202"/>
      <c r="AQ270" s="202"/>
      <c r="AR270" s="136" t="e">
        <f>SUMIF('[2]Оплата услуг ВО'!$Z$102:$Z$103,"×",'[2]Оплата услуг ВО'!AJ$102:AJ$103)</f>
        <v>#VALUE!</v>
      </c>
      <c r="AS270" s="202"/>
      <c r="AT270" s="202"/>
      <c r="AU270" s="203">
        <f t="array" ref="AU270">'[2]Оплата услуг ВО'!AM93</f>
        <v>0</v>
      </c>
      <c r="AV270" s="195">
        <v>0</v>
      </c>
      <c r="AW270" s="202"/>
      <c r="AX270" s="202"/>
      <c r="AY270" s="136" t="e">
        <f>SUMIF('[2]Оплата услуг ВО'!$Z$102:$Z$103,"×",'[2]Оплата услуг ВО'!AO$102:AO$103)</f>
        <v>#VALUE!</v>
      </c>
      <c r="AZ270" s="202"/>
      <c r="BA270" s="202"/>
      <c r="BB270" s="85"/>
      <c r="BC270" s="85"/>
      <c r="BD270" s="85"/>
      <c r="BE270" s="99" t="e">
        <f>SUM(AD270:BA270)</f>
        <v>#VALUE!</v>
      </c>
      <c r="BF270" s="99" t="e">
        <f t="array" ref="BF270">#REF!</f>
        <v>#REF!</v>
      </c>
      <c r="BG270" s="101"/>
      <c r="BH270" s="101"/>
      <c r="BI270" s="101"/>
      <c r="BJ270" s="101"/>
      <c r="BK270" s="101"/>
      <c r="BL270" s="101"/>
      <c r="BM270" s="101"/>
    </row>
    <row r="271" spans="1:66" ht="14.25" hidden="1" customHeight="1" outlineLevel="4" x14ac:dyDescent="0.25">
      <c r="A271" s="81" t="b">
        <f>OR($AC$52="да",$U107&lt;&gt;"Водоснабжение")</f>
        <v>0</v>
      </c>
      <c r="B271" s="8" t="b">
        <f t="array" ref="B271">A271</f>
        <v>0</v>
      </c>
      <c r="C271" s="2" t="s">
        <v>84</v>
      </c>
      <c r="D271" s="2" t="s">
        <v>85</v>
      </c>
      <c r="E271" s="2" t="s">
        <v>74</v>
      </c>
      <c r="F271" s="2" t="s">
        <v>75</v>
      </c>
      <c r="G271" s="2" t="s">
        <v>387</v>
      </c>
      <c r="H271" s="2" t="s">
        <v>74</v>
      </c>
      <c r="I271" s="2" t="s">
        <v>74</v>
      </c>
      <c r="J271" s="2" t="s">
        <v>74</v>
      </c>
      <c r="K271" s="5" t="s">
        <v>74</v>
      </c>
      <c r="L271" s="2" t="s">
        <v>370</v>
      </c>
      <c r="M271" s="8" t="str">
        <f t="array" ref="M271">Y107</f>
        <v>1ХВС::1.1</v>
      </c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2">
        <f>COUNT($Y259:Y270)+1</f>
        <v>12</v>
      </c>
      <c r="Z271" s="15"/>
      <c r="AA271" s="167"/>
      <c r="AB271" s="234"/>
      <c r="AC271" s="211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12"/>
      <c r="AO271" s="202"/>
      <c r="AP271" s="202"/>
      <c r="AQ271" s="202"/>
      <c r="AR271" s="202"/>
      <c r="AS271" s="202"/>
      <c r="AT271" s="202"/>
      <c r="AU271" s="212"/>
      <c r="AV271" s="202"/>
      <c r="AW271" s="202"/>
      <c r="AX271" s="202"/>
      <c r="AY271" s="202"/>
      <c r="AZ271" s="202"/>
      <c r="BA271" s="202"/>
      <c r="BB271" s="62"/>
      <c r="BC271" s="62"/>
      <c r="BD271" s="62"/>
      <c r="BE271" s="170"/>
      <c r="BF271" s="170"/>
      <c r="BG271" s="68"/>
      <c r="BH271" s="68"/>
      <c r="BI271" s="68"/>
      <c r="BJ271" s="68"/>
      <c r="BK271" s="68"/>
      <c r="BL271" s="68"/>
      <c r="BM271" s="68"/>
      <c r="BN271" s="15"/>
    </row>
    <row r="272" spans="1:66" ht="14.25" customHeight="1" outlineLevel="3" x14ac:dyDescent="0.25">
      <c r="C272" s="2" t="s">
        <v>84</v>
      </c>
      <c r="D272" s="2" t="s">
        <v>85</v>
      </c>
      <c r="E272" s="2" t="s">
        <v>74</v>
      </c>
      <c r="F272" s="2" t="s">
        <v>75</v>
      </c>
      <c r="G272" s="2" t="s">
        <v>388</v>
      </c>
      <c r="H272" s="2" t="s">
        <v>74</v>
      </c>
      <c r="I272" s="2" t="s">
        <v>74</v>
      </c>
      <c r="J272" s="2" t="s">
        <v>74</v>
      </c>
      <c r="K272" s="5" t="s">
        <v>74</v>
      </c>
      <c r="L272" s="2" t="s">
        <v>370</v>
      </c>
      <c r="M272" s="8" t="str">
        <f t="array" ref="M272">Y107</f>
        <v>1ХВС::1.1</v>
      </c>
      <c r="AA272" s="206" t="str">
        <f>AA258&amp;".2"</f>
        <v>3.1.3.2</v>
      </c>
      <c r="AB272" s="196" t="s">
        <v>389</v>
      </c>
      <c r="AC272" s="197" t="s">
        <v>114</v>
      </c>
      <c r="AD272" s="173">
        <v>0</v>
      </c>
      <c r="AE272" s="173">
        <v>0</v>
      </c>
      <c r="AF272" s="173">
        <v>0</v>
      </c>
      <c r="AG272" s="202"/>
      <c r="AH272" s="202"/>
      <c r="AI272" s="173">
        <f>0</f>
        <v>0</v>
      </c>
      <c r="AJ272" s="202"/>
      <c r="AK272" s="202"/>
      <c r="AL272" s="202"/>
      <c r="AM272" s="202"/>
      <c r="AN272" s="203">
        <f>IF(AN87,0,'[2]СиМ (детально)'!AK94)</f>
        <v>0</v>
      </c>
      <c r="AO272" s="201">
        <v>150412.921610697</v>
      </c>
      <c r="AP272" s="202"/>
      <c r="AQ272" s="202"/>
      <c r="AR272" s="200">
        <v>150412.921610697</v>
      </c>
      <c r="AS272" s="202"/>
      <c r="AT272" s="202"/>
      <c r="AU272" s="203">
        <f t="array" ref="AU272">IF(AU87,0,'[2]СиМ (детально)'!AP94)</f>
        <v>0</v>
      </c>
      <c r="AV272" s="201">
        <v>159718.50904203899</v>
      </c>
      <c r="AW272" s="202"/>
      <c r="AX272" s="202"/>
      <c r="AY272" s="200">
        <v>159718.50904203899</v>
      </c>
      <c r="AZ272" s="202"/>
      <c r="BA272" s="202"/>
      <c r="BB272" s="85"/>
      <c r="BC272" s="85"/>
      <c r="BD272" s="85"/>
      <c r="BE272" s="99">
        <f t="shared" ref="BE272:BE307" si="6">SUM(AD272:BA272)</f>
        <v>620262.86130547198</v>
      </c>
      <c r="BF272" s="99" t="e">
        <f t="array" ref="BF272">#REF!</f>
        <v>#REF!</v>
      </c>
      <c r="BG272" s="101"/>
      <c r="BH272" s="101"/>
      <c r="BI272" s="101"/>
      <c r="BJ272" s="101"/>
      <c r="BK272" s="101"/>
      <c r="BL272" s="101"/>
      <c r="BM272" s="101"/>
    </row>
    <row r="273" spans="1:65" ht="14.25" customHeight="1" outlineLevel="3" x14ac:dyDescent="0.25">
      <c r="C273" s="2" t="s">
        <v>84</v>
      </c>
      <c r="D273" s="2" t="s">
        <v>85</v>
      </c>
      <c r="E273" s="2" t="s">
        <v>74</v>
      </c>
      <c r="F273" s="2" t="s">
        <v>75</v>
      </c>
      <c r="G273" s="2" t="s">
        <v>390</v>
      </c>
      <c r="H273" s="2" t="s">
        <v>74</v>
      </c>
      <c r="I273" s="2" t="s">
        <v>74</v>
      </c>
      <c r="J273" s="2" t="s">
        <v>74</v>
      </c>
      <c r="K273" s="5" t="s">
        <v>74</v>
      </c>
      <c r="L273" s="2" t="s">
        <v>370</v>
      </c>
      <c r="M273" s="8" t="str">
        <f t="array" ref="M273">Y107</f>
        <v>1ХВС::1.1</v>
      </c>
      <c r="AA273" s="206" t="str">
        <f>AA258&amp;".3"</f>
        <v>3.1.3.3</v>
      </c>
      <c r="AB273" s="196" t="s">
        <v>391</v>
      </c>
      <c r="AC273" s="197" t="s">
        <v>114</v>
      </c>
      <c r="AD273" s="173">
        <v>78843.25</v>
      </c>
      <c r="AE273" s="173">
        <v>75961.578055531296</v>
      </c>
      <c r="AF273" s="173">
        <v>82240.755720384099</v>
      </c>
      <c r="AG273" s="174"/>
      <c r="AH273" s="174"/>
      <c r="AI273" s="173">
        <f>AI274+AI275+AI276+AI277+AI278+AI279+AI280+AI281+AI282</f>
        <v>82240.755720384099</v>
      </c>
      <c r="AJ273" s="174"/>
      <c r="AK273" s="174"/>
      <c r="AL273" s="174"/>
      <c r="AM273" s="174"/>
      <c r="AN273" s="173" t="e">
        <f>AN274+AN275+AN276+AN277+AN278+AN279+AN280+AN281+AN282</f>
        <v>#REF!</v>
      </c>
      <c r="AO273" s="173">
        <v>84863.307244857511</v>
      </c>
      <c r="AP273" s="174"/>
      <c r="AQ273" s="174"/>
      <c r="AR273" s="173">
        <f>AR274+AR275+AR276+AR277+AR278+AR279+AR280+AR281+AR282</f>
        <v>84863.307244857511</v>
      </c>
      <c r="AS273" s="174"/>
      <c r="AT273" s="174"/>
      <c r="AU273" s="173" t="e">
        <f>AU274+AU275+AU276+AU277+AU278+AU279+AU280+AU281+AU282</f>
        <v>#REF!</v>
      </c>
      <c r="AV273" s="173">
        <v>89617.423506527717</v>
      </c>
      <c r="AW273" s="174"/>
      <c r="AX273" s="174"/>
      <c r="AY273" s="173">
        <f>AY274+AY275+AY276+AY277+AY278+AY279+AY280+AY281+AY282</f>
        <v>89617.423506527717</v>
      </c>
      <c r="AZ273" s="174"/>
      <c r="BA273" s="174"/>
      <c r="BB273" s="85"/>
      <c r="BC273" s="85"/>
      <c r="BD273" s="85"/>
      <c r="BE273" s="99" t="e">
        <f t="shared" si="6"/>
        <v>#REF!</v>
      </c>
      <c r="BF273" s="100" t="e">
        <f>BF274+BF275+BF276+BF277+BF278+BF279+BF280+BF281+BF282</f>
        <v>#REF!</v>
      </c>
      <c r="BG273" s="101"/>
      <c r="BH273" s="101"/>
      <c r="BI273" s="101"/>
      <c r="BJ273" s="101"/>
      <c r="BK273" s="101"/>
      <c r="BL273" s="101"/>
      <c r="BM273" s="101"/>
    </row>
    <row r="274" spans="1:65" ht="14.25" customHeight="1" outlineLevel="4" x14ac:dyDescent="0.25">
      <c r="C274" s="2" t="s">
        <v>84</v>
      </c>
      <c r="D274" s="2" t="s">
        <v>85</v>
      </c>
      <c r="E274" s="2" t="s">
        <v>74</v>
      </c>
      <c r="F274" s="2" t="s">
        <v>75</v>
      </c>
      <c r="G274" s="2" t="s">
        <v>392</v>
      </c>
      <c r="H274" s="2" t="s">
        <v>74</v>
      </c>
      <c r="I274" s="2" t="s">
        <v>74</v>
      </c>
      <c r="J274" s="2" t="s">
        <v>74</v>
      </c>
      <c r="K274" s="5" t="s">
        <v>74</v>
      </c>
      <c r="L274" s="2" t="s">
        <v>370</v>
      </c>
      <c r="M274" s="8" t="str">
        <f t="array" ref="M274">Y107</f>
        <v>1ХВС::1.1</v>
      </c>
      <c r="Y274" s="2">
        <v>1</v>
      </c>
      <c r="AA274" s="107" t="str">
        <f t="shared" ref="AA274:AA282" si="7">AA$273&amp;"."&amp;Y274</f>
        <v>3.1.3.3.1</v>
      </c>
      <c r="AB274" s="233" t="s">
        <v>392</v>
      </c>
      <c r="AC274" s="197" t="s">
        <v>114</v>
      </c>
      <c r="AD274" s="136"/>
      <c r="AE274" s="136"/>
      <c r="AF274" s="195"/>
      <c r="AG274" s="202"/>
      <c r="AH274" s="202"/>
      <c r="AI274" s="136">
        <f t="array" ref="AI274">AF274</f>
        <v>0</v>
      </c>
      <c r="AJ274" s="202"/>
      <c r="AK274" s="202"/>
      <c r="AL274" s="202"/>
      <c r="AM274" s="202"/>
      <c r="AN274" s="203">
        <f t="array" ref="AN274">[2]Налоги!AG131</f>
        <v>0</v>
      </c>
      <c r="AO274" s="195"/>
      <c r="AP274" s="202"/>
      <c r="AQ274" s="202"/>
      <c r="AR274" s="136">
        <f t="array" ref="AR274">AO274</f>
        <v>0</v>
      </c>
      <c r="AS274" s="202"/>
      <c r="AT274" s="202"/>
      <c r="AU274" s="203">
        <f t="array" ref="AU274">[2]Налоги!AL131</f>
        <v>0</v>
      </c>
      <c r="AV274" s="195"/>
      <c r="AW274" s="202"/>
      <c r="AX274" s="202"/>
      <c r="AY274" s="136">
        <f t="array" ref="AY274">AV274</f>
        <v>0</v>
      </c>
      <c r="AZ274" s="202"/>
      <c r="BA274" s="202"/>
      <c r="BB274" s="85"/>
      <c r="BC274" s="85"/>
      <c r="BD274" s="85"/>
      <c r="BE274" s="99">
        <f t="shared" si="6"/>
        <v>0</v>
      </c>
      <c r="BF274" s="99" t="e">
        <f t="array" ref="BF274">#REF!</f>
        <v>#REF!</v>
      </c>
      <c r="BG274" s="101"/>
      <c r="BH274" s="101"/>
      <c r="BI274" s="101"/>
      <c r="BJ274" s="101"/>
      <c r="BK274" s="101"/>
      <c r="BL274" s="101"/>
      <c r="BM274" s="101"/>
    </row>
    <row r="275" spans="1:65" ht="14.25" customHeight="1" outlineLevel="4" x14ac:dyDescent="0.25">
      <c r="C275" s="2" t="s">
        <v>84</v>
      </c>
      <c r="D275" s="2" t="s">
        <v>85</v>
      </c>
      <c r="E275" s="2" t="s">
        <v>74</v>
      </c>
      <c r="F275" s="2" t="s">
        <v>75</v>
      </c>
      <c r="G275" s="2" t="s">
        <v>393</v>
      </c>
      <c r="H275" s="2" t="s">
        <v>74</v>
      </c>
      <c r="I275" s="2" t="s">
        <v>74</v>
      </c>
      <c r="J275" s="2" t="s">
        <v>74</v>
      </c>
      <c r="K275" s="5" t="s">
        <v>74</v>
      </c>
      <c r="L275" s="2" t="s">
        <v>370</v>
      </c>
      <c r="M275" s="8" t="str">
        <f t="array" ref="M275">Y107</f>
        <v>1ХВС::1.1</v>
      </c>
      <c r="Y275" s="2">
        <f>COUNT($Y274:Y274)+1</f>
        <v>2</v>
      </c>
      <c r="AA275" s="107" t="str">
        <f t="shared" si="7"/>
        <v>3.1.3.3.2</v>
      </c>
      <c r="AB275" s="233" t="s">
        <v>393</v>
      </c>
      <c r="AC275" s="197" t="s">
        <v>114</v>
      </c>
      <c r="AD275" s="136">
        <v>54000</v>
      </c>
      <c r="AE275" s="136">
        <v>60656.161999999997</v>
      </c>
      <c r="AF275" s="195">
        <v>57721.33</v>
      </c>
      <c r="AG275" s="202"/>
      <c r="AH275" s="202"/>
      <c r="AI275" s="136">
        <v>57721.33</v>
      </c>
      <c r="AJ275" s="202"/>
      <c r="AK275" s="202"/>
      <c r="AL275" s="202"/>
      <c r="AM275" s="202"/>
      <c r="AN275" s="203" t="e">
        <f t="array" ref="AN275">[2]Налоги!AG139</f>
        <v>#REF!</v>
      </c>
      <c r="AO275" s="195">
        <v>56597.622309999999</v>
      </c>
      <c r="AP275" s="202"/>
      <c r="AQ275" s="202"/>
      <c r="AR275" s="136">
        <v>56597.622309999999</v>
      </c>
      <c r="AS275" s="202"/>
      <c r="AT275" s="202"/>
      <c r="AU275" s="203" t="e">
        <f t="array" ref="AU275">[2]Налоги!AL139</f>
        <v>#REF!</v>
      </c>
      <c r="AV275" s="195">
        <v>56138.944130000003</v>
      </c>
      <c r="AW275" s="202"/>
      <c r="AX275" s="202"/>
      <c r="AY275" s="136">
        <v>56138.944130000003</v>
      </c>
      <c r="AZ275" s="202"/>
      <c r="BA275" s="202"/>
      <c r="BB275" s="85"/>
      <c r="BC275" s="85"/>
      <c r="BD275" s="85"/>
      <c r="BE275" s="99" t="e">
        <f t="shared" si="6"/>
        <v>#REF!</v>
      </c>
      <c r="BF275" s="99" t="e">
        <f t="array" ref="BF275">#REF!</f>
        <v>#REF!</v>
      </c>
      <c r="BG275" s="101"/>
      <c r="BH275" s="101"/>
      <c r="BI275" s="101"/>
      <c r="BJ275" s="101"/>
      <c r="BK275" s="101"/>
      <c r="BL275" s="101"/>
      <c r="BM275" s="101"/>
    </row>
    <row r="276" spans="1:65" ht="14.25" customHeight="1" outlineLevel="4" x14ac:dyDescent="0.25">
      <c r="C276" s="2" t="s">
        <v>84</v>
      </c>
      <c r="D276" s="2" t="s">
        <v>85</v>
      </c>
      <c r="E276" s="2" t="s">
        <v>74</v>
      </c>
      <c r="F276" s="2" t="s">
        <v>75</v>
      </c>
      <c r="G276" s="2" t="s">
        <v>394</v>
      </c>
      <c r="H276" s="2" t="s">
        <v>74</v>
      </c>
      <c r="I276" s="2" t="s">
        <v>74</v>
      </c>
      <c r="J276" s="2" t="s">
        <v>74</v>
      </c>
      <c r="K276" s="5" t="s">
        <v>74</v>
      </c>
      <c r="L276" s="2" t="s">
        <v>370</v>
      </c>
      <c r="M276" s="8" t="str">
        <f t="array" ref="M276">Y107</f>
        <v>1ХВС::1.1</v>
      </c>
      <c r="Y276" s="2">
        <f>COUNT($Y274:Y275)+1</f>
        <v>3</v>
      </c>
      <c r="AA276" s="107" t="str">
        <f t="shared" si="7"/>
        <v>3.1.3.3.3</v>
      </c>
      <c r="AB276" s="233" t="s">
        <v>394</v>
      </c>
      <c r="AC276" s="197" t="s">
        <v>114</v>
      </c>
      <c r="AD276" s="136">
        <v>8728.65</v>
      </c>
      <c r="AE276" s="136"/>
      <c r="AF276" s="195"/>
      <c r="AG276" s="202"/>
      <c r="AH276" s="202"/>
      <c r="AI276" s="136">
        <f t="array" ref="AI276">AF276</f>
        <v>0</v>
      </c>
      <c r="AJ276" s="202"/>
      <c r="AK276" s="202"/>
      <c r="AL276" s="202"/>
      <c r="AM276" s="202"/>
      <c r="AN276" s="203" t="e">
        <f t="array" ref="AN276">[2]Налоги!AG149</f>
        <v>#REF!</v>
      </c>
      <c r="AO276" s="195"/>
      <c r="AP276" s="202"/>
      <c r="AQ276" s="202"/>
      <c r="AR276" s="136">
        <f t="array" ref="AR276">AO276</f>
        <v>0</v>
      </c>
      <c r="AS276" s="202"/>
      <c r="AT276" s="202"/>
      <c r="AU276" s="203" t="e">
        <f t="array" ref="AU276">[2]Налоги!AL149</f>
        <v>#REF!</v>
      </c>
      <c r="AV276" s="195"/>
      <c r="AW276" s="202"/>
      <c r="AX276" s="202"/>
      <c r="AY276" s="136">
        <f t="array" ref="AY276">AV276</f>
        <v>0</v>
      </c>
      <c r="AZ276" s="202"/>
      <c r="BA276" s="202"/>
      <c r="BB276" s="85"/>
      <c r="BC276" s="85"/>
      <c r="BD276" s="85"/>
      <c r="BE276" s="99" t="e">
        <f t="shared" si="6"/>
        <v>#REF!</v>
      </c>
      <c r="BF276" s="99" t="e">
        <f t="array" ref="BF276">#REF!</f>
        <v>#REF!</v>
      </c>
      <c r="BG276" s="101"/>
      <c r="BH276" s="101"/>
      <c r="BI276" s="101"/>
      <c r="BJ276" s="101"/>
      <c r="BK276" s="101"/>
      <c r="BL276" s="101"/>
      <c r="BM276" s="101"/>
    </row>
    <row r="277" spans="1:65" ht="14.25" customHeight="1" outlineLevel="4" x14ac:dyDescent="0.25">
      <c r="A277" s="2" t="b">
        <f>$U107="Водоснабжение"</f>
        <v>1</v>
      </c>
      <c r="B277" s="8" t="b">
        <f t="array" ref="B277">A277</f>
        <v>1</v>
      </c>
      <c r="C277" s="2" t="s">
        <v>84</v>
      </c>
      <c r="D277" s="2" t="s">
        <v>85</v>
      </c>
      <c r="E277" s="2" t="s">
        <v>74</v>
      </c>
      <c r="F277" s="2" t="s">
        <v>75</v>
      </c>
      <c r="G277" s="2" t="s">
        <v>395</v>
      </c>
      <c r="H277" s="2" t="s">
        <v>74</v>
      </c>
      <c r="I277" s="2" t="s">
        <v>74</v>
      </c>
      <c r="J277" s="2" t="s">
        <v>74</v>
      </c>
      <c r="K277" s="5" t="s">
        <v>74</v>
      </c>
      <c r="L277" s="2" t="s">
        <v>370</v>
      </c>
      <c r="M277" s="8" t="str">
        <f t="array" ref="M277">Y107</f>
        <v>1ХВС::1.1</v>
      </c>
      <c r="Y277" s="2">
        <f>COUNT($Y274:Y276)+1</f>
        <v>4</v>
      </c>
      <c r="AA277" s="107" t="str">
        <f t="shared" si="7"/>
        <v>3.1.3.3.4</v>
      </c>
      <c r="AB277" s="233" t="s">
        <v>395</v>
      </c>
      <c r="AC277" s="197" t="s">
        <v>114</v>
      </c>
      <c r="AD277" s="195">
        <v>15576.21</v>
      </c>
      <c r="AE277" s="195">
        <v>14912.746055531299</v>
      </c>
      <c r="AF277" s="195">
        <v>24134.925720384101</v>
      </c>
      <c r="AG277" s="202"/>
      <c r="AH277" s="202"/>
      <c r="AI277" s="195">
        <v>24134.925720384101</v>
      </c>
      <c r="AJ277" s="202"/>
      <c r="AK277" s="202"/>
      <c r="AL277" s="202"/>
      <c r="AM277" s="202"/>
      <c r="AN277" s="203">
        <f t="array" ref="AN277">[2]Налоги!AG93</f>
        <v>6010.7759999999998</v>
      </c>
      <c r="AO277" s="195">
        <v>27790.344934857501</v>
      </c>
      <c r="AP277" s="202"/>
      <c r="AQ277" s="202"/>
      <c r="AR277" s="195">
        <v>27790.344934857501</v>
      </c>
      <c r="AS277" s="202"/>
      <c r="AT277" s="202"/>
      <c r="AU277" s="203">
        <f t="array" ref="AU277">[2]Налоги!AL93</f>
        <v>13158.379431447283</v>
      </c>
      <c r="AV277" s="195">
        <v>33003.139376527703</v>
      </c>
      <c r="AW277" s="202"/>
      <c r="AX277" s="202"/>
      <c r="AY277" s="195">
        <v>33003.139376527703</v>
      </c>
      <c r="AZ277" s="202"/>
      <c r="BA277" s="202"/>
      <c r="BB277" s="90"/>
      <c r="BC277" s="90"/>
      <c r="BD277" s="90"/>
      <c r="BE277" s="227">
        <f t="shared" si="6"/>
        <v>219514.93155051715</v>
      </c>
      <c r="BF277" s="227" t="e">
        <f t="array" ref="BF277">#REF!</f>
        <v>#REF!</v>
      </c>
      <c r="BG277" s="92"/>
      <c r="BH277" s="92"/>
      <c r="BI277" s="92"/>
      <c r="BJ277" s="92"/>
      <c r="BK277" s="92"/>
      <c r="BL277" s="92"/>
      <c r="BM277" s="92"/>
    </row>
    <row r="278" spans="1:65" ht="14.25" customHeight="1" outlineLevel="4" x14ac:dyDescent="0.25">
      <c r="A278" s="2" t="b">
        <f t="array" ref="A278">A277</f>
        <v>1</v>
      </c>
      <c r="B278" s="8" t="b">
        <f t="array" ref="B278">A278</f>
        <v>1</v>
      </c>
      <c r="C278" s="2" t="s">
        <v>84</v>
      </c>
      <c r="D278" s="2" t="s">
        <v>85</v>
      </c>
      <c r="E278" s="2" t="s">
        <v>74</v>
      </c>
      <c r="F278" s="2" t="s">
        <v>75</v>
      </c>
      <c r="G278" s="2" t="s">
        <v>396</v>
      </c>
      <c r="H278" s="2" t="s">
        <v>74</v>
      </c>
      <c r="I278" s="2" t="s">
        <v>74</v>
      </c>
      <c r="J278" s="2" t="s">
        <v>74</v>
      </c>
      <c r="K278" s="5" t="s">
        <v>74</v>
      </c>
      <c r="L278" s="2" t="s">
        <v>370</v>
      </c>
      <c r="M278" s="8" t="str">
        <f t="array" ref="M278">Y107</f>
        <v>1ХВС::1.1</v>
      </c>
      <c r="Y278" s="2">
        <f>COUNT($Y274:Y277)+1</f>
        <v>5</v>
      </c>
      <c r="AA278" s="107" t="str">
        <f t="shared" si="7"/>
        <v>3.1.3.3.5</v>
      </c>
      <c r="AB278" s="233" t="s">
        <v>396</v>
      </c>
      <c r="AC278" s="197" t="s">
        <v>114</v>
      </c>
      <c r="AD278" s="195"/>
      <c r="AE278" s="195"/>
      <c r="AF278" s="195"/>
      <c r="AG278" s="202"/>
      <c r="AH278" s="202"/>
      <c r="AI278" s="195">
        <f t="array" ref="AI278">AF278</f>
        <v>0</v>
      </c>
      <c r="AJ278" s="202"/>
      <c r="AK278" s="202"/>
      <c r="AL278" s="202"/>
      <c r="AM278" s="202"/>
      <c r="AN278" s="203">
        <f t="array" ref="AN278">[2]Налоги!AG163</f>
        <v>0</v>
      </c>
      <c r="AO278" s="195"/>
      <c r="AP278" s="202"/>
      <c r="AQ278" s="202"/>
      <c r="AR278" s="195">
        <f t="array" ref="AR278">AO278</f>
        <v>0</v>
      </c>
      <c r="AS278" s="202"/>
      <c r="AT278" s="202"/>
      <c r="AU278" s="203">
        <f t="array" ref="AU278">[2]Налоги!AL163</f>
        <v>0</v>
      </c>
      <c r="AV278" s="195"/>
      <c r="AW278" s="202"/>
      <c r="AX278" s="202"/>
      <c r="AY278" s="195">
        <f t="array" ref="AY278">AV278</f>
        <v>0</v>
      </c>
      <c r="AZ278" s="202"/>
      <c r="BA278" s="202"/>
      <c r="BB278" s="90"/>
      <c r="BC278" s="90"/>
      <c r="BD278" s="90"/>
      <c r="BE278" s="227">
        <f t="shared" si="6"/>
        <v>0</v>
      </c>
      <c r="BF278" s="227" t="e">
        <f t="array" ref="BF278">#REF!</f>
        <v>#REF!</v>
      </c>
      <c r="BG278" s="92"/>
      <c r="BH278" s="92"/>
      <c r="BI278" s="92"/>
      <c r="BJ278" s="92"/>
      <c r="BK278" s="92"/>
      <c r="BL278" s="92"/>
      <c r="BM278" s="92"/>
    </row>
    <row r="279" spans="1:65" ht="14.25" customHeight="1" outlineLevel="4" x14ac:dyDescent="0.25">
      <c r="C279" s="2" t="s">
        <v>84</v>
      </c>
      <c r="D279" s="2" t="s">
        <v>85</v>
      </c>
      <c r="E279" s="2" t="s">
        <v>74</v>
      </c>
      <c r="F279" s="2" t="s">
        <v>75</v>
      </c>
      <c r="G279" s="2" t="s">
        <v>397</v>
      </c>
      <c r="H279" s="2" t="s">
        <v>74</v>
      </c>
      <c r="I279" s="2" t="s">
        <v>74</v>
      </c>
      <c r="J279" s="2" t="s">
        <v>74</v>
      </c>
      <c r="K279" s="5" t="s">
        <v>74</v>
      </c>
      <c r="L279" s="2" t="s">
        <v>370</v>
      </c>
      <c r="M279" s="8" t="str">
        <f t="array" ref="M279">Y107</f>
        <v>1ХВС::1.1</v>
      </c>
      <c r="Y279" s="2">
        <f>COUNT($Y274:Y278)+1</f>
        <v>6</v>
      </c>
      <c r="AA279" s="107" t="str">
        <f t="shared" si="7"/>
        <v>3.1.3.3.6</v>
      </c>
      <c r="AB279" s="233" t="s">
        <v>397</v>
      </c>
      <c r="AC279" s="197" t="s">
        <v>114</v>
      </c>
      <c r="AD279" s="136">
        <v>496.2</v>
      </c>
      <c r="AE279" s="136">
        <v>360.25</v>
      </c>
      <c r="AF279" s="195">
        <v>384.5</v>
      </c>
      <c r="AG279" s="202"/>
      <c r="AH279" s="202"/>
      <c r="AI279" s="136">
        <v>384.5</v>
      </c>
      <c r="AJ279" s="202"/>
      <c r="AK279" s="202"/>
      <c r="AL279" s="202"/>
      <c r="AM279" s="202"/>
      <c r="AN279" s="203">
        <f t="array" ref="AN279">[2]Налоги!AG121</f>
        <v>500.49299999999999</v>
      </c>
      <c r="AO279" s="195">
        <v>396.63</v>
      </c>
      <c r="AP279" s="202"/>
      <c r="AQ279" s="202"/>
      <c r="AR279" s="136">
        <v>396.63</v>
      </c>
      <c r="AS279" s="202"/>
      <c r="AT279" s="202"/>
      <c r="AU279" s="203">
        <f t="array" ref="AU279">[2]Налоги!AL121</f>
        <v>0</v>
      </c>
      <c r="AV279" s="195">
        <v>396.63</v>
      </c>
      <c r="AW279" s="202"/>
      <c r="AX279" s="202"/>
      <c r="AY279" s="136">
        <v>396.63</v>
      </c>
      <c r="AZ279" s="202"/>
      <c r="BA279" s="202"/>
      <c r="BB279" s="85"/>
      <c r="BC279" s="85"/>
      <c r="BD279" s="85"/>
      <c r="BE279" s="99">
        <f t="shared" si="6"/>
        <v>3712.4630000000006</v>
      </c>
      <c r="BF279" s="99" t="e">
        <f t="array" ref="BF279">#REF!</f>
        <v>#REF!</v>
      </c>
      <c r="BG279" s="101"/>
      <c r="BH279" s="101"/>
      <c r="BI279" s="101"/>
      <c r="BJ279" s="101"/>
      <c r="BK279" s="101"/>
      <c r="BL279" s="101"/>
      <c r="BM279" s="101"/>
    </row>
    <row r="280" spans="1:65" ht="14.25" customHeight="1" outlineLevel="4" x14ac:dyDescent="0.25">
      <c r="C280" s="2" t="s">
        <v>84</v>
      </c>
      <c r="D280" s="2" t="s">
        <v>85</v>
      </c>
      <c r="E280" s="2" t="s">
        <v>74</v>
      </c>
      <c r="F280" s="2" t="s">
        <v>75</v>
      </c>
      <c r="G280" s="2" t="s">
        <v>398</v>
      </c>
      <c r="H280" s="2" t="s">
        <v>74</v>
      </c>
      <c r="I280" s="2" t="s">
        <v>74</v>
      </c>
      <c r="J280" s="2" t="s">
        <v>74</v>
      </c>
      <c r="K280" s="5" t="s">
        <v>74</v>
      </c>
      <c r="L280" s="2" t="s">
        <v>370</v>
      </c>
      <c r="M280" s="8" t="str">
        <f t="array" ref="M280">Y107</f>
        <v>1ХВС::1.1</v>
      </c>
      <c r="Y280" s="2">
        <f>COUNT($Y274:Y279)+1</f>
        <v>7</v>
      </c>
      <c r="AA280" s="107" t="str">
        <f t="shared" si="7"/>
        <v>3.1.3.3.7</v>
      </c>
      <c r="AB280" s="233" t="s">
        <v>398</v>
      </c>
      <c r="AC280" s="197" t="s">
        <v>114</v>
      </c>
      <c r="AD280" s="136">
        <v>42.19</v>
      </c>
      <c r="AE280" s="136">
        <v>32.42</v>
      </c>
      <c r="AF280" s="195"/>
      <c r="AG280" s="202"/>
      <c r="AH280" s="202"/>
      <c r="AI280" s="136">
        <f t="array" ref="AI280">AF280</f>
        <v>0</v>
      </c>
      <c r="AJ280" s="202"/>
      <c r="AK280" s="202"/>
      <c r="AL280" s="202"/>
      <c r="AM280" s="202"/>
      <c r="AN280" s="203">
        <f t="array" ref="AN280">[2]Налоги!AG159</f>
        <v>0</v>
      </c>
      <c r="AO280" s="195">
        <v>78.709999999999994</v>
      </c>
      <c r="AP280" s="202"/>
      <c r="AQ280" s="202"/>
      <c r="AR280" s="136">
        <v>78.709999999999994</v>
      </c>
      <c r="AS280" s="202"/>
      <c r="AT280" s="202"/>
      <c r="AU280" s="203">
        <f t="array" ref="AU280">[2]Налоги!AL159</f>
        <v>0</v>
      </c>
      <c r="AV280" s="195">
        <v>78.709999999999994</v>
      </c>
      <c r="AW280" s="202"/>
      <c r="AX280" s="202"/>
      <c r="AY280" s="136">
        <v>78.709999999999994</v>
      </c>
      <c r="AZ280" s="202"/>
      <c r="BA280" s="202"/>
      <c r="BB280" s="85"/>
      <c r="BC280" s="85"/>
      <c r="BD280" s="85"/>
      <c r="BE280" s="99">
        <f t="shared" si="6"/>
        <v>389.44999999999993</v>
      </c>
      <c r="BF280" s="99" t="e">
        <f t="array" ref="BF280">#REF!</f>
        <v>#REF!</v>
      </c>
      <c r="BG280" s="101"/>
      <c r="BH280" s="101"/>
      <c r="BI280" s="101"/>
      <c r="BJ280" s="101"/>
      <c r="BK280" s="101"/>
      <c r="BL280" s="101"/>
      <c r="BM280" s="101"/>
    </row>
    <row r="281" spans="1:65" ht="14.25" customHeight="1" outlineLevel="4" x14ac:dyDescent="0.25">
      <c r="C281" s="2" t="s">
        <v>84</v>
      </c>
      <c r="D281" s="2" t="s">
        <v>85</v>
      </c>
      <c r="E281" s="2" t="s">
        <v>74</v>
      </c>
      <c r="F281" s="2" t="s">
        <v>75</v>
      </c>
      <c r="G281" s="2" t="s">
        <v>399</v>
      </c>
      <c r="H281" s="2" t="s">
        <v>74</v>
      </c>
      <c r="I281" s="2" t="s">
        <v>74</v>
      </c>
      <c r="J281" s="2" t="s">
        <v>74</v>
      </c>
      <c r="K281" s="5" t="s">
        <v>74</v>
      </c>
      <c r="L281" s="2" t="s">
        <v>370</v>
      </c>
      <c r="M281" s="8" t="str">
        <f t="array" ref="M281">Y107</f>
        <v>1ХВС::1.1</v>
      </c>
      <c r="Y281" s="2">
        <f>COUNT($Y274:Y280)+1</f>
        <v>8</v>
      </c>
      <c r="AA281" s="107" t="str">
        <f t="shared" si="7"/>
        <v>3.1.3.3.8</v>
      </c>
      <c r="AB281" s="233" t="s">
        <v>399</v>
      </c>
      <c r="AC281" s="197" t="s">
        <v>114</v>
      </c>
      <c r="AD281" s="136"/>
      <c r="AE281" s="136"/>
      <c r="AF281" s="195"/>
      <c r="AG281" s="202"/>
      <c r="AH281" s="202"/>
      <c r="AI281" s="136">
        <f t="array" ref="AI281">AF281</f>
        <v>0</v>
      </c>
      <c r="AJ281" s="202"/>
      <c r="AK281" s="202"/>
      <c r="AL281" s="202"/>
      <c r="AM281" s="202"/>
      <c r="AN281" s="203">
        <f t="array" ref="AN281">[2]Налоги!AG164</f>
        <v>2.2429999999999999</v>
      </c>
      <c r="AO281" s="195"/>
      <c r="AP281" s="202"/>
      <c r="AQ281" s="202"/>
      <c r="AR281" s="136">
        <f t="array" ref="AR281">AO281</f>
        <v>0</v>
      </c>
      <c r="AS281" s="202"/>
      <c r="AT281" s="202"/>
      <c r="AU281" s="203">
        <f t="array" ref="AU281">[2]Налоги!AL164</f>
        <v>0</v>
      </c>
      <c r="AV281" s="195"/>
      <c r="AW281" s="202"/>
      <c r="AX281" s="202"/>
      <c r="AY281" s="136">
        <f t="array" ref="AY281">AV281</f>
        <v>0</v>
      </c>
      <c r="AZ281" s="202"/>
      <c r="BA281" s="202"/>
      <c r="BB281" s="85"/>
      <c r="BC281" s="85"/>
      <c r="BD281" s="85"/>
      <c r="BE281" s="99">
        <f t="shared" si="6"/>
        <v>2.2429999999999999</v>
      </c>
      <c r="BF281" s="99" t="e">
        <f t="array" ref="BF281">#REF!</f>
        <v>#REF!</v>
      </c>
      <c r="BG281" s="101"/>
      <c r="BH281" s="101"/>
      <c r="BI281" s="101"/>
      <c r="BJ281" s="101"/>
      <c r="BK281" s="101"/>
      <c r="BL281" s="101"/>
      <c r="BM281" s="101"/>
    </row>
    <row r="282" spans="1:65" ht="14.25" customHeight="1" outlineLevel="4" x14ac:dyDescent="0.25">
      <c r="C282" s="2" t="s">
        <v>84</v>
      </c>
      <c r="D282" s="2" t="s">
        <v>85</v>
      </c>
      <c r="E282" s="2" t="s">
        <v>74</v>
      </c>
      <c r="F282" s="2" t="s">
        <v>75</v>
      </c>
      <c r="G282" s="2" t="s">
        <v>400</v>
      </c>
      <c r="H282" s="2" t="s">
        <v>74</v>
      </c>
      <c r="I282" s="2" t="s">
        <v>74</v>
      </c>
      <c r="J282" s="2" t="s">
        <v>74</v>
      </c>
      <c r="K282" s="5" t="s">
        <v>74</v>
      </c>
      <c r="L282" s="2" t="s">
        <v>370</v>
      </c>
      <c r="M282" s="8" t="str">
        <f t="array" ref="M282">Y107</f>
        <v>1ХВС::1.1</v>
      </c>
      <c r="Y282" s="2">
        <f>COUNT($Y274:Y281)+1</f>
        <v>9</v>
      </c>
      <c r="AA282" s="107" t="str">
        <f t="shared" si="7"/>
        <v>3.1.3.3.9</v>
      </c>
      <c r="AB282" s="233" t="s">
        <v>401</v>
      </c>
      <c r="AC282" s="197" t="s">
        <v>114</v>
      </c>
      <c r="AD282" s="136"/>
      <c r="AE282" s="136"/>
      <c r="AF282" s="195"/>
      <c r="AG282" s="202"/>
      <c r="AH282" s="202"/>
      <c r="AI282" s="136">
        <f t="array" ref="AI282">AF282</f>
        <v>0</v>
      </c>
      <c r="AJ282" s="202"/>
      <c r="AK282" s="202"/>
      <c r="AL282" s="202"/>
      <c r="AM282" s="202"/>
      <c r="AN282" s="203">
        <f t="array" ref="AN282">[2]Налоги!AG135</f>
        <v>0</v>
      </c>
      <c r="AO282" s="195"/>
      <c r="AP282" s="202"/>
      <c r="AQ282" s="202"/>
      <c r="AR282" s="136">
        <f t="array" ref="AR282">AO282</f>
        <v>0</v>
      </c>
      <c r="AS282" s="202"/>
      <c r="AT282" s="202"/>
      <c r="AU282" s="203">
        <f t="array" ref="AU282">[2]Налоги!AL135</f>
        <v>0</v>
      </c>
      <c r="AV282" s="195"/>
      <c r="AW282" s="202"/>
      <c r="AX282" s="202"/>
      <c r="AY282" s="136">
        <f t="array" ref="AY282">AV282</f>
        <v>0</v>
      </c>
      <c r="AZ282" s="202"/>
      <c r="BA282" s="202"/>
      <c r="BB282" s="85"/>
      <c r="BC282" s="85"/>
      <c r="BD282" s="85"/>
      <c r="BE282" s="99">
        <f t="shared" si="6"/>
        <v>0</v>
      </c>
      <c r="BF282" s="99" t="e">
        <f t="array" ref="BF282">#REF!</f>
        <v>#REF!</v>
      </c>
      <c r="BG282" s="101"/>
      <c r="BH282" s="101"/>
      <c r="BI282" s="101"/>
      <c r="BJ282" s="101"/>
      <c r="BK282" s="101"/>
      <c r="BL282" s="101"/>
      <c r="BM282" s="101"/>
    </row>
    <row r="283" spans="1:65" ht="14.25" customHeight="1" outlineLevel="3" x14ac:dyDescent="0.25">
      <c r="C283" s="2" t="s">
        <v>84</v>
      </c>
      <c r="D283" s="2" t="s">
        <v>85</v>
      </c>
      <c r="E283" s="2" t="s">
        <v>74</v>
      </c>
      <c r="F283" s="2" t="s">
        <v>75</v>
      </c>
      <c r="G283" s="2" t="s">
        <v>402</v>
      </c>
      <c r="H283" s="2" t="s">
        <v>74</v>
      </c>
      <c r="I283" s="2" t="s">
        <v>74</v>
      </c>
      <c r="J283" s="2" t="s">
        <v>74</v>
      </c>
      <c r="K283" s="5" t="s">
        <v>74</v>
      </c>
      <c r="L283" s="2" t="s">
        <v>325</v>
      </c>
      <c r="M283" s="8" t="str">
        <f t="array" ref="M283">Y107</f>
        <v>1ХВС::1.1</v>
      </c>
      <c r="AA283" s="206" t="str">
        <f>AA258&amp;".4"</f>
        <v>3.1.3.4</v>
      </c>
      <c r="AB283" s="196" t="s">
        <v>403</v>
      </c>
      <c r="AC283" s="197" t="s">
        <v>114</v>
      </c>
      <c r="AD283" s="173">
        <v>0</v>
      </c>
      <c r="AE283" s="173">
        <v>6095.15</v>
      </c>
      <c r="AF283" s="173">
        <v>1837.97</v>
      </c>
      <c r="AG283" s="174"/>
      <c r="AH283" s="174"/>
      <c r="AI283" s="173">
        <f>AI284+AI287+AI288+AI289</f>
        <v>1837.97</v>
      </c>
      <c r="AJ283" s="174"/>
      <c r="AK283" s="174"/>
      <c r="AL283" s="174"/>
      <c r="AM283" s="174"/>
      <c r="AN283" s="173">
        <f>AN284+AN287+AN288+AN289</f>
        <v>1000</v>
      </c>
      <c r="AO283" s="173">
        <v>0</v>
      </c>
      <c r="AP283" s="174"/>
      <c r="AQ283" s="174"/>
      <c r="AR283" s="173">
        <f>AR284+AR287+AR288+AR289</f>
        <v>0</v>
      </c>
      <c r="AS283" s="174"/>
      <c r="AT283" s="174"/>
      <c r="AU283" s="173">
        <f>AU284+AU287+AU288+AU289</f>
        <v>0</v>
      </c>
      <c r="AV283" s="173">
        <v>0</v>
      </c>
      <c r="AW283" s="174"/>
      <c r="AX283" s="174"/>
      <c r="AY283" s="173">
        <f>AY284+AY287+AY288+AY289</f>
        <v>0</v>
      </c>
      <c r="AZ283" s="174"/>
      <c r="BA283" s="174"/>
      <c r="BB283" s="85"/>
      <c r="BC283" s="85"/>
      <c r="BD283" s="85"/>
      <c r="BE283" s="99">
        <f t="shared" si="6"/>
        <v>10771.09</v>
      </c>
      <c r="BF283" s="100" t="e">
        <f>BF284+BF287+BF288+BF289</f>
        <v>#REF!</v>
      </c>
      <c r="BG283" s="101"/>
      <c r="BH283" s="101"/>
      <c r="BI283" s="101"/>
      <c r="BJ283" s="101"/>
      <c r="BK283" s="101"/>
      <c r="BL283" s="101"/>
      <c r="BM283" s="101"/>
    </row>
    <row r="284" spans="1:65" ht="14.25" customHeight="1" outlineLevel="4" x14ac:dyDescent="0.25">
      <c r="C284" s="2" t="s">
        <v>84</v>
      </c>
      <c r="D284" s="2" t="s">
        <v>85</v>
      </c>
      <c r="E284" s="2" t="s">
        <v>74</v>
      </c>
      <c r="F284" s="2" t="s">
        <v>75</v>
      </c>
      <c r="G284" s="2" t="s">
        <v>404</v>
      </c>
      <c r="H284" s="2" t="s">
        <v>74</v>
      </c>
      <c r="I284" s="2" t="s">
        <v>74</v>
      </c>
      <c r="J284" s="2" t="s">
        <v>74</v>
      </c>
      <c r="K284" s="5" t="s">
        <v>74</v>
      </c>
      <c r="L284" s="2" t="s">
        <v>325</v>
      </c>
      <c r="M284" s="8" t="str">
        <f t="array" ref="M284">Y107</f>
        <v>1ХВС::1.1</v>
      </c>
      <c r="Y284" s="2">
        <v>1</v>
      </c>
      <c r="AA284" s="107" t="str">
        <f>AA$283&amp;"."&amp;Y284</f>
        <v>3.1.3.4.1</v>
      </c>
      <c r="AB284" s="233" t="s">
        <v>404</v>
      </c>
      <c r="AC284" s="197" t="s">
        <v>114</v>
      </c>
      <c r="AD284" s="136"/>
      <c r="AE284" s="136"/>
      <c r="AF284" s="195"/>
      <c r="AG284" s="202"/>
      <c r="AH284" s="202"/>
      <c r="AI284" s="136">
        <f t="array" ref="AI284">AF284</f>
        <v>0</v>
      </c>
      <c r="AJ284" s="202"/>
      <c r="AK284" s="202"/>
      <c r="AL284" s="202"/>
      <c r="AM284" s="202"/>
      <c r="AN284" s="203">
        <f>(1/1000)*([2]Аренда!EO94-IF('ВС 2021-2025'!$AC$46="да",[2]Аренда!EO95,0))</f>
        <v>0</v>
      </c>
      <c r="AO284" s="195"/>
      <c r="AP284" s="202"/>
      <c r="AQ284" s="202"/>
      <c r="AR284" s="136">
        <f t="array" ref="AR284">AO284</f>
        <v>0</v>
      </c>
      <c r="AS284" s="202"/>
      <c r="AT284" s="202"/>
      <c r="AU284" s="203">
        <f>(1/1000)*([2]Аренда!FC94-IF('ВС 2021-2025'!$AC$46="да",[2]Аренда!FC95,0))</f>
        <v>0</v>
      </c>
      <c r="AV284" s="195"/>
      <c r="AW284" s="202"/>
      <c r="AX284" s="202"/>
      <c r="AY284" s="136">
        <f t="array" ref="AY284">AV284</f>
        <v>0</v>
      </c>
      <c r="AZ284" s="202"/>
      <c r="BA284" s="202"/>
      <c r="BB284" s="85"/>
      <c r="BC284" s="85"/>
      <c r="BD284" s="85"/>
      <c r="BE284" s="99">
        <f t="shared" si="6"/>
        <v>0</v>
      </c>
      <c r="BF284" s="99" t="e">
        <f t="array" ref="BF284">#REF!</f>
        <v>#REF!</v>
      </c>
      <c r="BG284" s="101"/>
      <c r="BH284" s="101"/>
      <c r="BI284" s="101"/>
      <c r="BJ284" s="101"/>
      <c r="BK284" s="101"/>
      <c r="BL284" s="101"/>
      <c r="BM284" s="101"/>
    </row>
    <row r="285" spans="1:65" ht="14.25" customHeight="1" outlineLevel="4" x14ac:dyDescent="0.25">
      <c r="C285" s="235" t="s">
        <v>84</v>
      </c>
      <c r="D285" s="235" t="s">
        <v>85</v>
      </c>
      <c r="E285" s="235" t="s">
        <v>74</v>
      </c>
      <c r="F285" s="235" t="s">
        <v>75</v>
      </c>
      <c r="G285" s="235" t="s">
        <v>405</v>
      </c>
      <c r="H285" s="235" t="s">
        <v>74</v>
      </c>
      <c r="I285" s="235" t="s">
        <v>74</v>
      </c>
      <c r="J285" s="235" t="s">
        <v>74</v>
      </c>
      <c r="K285" s="236" t="s">
        <v>74</v>
      </c>
      <c r="L285" s="235" t="s">
        <v>74</v>
      </c>
      <c r="M285" s="8" t="str">
        <f t="array" ref="M285">Y107</f>
        <v>1ХВС::1.1</v>
      </c>
      <c r="AA285" s="107" t="str">
        <f>AA284&amp;".1"</f>
        <v>3.1.3.4.1.1</v>
      </c>
      <c r="AB285" s="237" t="s">
        <v>405</v>
      </c>
      <c r="AC285" s="197" t="s">
        <v>114</v>
      </c>
      <c r="AD285" s="136"/>
      <c r="AE285" s="136"/>
      <c r="AF285" s="195"/>
      <c r="AG285" s="202"/>
      <c r="AH285" s="202"/>
      <c r="AI285" s="136">
        <f t="array" ref="AI285">AF285</f>
        <v>0</v>
      </c>
      <c r="AJ285" s="202"/>
      <c r="AK285" s="202"/>
      <c r="AL285" s="202"/>
      <c r="AM285" s="202"/>
      <c r="AN285" s="136" t="e">
        <f t="array" ref="AN285">#REF!</f>
        <v>#REF!</v>
      </c>
      <c r="AO285" s="195"/>
      <c r="AP285" s="202"/>
      <c r="AQ285" s="202"/>
      <c r="AR285" s="136">
        <f t="array" ref="AR285">AO285</f>
        <v>0</v>
      </c>
      <c r="AS285" s="202"/>
      <c r="AT285" s="202"/>
      <c r="AU285" s="136" t="e">
        <f t="array" ref="AU285">#REF!</f>
        <v>#REF!</v>
      </c>
      <c r="AV285" s="195"/>
      <c r="AW285" s="202"/>
      <c r="AX285" s="202"/>
      <c r="AY285" s="136">
        <f t="array" ref="AY285">AV285</f>
        <v>0</v>
      </c>
      <c r="AZ285" s="202"/>
      <c r="BA285" s="202"/>
      <c r="BB285" s="85"/>
      <c r="BC285" s="85"/>
      <c r="BD285" s="85"/>
      <c r="BE285" s="99" t="e">
        <f t="shared" si="6"/>
        <v>#REF!</v>
      </c>
      <c r="BF285" s="99" t="e">
        <f t="array" ref="BF285">#REF!</f>
        <v>#REF!</v>
      </c>
      <c r="BG285" s="101"/>
      <c r="BH285" s="101"/>
      <c r="BI285" s="101"/>
      <c r="BJ285" s="101"/>
      <c r="BK285" s="101"/>
      <c r="BL285" s="101"/>
      <c r="BM285" s="101"/>
    </row>
    <row r="286" spans="1:65" ht="14.25" customHeight="1" outlineLevel="4" x14ac:dyDescent="0.25">
      <c r="C286" s="235" t="s">
        <v>84</v>
      </c>
      <c r="D286" s="235" t="s">
        <v>85</v>
      </c>
      <c r="E286" s="235" t="s">
        <v>74</v>
      </c>
      <c r="F286" s="235" t="s">
        <v>75</v>
      </c>
      <c r="G286" s="235" t="s">
        <v>406</v>
      </c>
      <c r="H286" s="235" t="s">
        <v>74</v>
      </c>
      <c r="I286" s="235" t="s">
        <v>74</v>
      </c>
      <c r="J286" s="235" t="s">
        <v>74</v>
      </c>
      <c r="K286" s="236" t="s">
        <v>74</v>
      </c>
      <c r="L286" s="235" t="s">
        <v>74</v>
      </c>
      <c r="M286" s="8" t="str">
        <f t="array" ref="M286">Y107</f>
        <v>1ХВС::1.1</v>
      </c>
      <c r="AA286" s="107" t="str">
        <f>AA284&amp;".2"</f>
        <v>3.1.3.4.1.2</v>
      </c>
      <c r="AB286" s="237" t="s">
        <v>406</v>
      </c>
      <c r="AC286" s="197" t="s">
        <v>114</v>
      </c>
      <c r="AD286" s="173">
        <v>0</v>
      </c>
      <c r="AE286" s="173">
        <v>0</v>
      </c>
      <c r="AF286" s="173">
        <v>0</v>
      </c>
      <c r="AG286" s="174"/>
      <c r="AH286" s="174"/>
      <c r="AI286" s="173">
        <f>AI284-AI285</f>
        <v>0</v>
      </c>
      <c r="AJ286" s="174"/>
      <c r="AK286" s="174"/>
      <c r="AL286" s="174"/>
      <c r="AM286" s="174"/>
      <c r="AN286" s="173" t="e">
        <f>AN284-AN285</f>
        <v>#REF!</v>
      </c>
      <c r="AO286" s="173">
        <v>0</v>
      </c>
      <c r="AP286" s="174"/>
      <c r="AQ286" s="174"/>
      <c r="AR286" s="173">
        <f>AR284-AR285</f>
        <v>0</v>
      </c>
      <c r="AS286" s="174"/>
      <c r="AT286" s="174"/>
      <c r="AU286" s="173" t="e">
        <f>AU284-AU285</f>
        <v>#REF!</v>
      </c>
      <c r="AV286" s="173">
        <v>0</v>
      </c>
      <c r="AW286" s="174"/>
      <c r="AX286" s="174"/>
      <c r="AY286" s="173">
        <f>AY284-AY285</f>
        <v>0</v>
      </c>
      <c r="AZ286" s="174"/>
      <c r="BA286" s="174"/>
      <c r="BB286" s="85"/>
      <c r="BC286" s="85"/>
      <c r="BD286" s="85"/>
      <c r="BE286" s="99" t="e">
        <f t="shared" si="6"/>
        <v>#REF!</v>
      </c>
      <c r="BF286" s="100" t="e">
        <f>BF284-BF285</f>
        <v>#REF!</v>
      </c>
      <c r="BG286" s="101"/>
      <c r="BH286" s="101"/>
      <c r="BI286" s="101"/>
      <c r="BJ286" s="101"/>
      <c r="BK286" s="101"/>
      <c r="BL286" s="101"/>
      <c r="BM286" s="101"/>
    </row>
    <row r="287" spans="1:65" ht="14.25" customHeight="1" outlineLevel="4" x14ac:dyDescent="0.25">
      <c r="C287" s="2" t="s">
        <v>84</v>
      </c>
      <c r="D287" s="2" t="s">
        <v>85</v>
      </c>
      <c r="E287" s="2" t="s">
        <v>74</v>
      </c>
      <c r="F287" s="2" t="s">
        <v>75</v>
      </c>
      <c r="G287" s="2" t="s">
        <v>407</v>
      </c>
      <c r="H287" s="2" t="s">
        <v>74</v>
      </c>
      <c r="I287" s="2" t="s">
        <v>74</v>
      </c>
      <c r="J287" s="2" t="s">
        <v>74</v>
      </c>
      <c r="K287" s="5" t="s">
        <v>74</v>
      </c>
      <c r="L287" s="2" t="s">
        <v>325</v>
      </c>
      <c r="M287" s="8" t="str">
        <f t="array" ref="M287">Y107</f>
        <v>1ХВС::1.1</v>
      </c>
      <c r="Y287" s="2">
        <f>COUNT($Y284:Y284)+1</f>
        <v>2</v>
      </c>
      <c r="AA287" s="107" t="str">
        <f>AA$283&amp;"."&amp;Y287</f>
        <v>3.1.3.4.2</v>
      </c>
      <c r="AB287" s="233" t="s">
        <v>407</v>
      </c>
      <c r="AC287" s="197" t="s">
        <v>114</v>
      </c>
      <c r="AD287" s="136"/>
      <c r="AE287" s="136"/>
      <c r="AF287" s="195"/>
      <c r="AG287" s="202"/>
      <c r="AH287" s="202"/>
      <c r="AI287" s="136">
        <f t="array" ref="AI287">AF287</f>
        <v>0</v>
      </c>
      <c r="AJ287" s="202"/>
      <c r="AK287" s="202"/>
      <c r="AL287" s="202"/>
      <c r="AM287" s="202"/>
      <c r="AN287" s="203">
        <f>(1/1000)*[2]Аренда!EO108</f>
        <v>0</v>
      </c>
      <c r="AO287" s="195"/>
      <c r="AP287" s="202"/>
      <c r="AQ287" s="202"/>
      <c r="AR287" s="136">
        <f t="array" ref="AR287">AO287</f>
        <v>0</v>
      </c>
      <c r="AS287" s="202"/>
      <c r="AT287" s="202"/>
      <c r="AU287" s="203">
        <f>(1/1000)*([2]Аренда!FC108)</f>
        <v>0</v>
      </c>
      <c r="AV287" s="195"/>
      <c r="AW287" s="202"/>
      <c r="AX287" s="202"/>
      <c r="AY287" s="136">
        <f t="array" ref="AY287">AV287</f>
        <v>0</v>
      </c>
      <c r="AZ287" s="202"/>
      <c r="BA287" s="202"/>
      <c r="BB287" s="85"/>
      <c r="BC287" s="85"/>
      <c r="BD287" s="85"/>
      <c r="BE287" s="99">
        <f t="shared" si="6"/>
        <v>0</v>
      </c>
      <c r="BF287" s="99" t="e">
        <f t="array" ref="BF287">#REF!</f>
        <v>#REF!</v>
      </c>
      <c r="BG287" s="101"/>
      <c r="BH287" s="101"/>
      <c r="BI287" s="101"/>
      <c r="BJ287" s="101"/>
      <c r="BK287" s="101"/>
      <c r="BL287" s="101"/>
      <c r="BM287" s="101"/>
    </row>
    <row r="288" spans="1:65" ht="14.25" customHeight="1" outlineLevel="4" x14ac:dyDescent="0.25">
      <c r="C288" s="2" t="s">
        <v>84</v>
      </c>
      <c r="D288" s="2" t="s">
        <v>85</v>
      </c>
      <c r="E288" s="2" t="s">
        <v>74</v>
      </c>
      <c r="F288" s="2" t="s">
        <v>75</v>
      </c>
      <c r="G288" s="2" t="s">
        <v>408</v>
      </c>
      <c r="H288" s="2" t="s">
        <v>74</v>
      </c>
      <c r="I288" s="2" t="s">
        <v>74</v>
      </c>
      <c r="J288" s="2" t="s">
        <v>74</v>
      </c>
      <c r="K288" s="5" t="s">
        <v>74</v>
      </c>
      <c r="L288" s="2" t="s">
        <v>325</v>
      </c>
      <c r="M288" s="8" t="str">
        <f t="array" ref="M288">Y107</f>
        <v>1ХВС::1.1</v>
      </c>
      <c r="Y288" s="2">
        <f>COUNT($Y284:Y287)+1</f>
        <v>3</v>
      </c>
      <c r="AA288" s="107" t="str">
        <f>AA$283&amp;"."&amp;Y288</f>
        <v>3.1.3.4.3</v>
      </c>
      <c r="AB288" s="233" t="s">
        <v>408</v>
      </c>
      <c r="AC288" s="197" t="s">
        <v>114</v>
      </c>
      <c r="AD288" s="136"/>
      <c r="AE288" s="136"/>
      <c r="AF288" s="195"/>
      <c r="AG288" s="202"/>
      <c r="AH288" s="202"/>
      <c r="AI288" s="136">
        <f t="array" ref="AI288">AF288</f>
        <v>0</v>
      </c>
      <c r="AJ288" s="202"/>
      <c r="AK288" s="202"/>
      <c r="AL288" s="202"/>
      <c r="AM288" s="202"/>
      <c r="AN288" s="203">
        <f>(1/1000)*[2]Аренда!EO121</f>
        <v>0</v>
      </c>
      <c r="AO288" s="195"/>
      <c r="AP288" s="202"/>
      <c r="AQ288" s="202"/>
      <c r="AR288" s="136">
        <f t="array" ref="AR288">AO288</f>
        <v>0</v>
      </c>
      <c r="AS288" s="202"/>
      <c r="AT288" s="202"/>
      <c r="AU288" s="203">
        <f>(1/1000)*([2]Аренда!FC121)</f>
        <v>0</v>
      </c>
      <c r="AV288" s="195"/>
      <c r="AW288" s="202"/>
      <c r="AX288" s="202"/>
      <c r="AY288" s="136">
        <f t="array" ref="AY288">AV288</f>
        <v>0</v>
      </c>
      <c r="AZ288" s="202"/>
      <c r="BA288" s="202"/>
      <c r="BB288" s="85"/>
      <c r="BC288" s="85"/>
      <c r="BD288" s="85"/>
      <c r="BE288" s="99">
        <f t="shared" si="6"/>
        <v>0</v>
      </c>
      <c r="BF288" s="99" t="e">
        <f t="array" ref="BF288">#REF!</f>
        <v>#REF!</v>
      </c>
      <c r="BG288" s="101"/>
      <c r="BH288" s="101"/>
      <c r="BI288" s="101"/>
      <c r="BJ288" s="101"/>
      <c r="BK288" s="101"/>
      <c r="BL288" s="101"/>
      <c r="BM288" s="101"/>
    </row>
    <row r="289" spans="1:65" ht="14.25" customHeight="1" outlineLevel="4" x14ac:dyDescent="0.25">
      <c r="C289" s="2" t="s">
        <v>84</v>
      </c>
      <c r="D289" s="2" t="s">
        <v>85</v>
      </c>
      <c r="E289" s="2" t="s">
        <v>74</v>
      </c>
      <c r="F289" s="2" t="s">
        <v>75</v>
      </c>
      <c r="G289" s="2" t="s">
        <v>409</v>
      </c>
      <c r="H289" s="2" t="s">
        <v>74</v>
      </c>
      <c r="I289" s="2" t="s">
        <v>74</v>
      </c>
      <c r="J289" s="2" t="s">
        <v>74</v>
      </c>
      <c r="K289" s="5" t="s">
        <v>74</v>
      </c>
      <c r="L289" s="2" t="s">
        <v>325</v>
      </c>
      <c r="M289" s="8" t="str">
        <f t="array" ref="M289">Y107</f>
        <v>1ХВС::1.1</v>
      </c>
      <c r="Y289" s="2">
        <f>COUNT($Y284:Y288)+1</f>
        <v>4</v>
      </c>
      <c r="AA289" s="107" t="str">
        <f>AA$283&amp;"."&amp;Y289</f>
        <v>3.1.3.4.4</v>
      </c>
      <c r="AB289" s="233" t="s">
        <v>409</v>
      </c>
      <c r="AC289" s="197" t="s">
        <v>114</v>
      </c>
      <c r="AD289" s="136"/>
      <c r="AE289" s="136">
        <v>6095.15</v>
      </c>
      <c r="AF289" s="195">
        <v>1837.97</v>
      </c>
      <c r="AG289" s="202"/>
      <c r="AH289" s="202"/>
      <c r="AI289" s="136">
        <v>1837.97</v>
      </c>
      <c r="AJ289" s="202"/>
      <c r="AK289" s="202"/>
      <c r="AL289" s="202"/>
      <c r="AM289" s="202"/>
      <c r="AN289" s="203">
        <f>(1/1000)*'[2]Земел. уч.'!BA94</f>
        <v>1000</v>
      </c>
      <c r="AO289" s="195"/>
      <c r="AP289" s="202"/>
      <c r="AQ289" s="202"/>
      <c r="AR289" s="136">
        <f t="array" ref="AR289">AO289</f>
        <v>0</v>
      </c>
      <c r="AS289" s="202"/>
      <c r="AT289" s="202"/>
      <c r="AU289" s="203">
        <f>(1/1000)*'[2]Земел. уч.'!BK94</f>
        <v>0</v>
      </c>
      <c r="AV289" s="195"/>
      <c r="AW289" s="202"/>
      <c r="AX289" s="202"/>
      <c r="AY289" s="136">
        <f t="array" ref="AY289">AV289</f>
        <v>0</v>
      </c>
      <c r="AZ289" s="202"/>
      <c r="BA289" s="202"/>
      <c r="BB289" s="85"/>
      <c r="BC289" s="85"/>
      <c r="BD289" s="85"/>
      <c r="BE289" s="99">
        <f t="shared" si="6"/>
        <v>10771.09</v>
      </c>
      <c r="BF289" s="99" t="e">
        <f t="array" ref="BF289">#REF!</f>
        <v>#REF!</v>
      </c>
      <c r="BG289" s="101"/>
      <c r="BH289" s="101"/>
      <c r="BI289" s="101"/>
      <c r="BJ289" s="101"/>
      <c r="BK289" s="101"/>
      <c r="BL289" s="101"/>
      <c r="BM289" s="101"/>
    </row>
    <row r="290" spans="1:65" ht="14.25" customHeight="1" outlineLevel="3" x14ac:dyDescent="0.25">
      <c r="C290" s="2" t="s">
        <v>84</v>
      </c>
      <c r="D290" s="2" t="s">
        <v>85</v>
      </c>
      <c r="E290" s="2" t="s">
        <v>74</v>
      </c>
      <c r="F290" s="2" t="s">
        <v>75</v>
      </c>
      <c r="G290" s="2" t="s">
        <v>410</v>
      </c>
      <c r="H290" s="2" t="s">
        <v>74</v>
      </c>
      <c r="I290" s="2" t="s">
        <v>74</v>
      </c>
      <c r="J290" s="2" t="s">
        <v>74</v>
      </c>
      <c r="K290" s="5" t="s">
        <v>74</v>
      </c>
      <c r="L290" s="2" t="s">
        <v>370</v>
      </c>
      <c r="M290" s="8" t="str">
        <f t="array" ref="M290">Y107</f>
        <v>1ХВС::1.1</v>
      </c>
      <c r="Y290" s="2">
        <f>COUNT($Y284:Y289)+1</f>
        <v>5</v>
      </c>
      <c r="AA290" s="206" t="str">
        <f>AA258&amp;".5"</f>
        <v>3.1.3.5</v>
      </c>
      <c r="AB290" s="196" t="s">
        <v>411</v>
      </c>
      <c r="AC290" s="197" t="s">
        <v>114</v>
      </c>
      <c r="AD290" s="136"/>
      <c r="AE290" s="136"/>
      <c r="AF290" s="195">
        <v>11663.005999999999</v>
      </c>
      <c r="AG290" s="202"/>
      <c r="AH290" s="202"/>
      <c r="AI290" s="136">
        <v>11663.005999999999</v>
      </c>
      <c r="AJ290" s="202"/>
      <c r="AK290" s="202"/>
      <c r="AL290" s="202"/>
      <c r="AM290" s="202"/>
      <c r="AN290" s="136" t="e">
        <f t="array" ref="AN290">#REF!</f>
        <v>#REF!</v>
      </c>
      <c r="AO290" s="195">
        <v>475.93</v>
      </c>
      <c r="AP290" s="202"/>
      <c r="AQ290" s="202"/>
      <c r="AR290" s="136">
        <v>475.93</v>
      </c>
      <c r="AS290" s="202"/>
      <c r="AT290" s="202"/>
      <c r="AU290" s="136" t="e">
        <f t="array" ref="AU290">#REF!</f>
        <v>#REF!</v>
      </c>
      <c r="AV290" s="195">
        <v>475.93</v>
      </c>
      <c r="AW290" s="202"/>
      <c r="AX290" s="202"/>
      <c r="AY290" s="136">
        <v>475.93</v>
      </c>
      <c r="AZ290" s="202"/>
      <c r="BA290" s="202"/>
      <c r="BB290" s="85"/>
      <c r="BC290" s="85"/>
      <c r="BD290" s="85"/>
      <c r="BE290" s="99" t="e">
        <f t="shared" si="6"/>
        <v>#REF!</v>
      </c>
      <c r="BF290" s="99" t="e">
        <f t="array" ref="BF290">#REF!</f>
        <v>#REF!</v>
      </c>
      <c r="BG290" s="101"/>
      <c r="BH290" s="101"/>
      <c r="BI290" s="101"/>
      <c r="BJ290" s="101"/>
      <c r="BK290" s="101"/>
      <c r="BL290" s="101"/>
      <c r="BM290" s="101"/>
    </row>
    <row r="291" spans="1:65" ht="14.25" customHeight="1" outlineLevel="3" x14ac:dyDescent="0.25">
      <c r="A291" s="2" t="b">
        <f>AND(PREVIOUS_REGULATION_METHODS="Метод индексации",REGULATION_METHODS="Метод индексации")</f>
        <v>1</v>
      </c>
      <c r="B291" s="8" t="b">
        <f t="array" ref="B291">A291</f>
        <v>1</v>
      </c>
      <c r="C291" s="2" t="s">
        <v>84</v>
      </c>
      <c r="D291" s="2" t="s">
        <v>85</v>
      </c>
      <c r="E291" s="2" t="s">
        <v>74</v>
      </c>
      <c r="F291" s="2" t="s">
        <v>75</v>
      </c>
      <c r="G291" s="2" t="s">
        <v>412</v>
      </c>
      <c r="H291" s="2" t="s">
        <v>74</v>
      </c>
      <c r="I291" s="2" t="s">
        <v>74</v>
      </c>
      <c r="J291" s="2" t="s">
        <v>74</v>
      </c>
      <c r="K291" s="5" t="s">
        <v>74</v>
      </c>
      <c r="L291" s="2" t="s">
        <v>370</v>
      </c>
      <c r="M291" s="8" t="str">
        <f t="array" ref="M291">Y107</f>
        <v>1ХВС::1.1</v>
      </c>
      <c r="Y291" s="2">
        <f>COUNT($Y284:Y290)+1</f>
        <v>6</v>
      </c>
      <c r="AA291" s="206" t="str">
        <f>AA258&amp;"."&amp;Y291</f>
        <v>3.1.3.6</v>
      </c>
      <c r="AB291" s="196" t="s">
        <v>412</v>
      </c>
      <c r="AC291" s="197" t="s">
        <v>114</v>
      </c>
      <c r="AD291" s="195"/>
      <c r="AE291" s="195"/>
      <c r="AF291" s="195"/>
      <c r="AG291" s="202"/>
      <c r="AH291" s="202"/>
      <c r="AI291" s="195">
        <f t="array" ref="AI291">AF291</f>
        <v>0</v>
      </c>
      <c r="AJ291" s="202"/>
      <c r="AK291" s="202"/>
      <c r="AL291" s="202"/>
      <c r="AM291" s="202"/>
      <c r="AN291" s="195" t="e">
        <f t="array" ref="AN291">#REF!</f>
        <v>#REF!</v>
      </c>
      <c r="AO291" s="195"/>
      <c r="AP291" s="202"/>
      <c r="AQ291" s="202"/>
      <c r="AR291" s="195">
        <f t="array" ref="AR291">AO291</f>
        <v>0</v>
      </c>
      <c r="AS291" s="202"/>
      <c r="AT291" s="202"/>
      <c r="AU291" s="195" t="e">
        <f t="array" ref="AU291">#REF!</f>
        <v>#REF!</v>
      </c>
      <c r="AV291" s="195"/>
      <c r="AW291" s="202"/>
      <c r="AX291" s="202"/>
      <c r="AY291" s="195">
        <f t="array" ref="AY291">AV291</f>
        <v>0</v>
      </c>
      <c r="AZ291" s="202"/>
      <c r="BA291" s="202"/>
      <c r="BB291" s="90"/>
      <c r="BC291" s="90"/>
      <c r="BD291" s="90"/>
      <c r="BE291" s="227" t="e">
        <f t="shared" si="6"/>
        <v>#REF!</v>
      </c>
      <c r="BF291" s="227" t="e">
        <f t="array" ref="BF291">#REF!</f>
        <v>#REF!</v>
      </c>
      <c r="BG291" s="92"/>
      <c r="BH291" s="92"/>
      <c r="BI291" s="92"/>
      <c r="BJ291" s="92"/>
      <c r="BK291" s="92"/>
      <c r="BL291" s="92"/>
      <c r="BM291" s="92"/>
    </row>
    <row r="292" spans="1:65" ht="14.25" customHeight="1" outlineLevel="3" x14ac:dyDescent="0.25">
      <c r="A292" s="2" t="b">
        <f>REGULATION_METHODS="Метод индексации"</f>
        <v>1</v>
      </c>
      <c r="B292" s="8" t="b">
        <f t="array" ref="B292">A292</f>
        <v>1</v>
      </c>
      <c r="C292" s="2" t="s">
        <v>84</v>
      </c>
      <c r="D292" s="2" t="s">
        <v>85</v>
      </c>
      <c r="E292" s="2" t="s">
        <v>74</v>
      </c>
      <c r="F292" s="2" t="s">
        <v>75</v>
      </c>
      <c r="G292" s="2" t="s">
        <v>413</v>
      </c>
      <c r="H292" s="2" t="s">
        <v>74</v>
      </c>
      <c r="I292" s="2" t="s">
        <v>74</v>
      </c>
      <c r="J292" s="2" t="s">
        <v>74</v>
      </c>
      <c r="K292" s="5" t="s">
        <v>74</v>
      </c>
      <c r="L292" s="2" t="s">
        <v>370</v>
      </c>
      <c r="M292" s="8" t="str">
        <f t="array" ref="M292">Y107</f>
        <v>1ХВС::1.1</v>
      </c>
      <c r="Y292" s="2">
        <f>COUNT($Y284:Y291)+1</f>
        <v>7</v>
      </c>
      <c r="AA292" s="206" t="str">
        <f>AA258&amp;"."&amp;Y292</f>
        <v>3.1.3.7</v>
      </c>
      <c r="AB292" s="196" t="s">
        <v>413</v>
      </c>
      <c r="AC292" s="197" t="s">
        <v>114</v>
      </c>
      <c r="AD292" s="195"/>
      <c r="AE292" s="195"/>
      <c r="AF292" s="195"/>
      <c r="AG292" s="202"/>
      <c r="AH292" s="202"/>
      <c r="AI292" s="195">
        <f t="array" ref="AI292">AF292</f>
        <v>0</v>
      </c>
      <c r="AJ292" s="202"/>
      <c r="AK292" s="202"/>
      <c r="AL292" s="202"/>
      <c r="AM292" s="202"/>
      <c r="AN292" s="195"/>
      <c r="AO292" s="195"/>
      <c r="AP292" s="202"/>
      <c r="AQ292" s="202"/>
      <c r="AR292" s="195">
        <f t="array" ref="AR292">AO292</f>
        <v>0</v>
      </c>
      <c r="AS292" s="202"/>
      <c r="AT292" s="202"/>
      <c r="AU292" s="195" t="e">
        <f t="array" ref="AU292">'ВС 2021-2025'!#REF!</f>
        <v>#REF!</v>
      </c>
      <c r="AV292" s="195"/>
      <c r="AW292" s="202"/>
      <c r="AX292" s="202"/>
      <c r="AY292" s="195">
        <f t="array" ref="AY292">AV292</f>
        <v>0</v>
      </c>
      <c r="AZ292" s="202"/>
      <c r="BA292" s="202"/>
      <c r="BB292" s="90"/>
      <c r="BC292" s="90"/>
      <c r="BD292" s="90"/>
      <c r="BE292" s="227" t="e">
        <f t="shared" si="6"/>
        <v>#REF!</v>
      </c>
      <c r="BF292" s="227" t="e">
        <f t="array" ref="BF292">#REF!</f>
        <v>#REF!</v>
      </c>
      <c r="BG292" s="92"/>
      <c r="BH292" s="92"/>
      <c r="BI292" s="92"/>
      <c r="BJ292" s="92"/>
      <c r="BK292" s="92"/>
      <c r="BL292" s="92"/>
      <c r="BM292" s="92"/>
    </row>
    <row r="293" spans="1:65" ht="14.25" customHeight="1" outlineLevel="3" x14ac:dyDescent="0.25">
      <c r="A293" s="8" t="b">
        <f>REGULATION_METHODS&lt;&gt;"МЭОР"</f>
        <v>1</v>
      </c>
      <c r="C293" s="2" t="s">
        <v>84</v>
      </c>
      <c r="D293" s="2" t="s">
        <v>85</v>
      </c>
      <c r="E293" s="2" t="s">
        <v>74</v>
      </c>
      <c r="F293" s="2" t="s">
        <v>75</v>
      </c>
      <c r="G293" s="2" t="s">
        <v>414</v>
      </c>
      <c r="H293" s="2" t="s">
        <v>74</v>
      </c>
      <c r="I293" s="2" t="s">
        <v>74</v>
      </c>
      <c r="J293" s="2" t="s">
        <v>74</v>
      </c>
      <c r="K293" s="5" t="s">
        <v>74</v>
      </c>
      <c r="L293" s="2" t="s">
        <v>370</v>
      </c>
      <c r="M293" s="8" t="str">
        <f t="array" ref="M293">Y107</f>
        <v>1ХВС::1.1</v>
      </c>
      <c r="Y293" s="2">
        <f>COUNT($Y284:Y292)+1</f>
        <v>8</v>
      </c>
      <c r="AA293" s="206" t="str">
        <f>AA258&amp;"."&amp;Y293</f>
        <v>3.1.3.8</v>
      </c>
      <c r="AB293" s="196" t="s">
        <v>414</v>
      </c>
      <c r="AC293" s="197" t="s">
        <v>114</v>
      </c>
      <c r="AD293" s="136"/>
      <c r="AE293" s="136"/>
      <c r="AF293" s="195"/>
      <c r="AG293" s="202"/>
      <c r="AH293" s="202"/>
      <c r="AI293" s="136">
        <f t="array" ref="AI293">AF293</f>
        <v>0</v>
      </c>
      <c r="AJ293" s="202"/>
      <c r="AK293" s="202"/>
      <c r="AL293" s="202"/>
      <c r="AM293" s="202"/>
      <c r="AN293" s="136" t="e">
        <f t="array" ref="AN293">#REF!</f>
        <v>#REF!</v>
      </c>
      <c r="AO293" s="195"/>
      <c r="AP293" s="202"/>
      <c r="AQ293" s="202"/>
      <c r="AR293" s="136">
        <f t="array" ref="AR293">AO293</f>
        <v>0</v>
      </c>
      <c r="AS293" s="202"/>
      <c r="AT293" s="202"/>
      <c r="AU293" s="136" t="e">
        <f t="array" ref="AU293">#REF!</f>
        <v>#REF!</v>
      </c>
      <c r="AV293" s="195"/>
      <c r="AW293" s="202"/>
      <c r="AX293" s="202"/>
      <c r="AY293" s="136">
        <f t="array" ref="AY293">AV293</f>
        <v>0</v>
      </c>
      <c r="AZ293" s="202"/>
      <c r="BA293" s="202"/>
      <c r="BB293" s="85"/>
      <c r="BC293" s="85"/>
      <c r="BD293" s="85"/>
      <c r="BE293" s="99" t="e">
        <f t="shared" si="6"/>
        <v>#REF!</v>
      </c>
      <c r="BF293" s="99" t="e">
        <f t="array" ref="BF293">#REF!</f>
        <v>#REF!</v>
      </c>
      <c r="BG293" s="101"/>
      <c r="BH293" s="101"/>
      <c r="BI293" s="101"/>
      <c r="BJ293" s="101"/>
      <c r="BK293" s="101"/>
      <c r="BL293" s="101"/>
      <c r="BM293" s="101"/>
    </row>
    <row r="294" spans="1:65" ht="14.25" customHeight="1" outlineLevel="3" x14ac:dyDescent="0.25">
      <c r="A294" s="2" t="b">
        <f>REGULATION_METHODS="Метод индексации"</f>
        <v>1</v>
      </c>
      <c r="B294" s="8" t="b">
        <f t="array" ref="B294">A294</f>
        <v>1</v>
      </c>
      <c r="C294" s="2" t="s">
        <v>84</v>
      </c>
      <c r="D294" s="2" t="s">
        <v>85</v>
      </c>
      <c r="E294" s="2" t="s">
        <v>74</v>
      </c>
      <c r="F294" s="2" t="s">
        <v>75</v>
      </c>
      <c r="G294" s="2" t="s">
        <v>415</v>
      </c>
      <c r="H294" s="2" t="s">
        <v>74</v>
      </c>
      <c r="I294" s="2" t="s">
        <v>74</v>
      </c>
      <c r="J294" s="2" t="s">
        <v>74</v>
      </c>
      <c r="K294" s="5" t="s">
        <v>74</v>
      </c>
      <c r="L294" s="2" t="s">
        <v>370</v>
      </c>
      <c r="M294" s="8" t="str">
        <f t="array" ref="M294">Y107</f>
        <v>1ХВС::1.1</v>
      </c>
      <c r="Y294" s="2">
        <f>COUNT($Y284:Y293)+1</f>
        <v>9</v>
      </c>
      <c r="AA294" s="206" t="str">
        <f>AA258&amp;"."&amp;Y294</f>
        <v>3.1.3.9</v>
      </c>
      <c r="AB294" s="196" t="s">
        <v>416</v>
      </c>
      <c r="AC294" s="197" t="s">
        <v>114</v>
      </c>
      <c r="AD294" s="173">
        <v>4932.87</v>
      </c>
      <c r="AE294" s="173">
        <v>4064.57</v>
      </c>
      <c r="AF294" s="173">
        <v>0</v>
      </c>
      <c r="AG294" s="174"/>
      <c r="AH294" s="174"/>
      <c r="AI294" s="173">
        <f>AI295+AI296</f>
        <v>0</v>
      </c>
      <c r="AJ294" s="174"/>
      <c r="AK294" s="174"/>
      <c r="AL294" s="174"/>
      <c r="AM294" s="174"/>
      <c r="AN294" s="173" t="e">
        <f>AN295+AN296</f>
        <v>#REF!</v>
      </c>
      <c r="AO294" s="173">
        <v>0</v>
      </c>
      <c r="AP294" s="174"/>
      <c r="AQ294" s="174"/>
      <c r="AR294" s="173">
        <f>AR295+AR296</f>
        <v>0</v>
      </c>
      <c r="AS294" s="174"/>
      <c r="AT294" s="174"/>
      <c r="AU294" s="173" t="e">
        <f>AU295+AU296</f>
        <v>#REF!</v>
      </c>
      <c r="AV294" s="173">
        <v>0</v>
      </c>
      <c r="AW294" s="174"/>
      <c r="AX294" s="174"/>
      <c r="AY294" s="173">
        <f>AY295+AY296</f>
        <v>0</v>
      </c>
      <c r="AZ294" s="174"/>
      <c r="BA294" s="174"/>
      <c r="BB294" s="90"/>
      <c r="BC294" s="90"/>
      <c r="BD294" s="90"/>
      <c r="BE294" s="227" t="e">
        <f t="shared" si="6"/>
        <v>#REF!</v>
      </c>
      <c r="BF294" s="238" t="e">
        <f>BF295+BF296</f>
        <v>#REF!</v>
      </c>
      <c r="BG294" s="92"/>
      <c r="BH294" s="92"/>
      <c r="BI294" s="92"/>
      <c r="BJ294" s="92"/>
      <c r="BK294" s="92"/>
      <c r="BL294" s="92"/>
      <c r="BM294" s="92"/>
    </row>
    <row r="295" spans="1:65" ht="14.25" customHeight="1" outlineLevel="4" x14ac:dyDescent="0.25">
      <c r="A295" s="2" t="b">
        <f t="array" ref="A295">A294</f>
        <v>1</v>
      </c>
      <c r="B295" s="8" t="b">
        <f t="array" ref="B295">A295</f>
        <v>1</v>
      </c>
      <c r="C295" s="2" t="s">
        <v>84</v>
      </c>
      <c r="D295" s="2" t="s">
        <v>85</v>
      </c>
      <c r="E295" s="2" t="s">
        <v>74</v>
      </c>
      <c r="F295" s="2" t="s">
        <v>75</v>
      </c>
      <c r="G295" s="2" t="s">
        <v>417</v>
      </c>
      <c r="H295" s="2" t="s">
        <v>74</v>
      </c>
      <c r="I295" s="2" t="s">
        <v>74</v>
      </c>
      <c r="J295" s="2" t="s">
        <v>74</v>
      </c>
      <c r="K295" s="5" t="s">
        <v>74</v>
      </c>
      <c r="L295" s="2" t="s">
        <v>370</v>
      </c>
      <c r="M295" s="8" t="str">
        <f t="array" ref="M295">Y107</f>
        <v>1ХВС::1.1</v>
      </c>
      <c r="AA295" s="206" t="str">
        <f>AA294&amp;".1"</f>
        <v>3.1.3.9.1</v>
      </c>
      <c r="AB295" s="233" t="s">
        <v>418</v>
      </c>
      <c r="AC295" s="197" t="s">
        <v>114</v>
      </c>
      <c r="AD295" s="195"/>
      <c r="AE295" s="195"/>
      <c r="AF295" s="195"/>
      <c r="AG295" s="202"/>
      <c r="AH295" s="202"/>
      <c r="AI295" s="195">
        <f t="array" ref="AI295">AF295</f>
        <v>0</v>
      </c>
      <c r="AJ295" s="202"/>
      <c r="AK295" s="202"/>
      <c r="AL295" s="202"/>
      <c r="AM295" s="202"/>
      <c r="AN295" s="195" t="e">
        <f t="array" ref="AN295">#REF!</f>
        <v>#REF!</v>
      </c>
      <c r="AO295" s="195"/>
      <c r="AP295" s="202"/>
      <c r="AQ295" s="202"/>
      <c r="AR295" s="195">
        <f t="array" ref="AR295">AO295</f>
        <v>0</v>
      </c>
      <c r="AS295" s="202"/>
      <c r="AT295" s="202"/>
      <c r="AU295" s="195" t="e">
        <f t="array" ref="AU295">#REF!</f>
        <v>#REF!</v>
      </c>
      <c r="AV295" s="195"/>
      <c r="AW295" s="202"/>
      <c r="AX295" s="202"/>
      <c r="AY295" s="195">
        <f t="array" ref="AY295">AV295</f>
        <v>0</v>
      </c>
      <c r="AZ295" s="202"/>
      <c r="BA295" s="202"/>
      <c r="BB295" s="90"/>
      <c r="BC295" s="90"/>
      <c r="BD295" s="90"/>
      <c r="BE295" s="227" t="e">
        <f t="shared" si="6"/>
        <v>#REF!</v>
      </c>
      <c r="BF295" s="227" t="e">
        <f t="array" ref="BF295">#REF!</f>
        <v>#REF!</v>
      </c>
      <c r="BG295" s="92"/>
      <c r="BH295" s="92"/>
      <c r="BI295" s="92"/>
      <c r="BJ295" s="92"/>
      <c r="BK295" s="92"/>
      <c r="BL295" s="92"/>
      <c r="BM295" s="92"/>
    </row>
    <row r="296" spans="1:65" ht="14.25" customHeight="1" outlineLevel="4" x14ac:dyDescent="0.25">
      <c r="A296" s="2" t="b">
        <f t="array" ref="A296">A294</f>
        <v>1</v>
      </c>
      <c r="B296" s="8" t="b">
        <f t="array" ref="B296">A296</f>
        <v>1</v>
      </c>
      <c r="C296" s="2" t="s">
        <v>84</v>
      </c>
      <c r="D296" s="2" t="s">
        <v>85</v>
      </c>
      <c r="E296" s="2" t="s">
        <v>74</v>
      </c>
      <c r="F296" s="2" t="s">
        <v>75</v>
      </c>
      <c r="G296" s="2" t="s">
        <v>419</v>
      </c>
      <c r="H296" s="2" t="s">
        <v>74</v>
      </c>
      <c r="I296" s="2" t="s">
        <v>74</v>
      </c>
      <c r="J296" s="2" t="s">
        <v>74</v>
      </c>
      <c r="K296" s="5" t="s">
        <v>74</v>
      </c>
      <c r="L296" s="2" t="s">
        <v>370</v>
      </c>
      <c r="M296" s="8" t="str">
        <f t="array" ref="M296">Y107</f>
        <v>1ХВС::1.1</v>
      </c>
      <c r="AA296" s="206" t="str">
        <f>AA294&amp;".2"</f>
        <v>3.1.3.9.2</v>
      </c>
      <c r="AB296" s="233" t="s">
        <v>420</v>
      </c>
      <c r="AC296" s="197" t="s">
        <v>114</v>
      </c>
      <c r="AD296" s="195">
        <v>4932.87</v>
      </c>
      <c r="AE296" s="195">
        <v>4064.57</v>
      </c>
      <c r="AF296" s="195"/>
      <c r="AG296" s="202"/>
      <c r="AH296" s="202"/>
      <c r="AI296" s="195">
        <f t="array" ref="AI296">AF296</f>
        <v>0</v>
      </c>
      <c r="AJ296" s="202"/>
      <c r="AK296" s="202"/>
      <c r="AL296" s="202"/>
      <c r="AM296" s="202"/>
      <c r="AN296" s="195" t="e">
        <f t="array" ref="AN296">#REF!</f>
        <v>#REF!</v>
      </c>
      <c r="AO296" s="195"/>
      <c r="AP296" s="202"/>
      <c r="AQ296" s="202"/>
      <c r="AR296" s="195">
        <f t="array" ref="AR296">AO296</f>
        <v>0</v>
      </c>
      <c r="AS296" s="202"/>
      <c r="AT296" s="202"/>
      <c r="AU296" s="195" t="e">
        <f t="array" ref="AU296">#REF!</f>
        <v>#REF!</v>
      </c>
      <c r="AV296" s="195"/>
      <c r="AW296" s="202"/>
      <c r="AX296" s="202"/>
      <c r="AY296" s="195">
        <f t="array" ref="AY296">AV296</f>
        <v>0</v>
      </c>
      <c r="AZ296" s="202"/>
      <c r="BA296" s="202"/>
      <c r="BB296" s="90"/>
      <c r="BC296" s="90"/>
      <c r="BD296" s="90"/>
      <c r="BE296" s="227" t="e">
        <f t="shared" si="6"/>
        <v>#REF!</v>
      </c>
      <c r="BF296" s="227" t="e">
        <f t="array" ref="BF296">#REF!</f>
        <v>#REF!</v>
      </c>
      <c r="BG296" s="92"/>
      <c r="BH296" s="92"/>
      <c r="BI296" s="92"/>
      <c r="BJ296" s="92"/>
      <c r="BK296" s="92"/>
      <c r="BL296" s="92"/>
      <c r="BM296" s="92"/>
    </row>
    <row r="297" spans="1:65" ht="39" customHeight="1" outlineLevel="3" x14ac:dyDescent="0.25">
      <c r="A297" s="2" t="b">
        <f>REGULATION_METHODS="Метод индексации"</f>
        <v>1</v>
      </c>
      <c r="B297" s="8" t="b">
        <f t="array" ref="B297">A297</f>
        <v>1</v>
      </c>
      <c r="C297" s="2" t="s">
        <v>84</v>
      </c>
      <c r="D297" s="2" t="s">
        <v>85</v>
      </c>
      <c r="E297" s="2" t="s">
        <v>74</v>
      </c>
      <c r="F297" s="2" t="s">
        <v>75</v>
      </c>
      <c r="G297" s="2" t="s">
        <v>421</v>
      </c>
      <c r="H297" s="2" t="s">
        <v>74</v>
      </c>
      <c r="I297" s="2" t="s">
        <v>74</v>
      </c>
      <c r="J297" s="2" t="s">
        <v>74</v>
      </c>
      <c r="K297" s="5" t="s">
        <v>74</v>
      </c>
      <c r="L297" s="2" t="s">
        <v>370</v>
      </c>
      <c r="M297" s="8" t="str">
        <f t="array" ref="M297">Y107</f>
        <v>1ХВС::1.1</v>
      </c>
      <c r="Y297" s="2">
        <f>COUNT($Y284:Y296)+1</f>
        <v>10</v>
      </c>
      <c r="AA297" s="206" t="str">
        <f>AA258&amp;"."&amp;Y297</f>
        <v>3.1.3.10</v>
      </c>
      <c r="AB297" s="196" t="s">
        <v>421</v>
      </c>
      <c r="AC297" s="197" t="s">
        <v>114</v>
      </c>
      <c r="AD297" s="195"/>
      <c r="AE297" s="195"/>
      <c r="AF297" s="195"/>
      <c r="AG297" s="202"/>
      <c r="AH297" s="202"/>
      <c r="AI297" s="195">
        <f t="array" ref="AI297">AF297</f>
        <v>0</v>
      </c>
      <c r="AJ297" s="202"/>
      <c r="AK297" s="202"/>
      <c r="AL297" s="202"/>
      <c r="AM297" s="202"/>
      <c r="AN297" s="195" t="e">
        <f t="array" ref="AN297">#REF!</f>
        <v>#REF!</v>
      </c>
      <c r="AO297" s="195"/>
      <c r="AP297" s="202"/>
      <c r="AQ297" s="202"/>
      <c r="AR297" s="195">
        <f t="array" ref="AR297">AO297</f>
        <v>0</v>
      </c>
      <c r="AS297" s="202"/>
      <c r="AT297" s="202"/>
      <c r="AU297" s="195" t="e">
        <f t="array" ref="AU297">#REF!</f>
        <v>#REF!</v>
      </c>
      <c r="AV297" s="195"/>
      <c r="AW297" s="202"/>
      <c r="AX297" s="202"/>
      <c r="AY297" s="195">
        <f t="array" ref="AY297">AV297</f>
        <v>0</v>
      </c>
      <c r="AZ297" s="202"/>
      <c r="BA297" s="202"/>
      <c r="BB297" s="90"/>
      <c r="BC297" s="90"/>
      <c r="BD297" s="90"/>
      <c r="BE297" s="227" t="e">
        <f t="shared" si="6"/>
        <v>#REF!</v>
      </c>
      <c r="BF297" s="227" t="e">
        <f t="array" ref="BF297">#REF!</f>
        <v>#REF!</v>
      </c>
      <c r="BG297" s="92"/>
      <c r="BH297" s="92"/>
      <c r="BI297" s="92"/>
      <c r="BJ297" s="92"/>
      <c r="BK297" s="92"/>
      <c r="BL297" s="92"/>
      <c r="BM297" s="92"/>
    </row>
    <row r="298" spans="1:65" ht="14.25" customHeight="1" outlineLevel="3" x14ac:dyDescent="0.25">
      <c r="A298" s="2" t="b">
        <f>$AC$50="да"</f>
        <v>1</v>
      </c>
      <c r="B298" s="8" t="b">
        <f t="array" ref="B298">A298</f>
        <v>1</v>
      </c>
      <c r="C298" s="2" t="s">
        <v>84</v>
      </c>
      <c r="D298" s="2" t="s">
        <v>85</v>
      </c>
      <c r="E298" s="2" t="s">
        <v>74</v>
      </c>
      <c r="F298" s="2" t="s">
        <v>75</v>
      </c>
      <c r="G298" s="2" t="s">
        <v>422</v>
      </c>
      <c r="H298" s="2" t="s">
        <v>74</v>
      </c>
      <c r="I298" s="2" t="s">
        <v>74</v>
      </c>
      <c r="J298" s="2" t="s">
        <v>74</v>
      </c>
      <c r="K298" s="5" t="s">
        <v>74</v>
      </c>
      <c r="L298" s="2" t="s">
        <v>370</v>
      </c>
      <c r="M298" s="8" t="str">
        <f t="array" ref="M298">Y107</f>
        <v>1ХВС::1.1</v>
      </c>
      <c r="Y298" s="2">
        <f>COUNT($Y284:Y297)+1</f>
        <v>11</v>
      </c>
      <c r="AA298" s="206" t="str">
        <f>AA258&amp;"."&amp;Y298</f>
        <v>3.1.3.11</v>
      </c>
      <c r="AB298" s="196" t="s">
        <v>423</v>
      </c>
      <c r="AC298" s="197" t="s">
        <v>114</v>
      </c>
      <c r="AD298" s="195"/>
      <c r="AE298" s="195"/>
      <c r="AF298" s="195"/>
      <c r="AG298" s="202"/>
      <c r="AH298" s="202"/>
      <c r="AI298" s="195">
        <f t="array" ref="AI298">AF298</f>
        <v>0</v>
      </c>
      <c r="AJ298" s="202"/>
      <c r="AK298" s="202"/>
      <c r="AL298" s="202"/>
      <c r="AM298" s="202"/>
      <c r="AN298" s="203">
        <f t="array" ref="AN298">[2]Адм.расходы!BT$198</f>
        <v>0</v>
      </c>
      <c r="AO298" s="195"/>
      <c r="AP298" s="202"/>
      <c r="AQ298" s="202"/>
      <c r="AR298" s="195">
        <f t="array" ref="AR298">AO298</f>
        <v>0</v>
      </c>
      <c r="AS298" s="202"/>
      <c r="AT298" s="202"/>
      <c r="AU298" s="203">
        <f t="array" ref="AU298">[2]Адм.расходы!BY$198</f>
        <v>0</v>
      </c>
      <c r="AV298" s="195"/>
      <c r="AW298" s="202"/>
      <c r="AX298" s="202"/>
      <c r="AY298" s="195">
        <f t="array" ref="AY298">AV298</f>
        <v>0</v>
      </c>
      <c r="AZ298" s="202"/>
      <c r="BA298" s="202"/>
      <c r="BB298" s="90"/>
      <c r="BC298" s="90"/>
      <c r="BD298" s="90"/>
      <c r="BE298" s="227">
        <f t="shared" si="6"/>
        <v>0</v>
      </c>
      <c r="BF298" s="227" t="e">
        <f t="array" ref="BF298">#REF!</f>
        <v>#REF!</v>
      </c>
      <c r="BG298" s="92"/>
      <c r="BH298" s="92"/>
      <c r="BI298" s="92"/>
      <c r="BJ298" s="92"/>
      <c r="BK298" s="92"/>
      <c r="BL298" s="92"/>
      <c r="BM298" s="92"/>
    </row>
    <row r="299" spans="1:65" ht="14.25" customHeight="1" outlineLevel="3" x14ac:dyDescent="0.25">
      <c r="A299" s="2" t="b">
        <f>$AC$49="да"</f>
        <v>1</v>
      </c>
      <c r="B299" s="8" t="b">
        <f t="array" ref="B299">A299</f>
        <v>1</v>
      </c>
      <c r="C299" s="2" t="s">
        <v>84</v>
      </c>
      <c r="D299" s="2" t="s">
        <v>85</v>
      </c>
      <c r="E299" s="2" t="s">
        <v>74</v>
      </c>
      <c r="F299" s="2" t="s">
        <v>75</v>
      </c>
      <c r="G299" s="2" t="s">
        <v>424</v>
      </c>
      <c r="H299" s="2" t="s">
        <v>74</v>
      </c>
      <c r="I299" s="2" t="s">
        <v>74</v>
      </c>
      <c r="J299" s="2" t="s">
        <v>74</v>
      </c>
      <c r="K299" s="5" t="s">
        <v>74</v>
      </c>
      <c r="L299" s="2" t="s">
        <v>370</v>
      </c>
      <c r="M299" s="8" t="str">
        <f t="array" ref="M299">Y107</f>
        <v>1ХВС::1.1</v>
      </c>
      <c r="Y299" s="2">
        <f>COUNT($Y284:Y298)+1</f>
        <v>12</v>
      </c>
      <c r="AA299" s="206" t="str">
        <f>AA258&amp;"."&amp;Y299</f>
        <v>3.1.3.12</v>
      </c>
      <c r="AB299" s="196" t="s">
        <v>425</v>
      </c>
      <c r="AC299" s="197" t="s">
        <v>114</v>
      </c>
      <c r="AD299" s="195"/>
      <c r="AE299" s="195"/>
      <c r="AF299" s="195"/>
      <c r="AG299" s="202"/>
      <c r="AH299" s="202"/>
      <c r="AI299" s="195">
        <f t="array" ref="AI299">AF299</f>
        <v>0</v>
      </c>
      <c r="AJ299" s="202"/>
      <c r="AK299" s="202"/>
      <c r="AL299" s="202"/>
      <c r="AM299" s="202"/>
      <c r="AN299" s="203">
        <f t="array" ref="AN299">'[2]Счет 25'!BT$174</f>
        <v>0</v>
      </c>
      <c r="AO299" s="195"/>
      <c r="AP299" s="202"/>
      <c r="AQ299" s="202"/>
      <c r="AR299" s="195">
        <f t="array" ref="AR299">AO299</f>
        <v>0</v>
      </c>
      <c r="AS299" s="202"/>
      <c r="AT299" s="202"/>
      <c r="AU299" s="203">
        <f t="array" ref="AU299">'[2]Счет 25'!BY$174</f>
        <v>0</v>
      </c>
      <c r="AV299" s="195"/>
      <c r="AW299" s="202"/>
      <c r="AX299" s="202"/>
      <c r="AY299" s="195">
        <f t="array" ref="AY299">AV299</f>
        <v>0</v>
      </c>
      <c r="AZ299" s="202"/>
      <c r="BA299" s="202"/>
      <c r="BB299" s="90"/>
      <c r="BC299" s="90"/>
      <c r="BD299" s="90"/>
      <c r="BE299" s="227">
        <f t="shared" si="6"/>
        <v>0</v>
      </c>
      <c r="BF299" s="227" t="e">
        <f t="array" ref="BF299">#REF!</f>
        <v>#REF!</v>
      </c>
      <c r="BG299" s="92"/>
      <c r="BH299" s="92"/>
      <c r="BI299" s="92"/>
      <c r="BJ299" s="92"/>
      <c r="BK299" s="92"/>
      <c r="BL299" s="92"/>
      <c r="BM299" s="92"/>
    </row>
    <row r="300" spans="1:65" ht="14.25" customHeight="1" outlineLevel="3" x14ac:dyDescent="0.25">
      <c r="A300" s="2" t="b">
        <f>$AC$48="да"</f>
        <v>1</v>
      </c>
      <c r="B300" s="8" t="b">
        <f t="array" ref="B300">A300</f>
        <v>1</v>
      </c>
      <c r="C300" s="2" t="s">
        <v>84</v>
      </c>
      <c r="D300" s="2" t="s">
        <v>85</v>
      </c>
      <c r="E300" s="2" t="s">
        <v>74</v>
      </c>
      <c r="F300" s="2" t="s">
        <v>75</v>
      </c>
      <c r="G300" s="2" t="s">
        <v>426</v>
      </c>
      <c r="H300" s="2" t="s">
        <v>74</v>
      </c>
      <c r="I300" s="2" t="s">
        <v>74</v>
      </c>
      <c r="J300" s="2" t="s">
        <v>74</v>
      </c>
      <c r="K300" s="5" t="s">
        <v>74</v>
      </c>
      <c r="L300" s="2" t="s">
        <v>370</v>
      </c>
      <c r="M300" s="8" t="str">
        <f t="array" ref="M300">Y107</f>
        <v>1ХВС::1.1</v>
      </c>
      <c r="Y300" s="2">
        <f>COUNT($Y284:Y299)+1</f>
        <v>13</v>
      </c>
      <c r="AA300" s="206" t="str">
        <f>AA258&amp;"."&amp;Y300</f>
        <v>3.1.3.13</v>
      </c>
      <c r="AB300" s="196" t="s">
        <v>427</v>
      </c>
      <c r="AC300" s="197" t="s">
        <v>114</v>
      </c>
      <c r="AD300" s="195"/>
      <c r="AE300" s="195"/>
      <c r="AF300" s="195"/>
      <c r="AG300" s="202"/>
      <c r="AH300" s="202"/>
      <c r="AI300" s="195">
        <f t="array" ref="AI300">AF300</f>
        <v>0</v>
      </c>
      <c r="AJ300" s="202"/>
      <c r="AK300" s="202"/>
      <c r="AL300" s="202"/>
      <c r="AM300" s="202"/>
      <c r="AN300" s="203">
        <f t="array" ref="AN300">'[2]Счет 23'!BT$234</f>
        <v>0</v>
      </c>
      <c r="AO300" s="195"/>
      <c r="AP300" s="202"/>
      <c r="AQ300" s="202"/>
      <c r="AR300" s="195">
        <f t="array" ref="AR300">AO300</f>
        <v>0</v>
      </c>
      <c r="AS300" s="202"/>
      <c r="AT300" s="202"/>
      <c r="AU300" s="203">
        <f t="array" ref="AU300">'[2]Счет 23'!BY$234</f>
        <v>0</v>
      </c>
      <c r="AV300" s="195"/>
      <c r="AW300" s="202"/>
      <c r="AX300" s="202"/>
      <c r="AY300" s="195">
        <f t="array" ref="AY300">AV300</f>
        <v>0</v>
      </c>
      <c r="AZ300" s="202"/>
      <c r="BA300" s="202"/>
      <c r="BB300" s="90"/>
      <c r="BC300" s="90"/>
      <c r="BD300" s="90"/>
      <c r="BE300" s="227">
        <f t="shared" si="6"/>
        <v>0</v>
      </c>
      <c r="BF300" s="227" t="e">
        <f t="array" ref="BF300">#REF!</f>
        <v>#REF!</v>
      </c>
      <c r="BG300" s="92"/>
      <c r="BH300" s="92"/>
      <c r="BI300" s="92"/>
      <c r="BJ300" s="92"/>
      <c r="BK300" s="92"/>
      <c r="BL300" s="92"/>
      <c r="BM300" s="92"/>
    </row>
    <row r="301" spans="1:65" ht="14.25" customHeight="1" outlineLevel="3" x14ac:dyDescent="0.25">
      <c r="C301" s="2" t="s">
        <v>84</v>
      </c>
      <c r="D301" s="2" t="s">
        <v>85</v>
      </c>
      <c r="E301" s="2" t="s">
        <v>74</v>
      </c>
      <c r="F301" s="2" t="s">
        <v>75</v>
      </c>
      <c r="G301" s="2" t="s">
        <v>428</v>
      </c>
      <c r="H301" s="2" t="s">
        <v>74</v>
      </c>
      <c r="I301" s="2" t="s">
        <v>74</v>
      </c>
      <c r="J301" s="2" t="s">
        <v>74</v>
      </c>
      <c r="K301" s="5" t="s">
        <v>74</v>
      </c>
      <c r="L301" s="2" t="s">
        <v>370</v>
      </c>
      <c r="M301" s="8" t="str">
        <f t="array" ref="M301">Y107</f>
        <v>1ХВС::1.1</v>
      </c>
      <c r="Y301" s="2">
        <f>COUNT($Y284:Y300)+1</f>
        <v>14</v>
      </c>
      <c r="AA301" s="206" t="str">
        <f>AA258&amp;"."&amp;Y301</f>
        <v>3.1.3.14</v>
      </c>
      <c r="AB301" s="196" t="s">
        <v>428</v>
      </c>
      <c r="AC301" s="197" t="s">
        <v>114</v>
      </c>
      <c r="AD301" s="173">
        <v>1.0004441719502211E-11</v>
      </c>
      <c r="AE301" s="173">
        <v>296.37999999990416</v>
      </c>
      <c r="AF301" s="195"/>
      <c r="AG301" s="174"/>
      <c r="AH301" s="174"/>
      <c r="AI301" s="136">
        <f t="array" ref="AI301">AF301</f>
        <v>0</v>
      </c>
      <c r="AJ301" s="174"/>
      <c r="AK301" s="174"/>
      <c r="AL301" s="174"/>
      <c r="AM301" s="174"/>
      <c r="AN301" s="203">
        <f t="array" ref="AN301">'[2]Прочие прямые'!AH94</f>
        <v>0</v>
      </c>
      <c r="AO301" s="195"/>
      <c r="AP301" s="174"/>
      <c r="AQ301" s="174"/>
      <c r="AR301" s="136">
        <f t="array" ref="AR301">AO301</f>
        <v>0</v>
      </c>
      <c r="AS301" s="174"/>
      <c r="AT301" s="174"/>
      <c r="AU301" s="203">
        <f t="array" ref="AU301">'[2]Прочие прямые'!AM94</f>
        <v>0</v>
      </c>
      <c r="AV301" s="195"/>
      <c r="AW301" s="174"/>
      <c r="AX301" s="174"/>
      <c r="AY301" s="136">
        <f t="array" ref="AY301">AV301</f>
        <v>0</v>
      </c>
      <c r="AZ301" s="174"/>
      <c r="BA301" s="174"/>
      <c r="BB301" s="85"/>
      <c r="BC301" s="85"/>
      <c r="BD301" s="85"/>
      <c r="BE301" s="99">
        <f t="shared" si="6"/>
        <v>296.37999999991416</v>
      </c>
      <c r="BF301" s="99" t="e">
        <f t="array" ref="BF301">#REF!</f>
        <v>#REF!</v>
      </c>
      <c r="BG301" s="101"/>
      <c r="BH301" s="101"/>
      <c r="BI301" s="101"/>
      <c r="BJ301" s="101"/>
      <c r="BK301" s="101"/>
      <c r="BL301" s="101"/>
      <c r="BM301" s="101"/>
    </row>
    <row r="302" spans="1:65" ht="14.25" customHeight="1" outlineLevel="1" x14ac:dyDescent="0.25">
      <c r="C302" s="2" t="s">
        <v>84</v>
      </c>
      <c r="D302" s="2" t="s">
        <v>85</v>
      </c>
      <c r="E302" s="2" t="s">
        <v>74</v>
      </c>
      <c r="F302" s="2" t="s">
        <v>75</v>
      </c>
      <c r="G302" s="2" t="s">
        <v>429</v>
      </c>
      <c r="H302" s="2" t="s">
        <v>74</v>
      </c>
      <c r="I302" s="2" t="s">
        <v>74</v>
      </c>
      <c r="J302" s="2" t="s">
        <v>74</v>
      </c>
      <c r="K302" s="5" t="s">
        <v>74</v>
      </c>
      <c r="L302" s="2" t="s">
        <v>136</v>
      </c>
      <c r="M302" s="8" t="str">
        <f t="array" ref="M302">Y107</f>
        <v>1ХВС::1.1</v>
      </c>
      <c r="AA302" s="191" t="str">
        <f>AA156&amp;".2"</f>
        <v>3.2</v>
      </c>
      <c r="AB302" s="239" t="s">
        <v>429</v>
      </c>
      <c r="AC302" s="191" t="s">
        <v>114</v>
      </c>
      <c r="AD302" s="136">
        <v>96694.68</v>
      </c>
      <c r="AE302" s="136">
        <v>52294.47</v>
      </c>
      <c r="AF302" s="195">
        <v>129353.57</v>
      </c>
      <c r="AG302" s="202"/>
      <c r="AH302" s="202"/>
      <c r="AI302" s="136">
        <v>129353.57</v>
      </c>
      <c r="AJ302" s="202"/>
      <c r="AK302" s="202"/>
      <c r="AL302" s="202"/>
      <c r="AM302" s="202"/>
      <c r="AN302" s="173">
        <f>AN303+AN305+AN306+AN307+AN308</f>
        <v>194981.56563</v>
      </c>
      <c r="AO302" s="195">
        <v>36533.974800000004</v>
      </c>
      <c r="AP302" s="202"/>
      <c r="AQ302" s="202"/>
      <c r="AR302" s="136">
        <v>36533.974800000004</v>
      </c>
      <c r="AS302" s="202"/>
      <c r="AT302" s="202"/>
      <c r="AU302" s="173">
        <f>AU303+AU305+AU306+AU307+AU308</f>
        <v>0</v>
      </c>
      <c r="AV302" s="195">
        <v>36533.97479</v>
      </c>
      <c r="AW302" s="202"/>
      <c r="AX302" s="202"/>
      <c r="AY302" s="136">
        <v>36533.97479</v>
      </c>
      <c r="AZ302" s="202"/>
      <c r="BA302" s="202"/>
      <c r="BB302" s="85"/>
      <c r="BC302" s="85"/>
      <c r="BD302" s="85"/>
      <c r="BE302" s="99">
        <f t="shared" si="6"/>
        <v>748813.75480999995</v>
      </c>
      <c r="BF302" s="100" t="e">
        <f>BF303+BF305+BF306+BF307+BF308</f>
        <v>#REF!</v>
      </c>
      <c r="BG302" s="101"/>
      <c r="BH302" s="101"/>
      <c r="BI302" s="101"/>
      <c r="BJ302" s="101"/>
      <c r="BK302" s="101"/>
      <c r="BL302" s="101"/>
      <c r="BM302" s="101"/>
    </row>
    <row r="303" spans="1:65" ht="14.25" customHeight="1" outlineLevel="2" x14ac:dyDescent="0.25">
      <c r="C303" s="2" t="s">
        <v>84</v>
      </c>
      <c r="D303" s="2" t="s">
        <v>85</v>
      </c>
      <c r="E303" s="2" t="s">
        <v>74</v>
      </c>
      <c r="F303" s="2" t="s">
        <v>75</v>
      </c>
      <c r="G303" s="2" t="s">
        <v>430</v>
      </c>
      <c r="H303" s="2" t="s">
        <v>74</v>
      </c>
      <c r="I303" s="2" t="s">
        <v>74</v>
      </c>
      <c r="J303" s="2" t="s">
        <v>74</v>
      </c>
      <c r="K303" s="5" t="s">
        <v>74</v>
      </c>
      <c r="L303" s="2" t="s">
        <v>325</v>
      </c>
      <c r="M303" s="8" t="str">
        <f t="array" ref="M303">Y107</f>
        <v>1ХВС::1.1</v>
      </c>
      <c r="Y303" s="2">
        <v>1</v>
      </c>
      <c r="AA303" s="107" t="str">
        <f>AA$302&amp;"."&amp;Y303</f>
        <v>3.2.1</v>
      </c>
      <c r="AB303" s="240" t="s">
        <v>195</v>
      </c>
      <c r="AC303" s="197" t="s">
        <v>114</v>
      </c>
      <c r="AD303" s="173">
        <v>96694.68</v>
      </c>
      <c r="AE303" s="173">
        <v>52294.47</v>
      </c>
      <c r="AF303" s="173">
        <v>129353.57</v>
      </c>
      <c r="AG303" s="174"/>
      <c r="AH303" s="174"/>
      <c r="AI303" s="173">
        <f>AI302-AI305-AI306-AI307-AI308</f>
        <v>129353.57</v>
      </c>
      <c r="AJ303" s="174"/>
      <c r="AK303" s="174"/>
      <c r="AL303" s="174"/>
      <c r="AM303" s="174"/>
      <c r="AN303" s="203">
        <f>(1/1000)*[2]Амортизация!$DP$93</f>
        <v>194981.56563</v>
      </c>
      <c r="AO303" s="173">
        <v>36533.974800000004</v>
      </c>
      <c r="AP303" s="174"/>
      <c r="AQ303" s="174"/>
      <c r="AR303" s="173">
        <f>AR302-AR305-AR306-AR307-AR308</f>
        <v>36533.974800000004</v>
      </c>
      <c r="AS303" s="174"/>
      <c r="AT303" s="174"/>
      <c r="AU303" s="203">
        <f>(1/1000)*[2]Амортизация!$DU$93</f>
        <v>0</v>
      </c>
      <c r="AV303" s="173">
        <v>36533.97479</v>
      </c>
      <c r="AW303" s="174"/>
      <c r="AX303" s="174"/>
      <c r="AY303" s="173">
        <f>AY302-AY305-AY306-AY307-AY308</f>
        <v>36533.97479</v>
      </c>
      <c r="AZ303" s="174"/>
      <c r="BA303" s="174"/>
      <c r="BB303" s="85"/>
      <c r="BC303" s="85"/>
      <c r="BD303" s="85"/>
      <c r="BE303" s="99">
        <f t="shared" si="6"/>
        <v>748813.75480999995</v>
      </c>
      <c r="BF303" s="99" t="e">
        <f t="array" ref="BF303">#REF!</f>
        <v>#REF!</v>
      </c>
      <c r="BG303" s="101"/>
      <c r="BH303" s="101"/>
      <c r="BI303" s="101"/>
      <c r="BJ303" s="101"/>
      <c r="BK303" s="101"/>
      <c r="BL303" s="101"/>
      <c r="BM303" s="101"/>
    </row>
    <row r="304" spans="1:65" ht="14.25" customHeight="1" outlineLevel="2" x14ac:dyDescent="0.25">
      <c r="C304" s="3" t="s">
        <v>84</v>
      </c>
      <c r="D304" s="3" t="s">
        <v>85</v>
      </c>
      <c r="E304" s="3" t="s">
        <v>74</v>
      </c>
      <c r="F304" s="3" t="s">
        <v>75</v>
      </c>
      <c r="G304" s="3" t="s">
        <v>431</v>
      </c>
      <c r="H304" s="3" t="s">
        <v>74</v>
      </c>
      <c r="I304" s="3" t="s">
        <v>74</v>
      </c>
      <c r="J304" s="3" t="s">
        <v>74</v>
      </c>
      <c r="K304" s="241" t="s">
        <v>74</v>
      </c>
      <c r="AA304" s="107" t="str">
        <f>AA$303&amp;".1"</f>
        <v>3.2.1.1</v>
      </c>
      <c r="AB304" s="242" t="s">
        <v>432</v>
      </c>
      <c r="AC304" s="197" t="s">
        <v>114</v>
      </c>
      <c r="AD304" s="136"/>
      <c r="AE304" s="136"/>
      <c r="AF304" s="195"/>
      <c r="AG304" s="202"/>
      <c r="AH304" s="202"/>
      <c r="AI304" s="136">
        <f t="array" ref="AI304">AF304</f>
        <v>0</v>
      </c>
      <c r="AJ304" s="202"/>
      <c r="AK304" s="202"/>
      <c r="AL304" s="202"/>
      <c r="AM304" s="202"/>
      <c r="AN304" s="136" t="e">
        <f t="array" ref="AN304">#REF!</f>
        <v>#REF!</v>
      </c>
      <c r="AO304" s="195"/>
      <c r="AP304" s="202"/>
      <c r="AQ304" s="202"/>
      <c r="AR304" s="136">
        <f t="array" ref="AR304">AO304</f>
        <v>0</v>
      </c>
      <c r="AS304" s="202"/>
      <c r="AT304" s="202"/>
      <c r="AU304" s="136" t="e">
        <f t="array" ref="AU304">#REF!</f>
        <v>#REF!</v>
      </c>
      <c r="AV304" s="195"/>
      <c r="AW304" s="202"/>
      <c r="AX304" s="202"/>
      <c r="AY304" s="136">
        <f t="array" ref="AY304">AV304</f>
        <v>0</v>
      </c>
      <c r="AZ304" s="202"/>
      <c r="BA304" s="202"/>
      <c r="BB304" s="85"/>
      <c r="BC304" s="85"/>
      <c r="BD304" s="85"/>
      <c r="BE304" s="99" t="e">
        <f t="shared" si="6"/>
        <v>#REF!</v>
      </c>
      <c r="BF304" s="99" t="e">
        <f t="array" ref="BF304">#REF!</f>
        <v>#REF!</v>
      </c>
      <c r="BG304" s="101"/>
      <c r="BH304" s="101"/>
      <c r="BI304" s="101"/>
      <c r="BJ304" s="101"/>
      <c r="BK304" s="101"/>
      <c r="BL304" s="101"/>
      <c r="BM304" s="101"/>
    </row>
    <row r="305" spans="1:66" ht="14.25" customHeight="1" outlineLevel="2" x14ac:dyDescent="0.25">
      <c r="A305" s="2" t="b">
        <f>$AC$50="да"</f>
        <v>1</v>
      </c>
      <c r="B305" s="8" t="b">
        <f t="array" ref="B305">A305</f>
        <v>1</v>
      </c>
      <c r="C305" s="2" t="s">
        <v>84</v>
      </c>
      <c r="D305" s="2" t="s">
        <v>85</v>
      </c>
      <c r="E305" s="2" t="s">
        <v>74</v>
      </c>
      <c r="F305" s="2" t="s">
        <v>75</v>
      </c>
      <c r="G305" s="2" t="s">
        <v>433</v>
      </c>
      <c r="H305" s="2" t="s">
        <v>74</v>
      </c>
      <c r="I305" s="2" t="s">
        <v>74</v>
      </c>
      <c r="J305" s="2" t="s">
        <v>74</v>
      </c>
      <c r="K305" s="5" t="s">
        <v>74</v>
      </c>
      <c r="L305" s="2" t="s">
        <v>365</v>
      </c>
      <c r="M305" s="8" t="str">
        <f t="array" ref="M305">Y107</f>
        <v>1ХВС::1.1</v>
      </c>
      <c r="Y305" s="2">
        <f>COUNT($Y303:Y303)+1</f>
        <v>2</v>
      </c>
      <c r="AA305" s="107" t="str">
        <f>AA$302&amp;"."&amp;Y305</f>
        <v>3.2.2</v>
      </c>
      <c r="AB305" s="240" t="s">
        <v>423</v>
      </c>
      <c r="AC305" s="197" t="s">
        <v>114</v>
      </c>
      <c r="AD305" s="195"/>
      <c r="AE305" s="195"/>
      <c r="AF305" s="195"/>
      <c r="AG305" s="202"/>
      <c r="AH305" s="202"/>
      <c r="AI305" s="195">
        <f t="array" ref="AI305">AF305</f>
        <v>0</v>
      </c>
      <c r="AJ305" s="202"/>
      <c r="AK305" s="202"/>
      <c r="AL305" s="202"/>
      <c r="AM305" s="202"/>
      <c r="AN305" s="203">
        <f t="array" ref="AN305">IF($AC$50="да",[2]Адм.расходы!BT199,0)</f>
        <v>0</v>
      </c>
      <c r="AO305" s="195"/>
      <c r="AP305" s="202"/>
      <c r="AQ305" s="202"/>
      <c r="AR305" s="195">
        <f t="array" ref="AR305">AO305</f>
        <v>0</v>
      </c>
      <c r="AS305" s="202"/>
      <c r="AT305" s="202"/>
      <c r="AU305" s="203">
        <f t="array" ref="AU305">IF($AC$50="да",[2]Адм.расходы!BY199,0)</f>
        <v>0</v>
      </c>
      <c r="AV305" s="195"/>
      <c r="AW305" s="202"/>
      <c r="AX305" s="202"/>
      <c r="AY305" s="195">
        <f t="array" ref="AY305">AV305</f>
        <v>0</v>
      </c>
      <c r="AZ305" s="202"/>
      <c r="BA305" s="202"/>
      <c r="BB305" s="90"/>
      <c r="BC305" s="90"/>
      <c r="BD305" s="90"/>
      <c r="BE305" s="227">
        <f t="shared" si="6"/>
        <v>0</v>
      </c>
      <c r="BF305" s="227" t="e">
        <f t="array" ref="BF305">#REF!</f>
        <v>#REF!</v>
      </c>
      <c r="BG305" s="92"/>
      <c r="BH305" s="92"/>
      <c r="BI305" s="92"/>
      <c r="BJ305" s="92"/>
      <c r="BK305" s="92"/>
      <c r="BL305" s="92"/>
      <c r="BM305" s="92"/>
    </row>
    <row r="306" spans="1:66" ht="14.25" customHeight="1" outlineLevel="2" x14ac:dyDescent="0.25">
      <c r="A306" s="2" t="b">
        <f>$AC$49="да"</f>
        <v>1</v>
      </c>
      <c r="B306" s="8" t="b">
        <f t="array" ref="B306">A306</f>
        <v>1</v>
      </c>
      <c r="C306" s="2" t="s">
        <v>84</v>
      </c>
      <c r="D306" s="2" t="s">
        <v>85</v>
      </c>
      <c r="E306" s="2" t="s">
        <v>74</v>
      </c>
      <c r="F306" s="2" t="s">
        <v>75</v>
      </c>
      <c r="G306" s="2" t="s">
        <v>434</v>
      </c>
      <c r="H306" s="2" t="s">
        <v>74</v>
      </c>
      <c r="I306" s="2" t="s">
        <v>74</v>
      </c>
      <c r="J306" s="2" t="s">
        <v>74</v>
      </c>
      <c r="K306" s="5" t="s">
        <v>74</v>
      </c>
      <c r="L306" s="2" t="s">
        <v>228</v>
      </c>
      <c r="M306" s="8" t="str">
        <f t="array" ref="M306">Y107</f>
        <v>1ХВС::1.1</v>
      </c>
      <c r="Y306" s="2">
        <f>COUNT($Y303:Y305)+1</f>
        <v>3</v>
      </c>
      <c r="AA306" s="107" t="str">
        <f>AA$302&amp;"."&amp;Y306</f>
        <v>3.2.3</v>
      </c>
      <c r="AB306" s="240" t="s">
        <v>435</v>
      </c>
      <c r="AC306" s="197" t="s">
        <v>114</v>
      </c>
      <c r="AD306" s="195"/>
      <c r="AE306" s="195"/>
      <c r="AF306" s="195"/>
      <c r="AG306" s="202"/>
      <c r="AH306" s="202"/>
      <c r="AI306" s="195">
        <f t="array" ref="AI306">AF306</f>
        <v>0</v>
      </c>
      <c r="AJ306" s="202"/>
      <c r="AK306" s="202"/>
      <c r="AL306" s="202"/>
      <c r="AM306" s="202"/>
      <c r="AN306" s="203">
        <f t="array" ref="AN306">IF($AC$49="да",'[2]Счет 25'!BT175,0)</f>
        <v>0</v>
      </c>
      <c r="AO306" s="195"/>
      <c r="AP306" s="202"/>
      <c r="AQ306" s="202"/>
      <c r="AR306" s="195">
        <f t="array" ref="AR306">AO306</f>
        <v>0</v>
      </c>
      <c r="AS306" s="202"/>
      <c r="AT306" s="202"/>
      <c r="AU306" s="203">
        <f t="array" ref="AU306">IF($AC$49="да",'[2]Счет 25'!BY175,0)</f>
        <v>0</v>
      </c>
      <c r="AV306" s="195"/>
      <c r="AW306" s="202"/>
      <c r="AX306" s="202"/>
      <c r="AY306" s="195">
        <f t="array" ref="AY306">AV306</f>
        <v>0</v>
      </c>
      <c r="AZ306" s="202"/>
      <c r="BA306" s="202"/>
      <c r="BB306" s="90"/>
      <c r="BC306" s="90"/>
      <c r="BD306" s="90"/>
      <c r="BE306" s="227">
        <f t="shared" si="6"/>
        <v>0</v>
      </c>
      <c r="BF306" s="227" t="e">
        <f t="array" ref="BF306">#REF!</f>
        <v>#REF!</v>
      </c>
      <c r="BG306" s="92"/>
      <c r="BH306" s="92"/>
      <c r="BI306" s="92"/>
      <c r="BJ306" s="92"/>
      <c r="BK306" s="92"/>
      <c r="BL306" s="92"/>
      <c r="BM306" s="92"/>
    </row>
    <row r="307" spans="1:66" ht="14.25" customHeight="1" outlineLevel="2" x14ac:dyDescent="0.25">
      <c r="A307" s="2" t="b">
        <f>$AC$48="да"</f>
        <v>1</v>
      </c>
      <c r="B307" s="8" t="b">
        <f t="array" ref="B307">A307</f>
        <v>1</v>
      </c>
      <c r="C307" s="2" t="s">
        <v>84</v>
      </c>
      <c r="D307" s="2" t="s">
        <v>85</v>
      </c>
      <c r="E307" s="2" t="s">
        <v>74</v>
      </c>
      <c r="F307" s="2" t="s">
        <v>75</v>
      </c>
      <c r="G307" s="2" t="s">
        <v>436</v>
      </c>
      <c r="H307" s="2" t="s">
        <v>74</v>
      </c>
      <c r="I307" s="2" t="s">
        <v>74</v>
      </c>
      <c r="J307" s="2" t="s">
        <v>74</v>
      </c>
      <c r="K307" s="5" t="s">
        <v>74</v>
      </c>
      <c r="L307" s="2" t="s">
        <v>360</v>
      </c>
      <c r="M307" s="8" t="str">
        <f t="array" ref="M307">Y107</f>
        <v>1ХВС::1.1</v>
      </c>
      <c r="Y307" s="2">
        <f>COUNT($Y303:Y306)+1</f>
        <v>4</v>
      </c>
      <c r="AA307" s="107" t="str">
        <f>AA$302&amp;"."&amp;Y307</f>
        <v>3.2.4</v>
      </c>
      <c r="AB307" s="240" t="s">
        <v>427</v>
      </c>
      <c r="AC307" s="197" t="s">
        <v>114</v>
      </c>
      <c r="AD307" s="195"/>
      <c r="AE307" s="195"/>
      <c r="AF307" s="195"/>
      <c r="AG307" s="202"/>
      <c r="AH307" s="202"/>
      <c r="AI307" s="195">
        <f t="array" ref="AI307">AF307</f>
        <v>0</v>
      </c>
      <c r="AJ307" s="202"/>
      <c r="AK307" s="202"/>
      <c r="AL307" s="202"/>
      <c r="AM307" s="202"/>
      <c r="AN307" s="203">
        <f t="array" ref="AN307">IF($AC$48="да",'[2]Счет 23'!BT235,0)</f>
        <v>0</v>
      </c>
      <c r="AO307" s="195"/>
      <c r="AP307" s="202"/>
      <c r="AQ307" s="202"/>
      <c r="AR307" s="195">
        <f t="array" ref="AR307">AO307</f>
        <v>0</v>
      </c>
      <c r="AS307" s="202"/>
      <c r="AT307" s="202"/>
      <c r="AU307" s="203">
        <f t="array" ref="AU307">IF($AC$48="да",'[2]Счет 23'!BY235,0)</f>
        <v>0</v>
      </c>
      <c r="AV307" s="195"/>
      <c r="AW307" s="202"/>
      <c r="AX307" s="202"/>
      <c r="AY307" s="195">
        <f t="array" ref="AY307">AV307</f>
        <v>0</v>
      </c>
      <c r="AZ307" s="202"/>
      <c r="BA307" s="202"/>
      <c r="BB307" s="90"/>
      <c r="BC307" s="90"/>
      <c r="BD307" s="90"/>
      <c r="BE307" s="227">
        <f t="shared" si="6"/>
        <v>0</v>
      </c>
      <c r="BF307" s="227" t="e">
        <f t="array" ref="BF307">#REF!</f>
        <v>#REF!</v>
      </c>
      <c r="BG307" s="92"/>
      <c r="BH307" s="92"/>
      <c r="BI307" s="92"/>
      <c r="BJ307" s="92"/>
      <c r="BK307" s="92"/>
      <c r="BL307" s="92"/>
      <c r="BM307" s="92"/>
    </row>
    <row r="308" spans="1:66" ht="14.25" hidden="1" customHeight="1" outlineLevel="2" x14ac:dyDescent="0.25">
      <c r="A308" s="2" t="b">
        <f>$AC$47="да"</f>
        <v>0</v>
      </c>
      <c r="B308" s="8" t="b">
        <f t="array" ref="B308">A308</f>
        <v>0</v>
      </c>
      <c r="C308" s="2" t="s">
        <v>84</v>
      </c>
      <c r="D308" s="2" t="s">
        <v>85</v>
      </c>
      <c r="E308" s="2" t="s">
        <v>74</v>
      </c>
      <c r="F308" s="2" t="s">
        <v>75</v>
      </c>
      <c r="G308" s="2" t="s">
        <v>437</v>
      </c>
      <c r="H308" s="2" t="s">
        <v>74</v>
      </c>
      <c r="I308" s="2" t="s">
        <v>74</v>
      </c>
      <c r="J308" s="2" t="s">
        <v>74</v>
      </c>
      <c r="K308" s="5" t="s">
        <v>74</v>
      </c>
      <c r="L308" s="2" t="s">
        <v>438</v>
      </c>
      <c r="M308" s="8" t="str">
        <f t="array" ref="M308">Y107</f>
        <v>1ХВС::1.1</v>
      </c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2">
        <f>COUNT($Y303:Y307)+1</f>
        <v>5</v>
      </c>
      <c r="Z308" s="15"/>
      <c r="AA308" s="167"/>
      <c r="AB308" s="240"/>
      <c r="AC308" s="211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12"/>
      <c r="AO308" s="202"/>
      <c r="AP308" s="202"/>
      <c r="AQ308" s="202"/>
      <c r="AR308" s="202"/>
      <c r="AS308" s="202"/>
      <c r="AT308" s="202"/>
      <c r="AU308" s="212"/>
      <c r="AV308" s="202"/>
      <c r="AW308" s="202"/>
      <c r="AX308" s="202"/>
      <c r="AY308" s="202"/>
      <c r="AZ308" s="202"/>
      <c r="BA308" s="202"/>
      <c r="BB308" s="62"/>
      <c r="BC308" s="62"/>
      <c r="BD308" s="62"/>
      <c r="BE308" s="170"/>
      <c r="BF308" s="170"/>
      <c r="BG308" s="68"/>
      <c r="BH308" s="68"/>
      <c r="BI308" s="68"/>
      <c r="BJ308" s="68"/>
      <c r="BK308" s="68"/>
      <c r="BL308" s="68"/>
      <c r="BM308" s="68"/>
      <c r="BN308" s="15"/>
    </row>
    <row r="309" spans="1:66" ht="14.25" customHeight="1" outlineLevel="1" x14ac:dyDescent="0.25">
      <c r="C309" s="2" t="s">
        <v>84</v>
      </c>
      <c r="D309" s="2" t="s">
        <v>85</v>
      </c>
      <c r="E309" s="2" t="s">
        <v>74</v>
      </c>
      <c r="F309" s="2" t="s">
        <v>75</v>
      </c>
      <c r="G309" s="2" t="s">
        <v>439</v>
      </c>
      <c r="H309" s="2" t="s">
        <v>74</v>
      </c>
      <c r="I309" s="2" t="s">
        <v>74</v>
      </c>
      <c r="J309" s="2" t="s">
        <v>74</v>
      </c>
      <c r="K309" s="5" t="s">
        <v>74</v>
      </c>
      <c r="L309" s="2" t="s">
        <v>136</v>
      </c>
      <c r="M309" s="8" t="str">
        <f t="array" ref="M309">Y107</f>
        <v>1ХВС::1.1</v>
      </c>
      <c r="AA309" s="191" t="str">
        <f>AA156&amp;".3"</f>
        <v>3.3</v>
      </c>
      <c r="AB309" s="190" t="s">
        <v>439</v>
      </c>
      <c r="AC309" s="191" t="s">
        <v>114</v>
      </c>
      <c r="AD309" s="173">
        <v>2650.31</v>
      </c>
      <c r="AE309" s="173">
        <v>2777.38</v>
      </c>
      <c r="AF309" s="173">
        <v>6819.7807123350003</v>
      </c>
      <c r="AG309" s="174"/>
      <c r="AH309" s="174"/>
      <c r="AI309" s="173">
        <f>AI310+AI313+AI314+AI315</f>
        <v>6819.7807123350003</v>
      </c>
      <c r="AJ309" s="174"/>
      <c r="AK309" s="174"/>
      <c r="AL309" s="174"/>
      <c r="AM309" s="174"/>
      <c r="AN309" s="173" t="e">
        <f>AN310+AN313+AN314+AN315</f>
        <v>#REF!</v>
      </c>
      <c r="AO309" s="173">
        <v>9491.52</v>
      </c>
      <c r="AP309" s="174"/>
      <c r="AQ309" s="174"/>
      <c r="AR309" s="173">
        <f>AR310+AR313+AR314+AR315</f>
        <v>9491.52</v>
      </c>
      <c r="AS309" s="174"/>
      <c r="AT309" s="174"/>
      <c r="AU309" s="173" t="e">
        <f>AU310+AU313+AU314+AU315</f>
        <v>#REF!</v>
      </c>
      <c r="AV309" s="173">
        <v>9871.1</v>
      </c>
      <c r="AW309" s="174"/>
      <c r="AX309" s="174"/>
      <c r="AY309" s="173">
        <f>AY310+AY313+AY314+AY315</f>
        <v>9871.1</v>
      </c>
      <c r="AZ309" s="174"/>
      <c r="BA309" s="174"/>
      <c r="BB309" s="85"/>
      <c r="BC309" s="85"/>
      <c r="BD309" s="85"/>
      <c r="BE309" s="99" t="e">
        <f t="shared" ref="BE309:BE314" si="8">SUM(AD309:BA309)</f>
        <v>#REF!</v>
      </c>
      <c r="BF309" s="100" t="e">
        <f>BF310+BF313+BF314+BF315</f>
        <v>#REF!</v>
      </c>
      <c r="BG309" s="101"/>
      <c r="BH309" s="101"/>
      <c r="BI309" s="101"/>
      <c r="BJ309" s="101"/>
      <c r="BK309" s="101"/>
      <c r="BL309" s="101"/>
      <c r="BM309" s="101"/>
    </row>
    <row r="310" spans="1:66" ht="42" customHeight="1" outlineLevel="3" x14ac:dyDescent="0.25">
      <c r="C310" s="2" t="s">
        <v>84</v>
      </c>
      <c r="D310" s="2" t="s">
        <v>85</v>
      </c>
      <c r="E310" s="2" t="s">
        <v>74</v>
      </c>
      <c r="F310" s="2" t="s">
        <v>75</v>
      </c>
      <c r="G310" s="2" t="s">
        <v>440</v>
      </c>
      <c r="H310" s="2" t="s">
        <v>74</v>
      </c>
      <c r="I310" s="2" t="s">
        <v>74</v>
      </c>
      <c r="J310" s="2" t="s">
        <v>74</v>
      </c>
      <c r="K310" s="5" t="s">
        <v>74</v>
      </c>
      <c r="L310" s="2" t="s">
        <v>136</v>
      </c>
      <c r="M310" s="8" t="str">
        <f t="array" ref="M310">Y107</f>
        <v>1ХВС::1.1</v>
      </c>
      <c r="AA310" s="107" t="str">
        <f>AA309&amp;".1"</f>
        <v>3.3.1</v>
      </c>
      <c r="AB310" s="240" t="s">
        <v>440</v>
      </c>
      <c r="AC310" s="197" t="s">
        <v>114</v>
      </c>
      <c r="AD310" s="173">
        <v>0</v>
      </c>
      <c r="AE310" s="173">
        <v>0</v>
      </c>
      <c r="AF310" s="173">
        <v>0</v>
      </c>
      <c r="AG310" s="174"/>
      <c r="AH310" s="174"/>
      <c r="AI310" s="173">
        <f>AI311+AI312</f>
        <v>0</v>
      </c>
      <c r="AJ310" s="174"/>
      <c r="AK310" s="174"/>
      <c r="AL310" s="174"/>
      <c r="AM310" s="174"/>
      <c r="AN310" s="173" t="e">
        <f>AN311+AN312</f>
        <v>#REF!</v>
      </c>
      <c r="AO310" s="173">
        <v>0</v>
      </c>
      <c r="AP310" s="174"/>
      <c r="AQ310" s="174"/>
      <c r="AR310" s="173">
        <f>AR311+AR312</f>
        <v>0</v>
      </c>
      <c r="AS310" s="174"/>
      <c r="AT310" s="174"/>
      <c r="AU310" s="173" t="e">
        <f>AU311+AU312</f>
        <v>#REF!</v>
      </c>
      <c r="AV310" s="173">
        <v>0</v>
      </c>
      <c r="AW310" s="174"/>
      <c r="AX310" s="174"/>
      <c r="AY310" s="173">
        <f>AY311+AY312</f>
        <v>0</v>
      </c>
      <c r="AZ310" s="174"/>
      <c r="BA310" s="174"/>
      <c r="BB310" s="85"/>
      <c r="BC310" s="85"/>
      <c r="BD310" s="85"/>
      <c r="BE310" s="99" t="e">
        <f t="shared" si="8"/>
        <v>#REF!</v>
      </c>
      <c r="BF310" s="100" t="e">
        <f>BF311+BF312</f>
        <v>#REF!</v>
      </c>
      <c r="BG310" s="101"/>
      <c r="BH310" s="101"/>
      <c r="BI310" s="101"/>
      <c r="BJ310" s="101"/>
      <c r="BK310" s="101"/>
      <c r="BL310" s="101"/>
      <c r="BM310" s="101"/>
    </row>
    <row r="311" spans="1:66" ht="14.25" customHeight="1" outlineLevel="4" x14ac:dyDescent="0.25">
      <c r="C311" s="2" t="s">
        <v>84</v>
      </c>
      <c r="D311" s="2" t="s">
        <v>85</v>
      </c>
      <c r="E311" s="2" t="s">
        <v>74</v>
      </c>
      <c r="F311" s="2" t="s">
        <v>75</v>
      </c>
      <c r="G311" s="2" t="s">
        <v>441</v>
      </c>
      <c r="H311" s="2" t="s">
        <v>74</v>
      </c>
      <c r="I311" s="2" t="s">
        <v>74</v>
      </c>
      <c r="J311" s="2" t="s">
        <v>74</v>
      </c>
      <c r="K311" s="5" t="s">
        <v>74</v>
      </c>
      <c r="L311" s="2" t="s">
        <v>136</v>
      </c>
      <c r="M311" s="8" t="str">
        <f t="array" ref="M311">Y107</f>
        <v>1ХВС::1.1</v>
      </c>
      <c r="AA311" s="107" t="str">
        <f>AA310&amp;".1"</f>
        <v>3.3.1.1</v>
      </c>
      <c r="AB311" s="243" t="s">
        <v>442</v>
      </c>
      <c r="AC311" s="197" t="s">
        <v>114</v>
      </c>
      <c r="AD311" s="136"/>
      <c r="AE311" s="136"/>
      <c r="AF311" s="195"/>
      <c r="AG311" s="202"/>
      <c r="AH311" s="202"/>
      <c r="AI311" s="136">
        <f t="array" ref="AI311">AF311</f>
        <v>0</v>
      </c>
      <c r="AJ311" s="202"/>
      <c r="AK311" s="202"/>
      <c r="AL311" s="202"/>
      <c r="AM311" s="202"/>
      <c r="AN311" s="136" t="e">
        <f t="array" ref="AN311">#REF!</f>
        <v>#REF!</v>
      </c>
      <c r="AO311" s="195"/>
      <c r="AP311" s="202"/>
      <c r="AQ311" s="202"/>
      <c r="AR311" s="136">
        <f t="array" ref="AR311">AO311</f>
        <v>0</v>
      </c>
      <c r="AS311" s="202"/>
      <c r="AT311" s="202"/>
      <c r="AU311" s="136" t="e">
        <f t="array" ref="AU311">#REF!</f>
        <v>#REF!</v>
      </c>
      <c r="AV311" s="195"/>
      <c r="AW311" s="202"/>
      <c r="AX311" s="202"/>
      <c r="AY311" s="136">
        <f t="array" ref="AY311">AV311</f>
        <v>0</v>
      </c>
      <c r="AZ311" s="202"/>
      <c r="BA311" s="202"/>
      <c r="BB311" s="85"/>
      <c r="BC311" s="85"/>
      <c r="BD311" s="85"/>
      <c r="BE311" s="99" t="e">
        <f t="shared" si="8"/>
        <v>#REF!</v>
      </c>
      <c r="BF311" s="99" t="e">
        <f t="array" ref="BF311">#REF!</f>
        <v>#REF!</v>
      </c>
      <c r="BG311" s="101"/>
      <c r="BH311" s="101"/>
      <c r="BI311" s="101"/>
      <c r="BJ311" s="101"/>
      <c r="BK311" s="101"/>
      <c r="BL311" s="101"/>
      <c r="BM311" s="101"/>
    </row>
    <row r="312" spans="1:66" ht="14.25" customHeight="1" outlineLevel="4" x14ac:dyDescent="0.25">
      <c r="C312" s="2" t="s">
        <v>84</v>
      </c>
      <c r="D312" s="2" t="s">
        <v>85</v>
      </c>
      <c r="E312" s="2" t="s">
        <v>74</v>
      </c>
      <c r="F312" s="2" t="s">
        <v>75</v>
      </c>
      <c r="G312" s="2" t="s">
        <v>443</v>
      </c>
      <c r="H312" s="2" t="s">
        <v>74</v>
      </c>
      <c r="I312" s="2" t="s">
        <v>74</v>
      </c>
      <c r="J312" s="2" t="s">
        <v>74</v>
      </c>
      <c r="K312" s="5" t="s">
        <v>74</v>
      </c>
      <c r="L312" s="2" t="s">
        <v>136</v>
      </c>
      <c r="M312" s="8" t="str">
        <f t="array" ref="M312">Y107</f>
        <v>1ХВС::1.1</v>
      </c>
      <c r="AA312" s="107" t="str">
        <f>AA310&amp;".2"</f>
        <v>3.3.1.2</v>
      </c>
      <c r="AB312" s="243" t="s">
        <v>444</v>
      </c>
      <c r="AC312" s="197" t="s">
        <v>114</v>
      </c>
      <c r="AD312" s="136"/>
      <c r="AE312" s="136"/>
      <c r="AF312" s="195"/>
      <c r="AG312" s="202"/>
      <c r="AH312" s="202"/>
      <c r="AI312" s="136">
        <f t="array" ref="AI312">AF312</f>
        <v>0</v>
      </c>
      <c r="AJ312" s="202"/>
      <c r="AK312" s="202"/>
      <c r="AL312" s="202"/>
      <c r="AM312" s="202"/>
      <c r="AN312" s="136" t="e">
        <f t="array" ref="AN312">#REF!</f>
        <v>#REF!</v>
      </c>
      <c r="AO312" s="195"/>
      <c r="AP312" s="202"/>
      <c r="AQ312" s="202"/>
      <c r="AR312" s="136">
        <f t="array" ref="AR312">AO312</f>
        <v>0</v>
      </c>
      <c r="AS312" s="202"/>
      <c r="AT312" s="202"/>
      <c r="AU312" s="136" t="e">
        <f t="array" ref="AU312">#REF!</f>
        <v>#REF!</v>
      </c>
      <c r="AV312" s="195"/>
      <c r="AW312" s="202"/>
      <c r="AX312" s="202"/>
      <c r="AY312" s="136">
        <f t="array" ref="AY312">AV312</f>
        <v>0</v>
      </c>
      <c r="AZ312" s="202"/>
      <c r="BA312" s="202"/>
      <c r="BB312" s="85"/>
      <c r="BC312" s="85"/>
      <c r="BD312" s="85"/>
      <c r="BE312" s="99" t="e">
        <f t="shared" si="8"/>
        <v>#REF!</v>
      </c>
      <c r="BF312" s="99" t="e">
        <f t="array" ref="BF312">#REF!</f>
        <v>#REF!</v>
      </c>
      <c r="BG312" s="101"/>
      <c r="BH312" s="101"/>
      <c r="BI312" s="101"/>
      <c r="BJ312" s="101"/>
      <c r="BK312" s="101"/>
      <c r="BL312" s="101"/>
      <c r="BM312" s="101"/>
    </row>
    <row r="313" spans="1:66" ht="14.25" customHeight="1" outlineLevel="3" x14ac:dyDescent="0.25">
      <c r="C313" s="2" t="s">
        <v>84</v>
      </c>
      <c r="D313" s="2" t="s">
        <v>85</v>
      </c>
      <c r="E313" s="2" t="s">
        <v>74</v>
      </c>
      <c r="F313" s="2" t="s">
        <v>75</v>
      </c>
      <c r="G313" s="2" t="s">
        <v>445</v>
      </c>
      <c r="H313" s="2" t="s">
        <v>74</v>
      </c>
      <c r="I313" s="2" t="s">
        <v>74</v>
      </c>
      <c r="J313" s="2" t="s">
        <v>74</v>
      </c>
      <c r="K313" s="5" t="s">
        <v>74</v>
      </c>
      <c r="L313" s="2" t="s">
        <v>136</v>
      </c>
      <c r="M313" s="8" t="str">
        <f t="array" ref="M313">Y107</f>
        <v>1ХВС::1.1</v>
      </c>
      <c r="AA313" s="107" t="str">
        <f>AA309&amp;".2"</f>
        <v>3.3.2</v>
      </c>
      <c r="AB313" s="244" t="s">
        <v>445</v>
      </c>
      <c r="AC313" s="197" t="s">
        <v>114</v>
      </c>
      <c r="AD313" s="136"/>
      <c r="AE313" s="136"/>
      <c r="AF313" s="195"/>
      <c r="AG313" s="202"/>
      <c r="AH313" s="202"/>
      <c r="AI313" s="136">
        <f t="array" ref="AI313">AF313</f>
        <v>0</v>
      </c>
      <c r="AJ313" s="202"/>
      <c r="AK313" s="202"/>
      <c r="AL313" s="202"/>
      <c r="AM313" s="202"/>
      <c r="AN313" s="136" t="e">
        <f t="array" ref="AN313">#REF!</f>
        <v>#REF!</v>
      </c>
      <c r="AO313" s="195"/>
      <c r="AP313" s="202"/>
      <c r="AQ313" s="202"/>
      <c r="AR313" s="136">
        <f t="array" ref="AR313">AO313</f>
        <v>0</v>
      </c>
      <c r="AS313" s="202"/>
      <c r="AT313" s="202"/>
      <c r="AU313" s="136" t="e">
        <f t="array" ref="AU313">#REF!</f>
        <v>#REF!</v>
      </c>
      <c r="AV313" s="195"/>
      <c r="AW313" s="202"/>
      <c r="AX313" s="202"/>
      <c r="AY313" s="136">
        <f t="array" ref="AY313">AV313</f>
        <v>0</v>
      </c>
      <c r="AZ313" s="202"/>
      <c r="BA313" s="202"/>
      <c r="BB313" s="85"/>
      <c r="BC313" s="85"/>
      <c r="BD313" s="85"/>
      <c r="BE313" s="99" t="e">
        <f t="shared" si="8"/>
        <v>#REF!</v>
      </c>
      <c r="BF313" s="99" t="e">
        <f t="array" ref="BF313">#REF!</f>
        <v>#REF!</v>
      </c>
      <c r="BG313" s="101"/>
      <c r="BH313" s="101"/>
      <c r="BI313" s="101"/>
      <c r="BJ313" s="101"/>
      <c r="BK313" s="101"/>
      <c r="BL313" s="101"/>
      <c r="BM313" s="101"/>
    </row>
    <row r="314" spans="1:66" ht="22.5" customHeight="1" outlineLevel="3" x14ac:dyDescent="0.25">
      <c r="C314" s="2" t="s">
        <v>84</v>
      </c>
      <c r="D314" s="2" t="s">
        <v>85</v>
      </c>
      <c r="E314" s="2" t="s">
        <v>74</v>
      </c>
      <c r="F314" s="2" t="s">
        <v>75</v>
      </c>
      <c r="G314" s="2" t="s">
        <v>446</v>
      </c>
      <c r="H314" s="2" t="s">
        <v>74</v>
      </c>
      <c r="I314" s="2" t="s">
        <v>74</v>
      </c>
      <c r="J314" s="2" t="s">
        <v>74</v>
      </c>
      <c r="K314" s="5" t="s">
        <v>74</v>
      </c>
      <c r="L314" s="2" t="s">
        <v>136</v>
      </c>
      <c r="M314" s="8" t="str">
        <f t="array" ref="M314">Y107</f>
        <v>1ХВС::1.1</v>
      </c>
      <c r="AA314" s="206" t="str">
        <f>AA309&amp;".3"</f>
        <v>3.3.3</v>
      </c>
      <c r="AB314" s="244" t="s">
        <v>447</v>
      </c>
      <c r="AC314" s="197" t="s">
        <v>114</v>
      </c>
      <c r="AD314" s="136">
        <v>2650.31</v>
      </c>
      <c r="AE314" s="136">
        <v>2777.38</v>
      </c>
      <c r="AF314" s="195">
        <v>6819.7807123350003</v>
      </c>
      <c r="AG314" s="202"/>
      <c r="AH314" s="202"/>
      <c r="AI314" s="136">
        <v>6819.7807123350003</v>
      </c>
      <c r="AJ314" s="202"/>
      <c r="AK314" s="202"/>
      <c r="AL314" s="202"/>
      <c r="AM314" s="202"/>
      <c r="AN314" s="136" t="e">
        <f t="array" ref="AN314">#REF!</f>
        <v>#REF!</v>
      </c>
      <c r="AO314" s="195">
        <v>9491.52</v>
      </c>
      <c r="AP314" s="202"/>
      <c r="AQ314" s="202"/>
      <c r="AR314" s="136">
        <v>9491.52</v>
      </c>
      <c r="AS314" s="202"/>
      <c r="AT314" s="202"/>
      <c r="AU314" s="136" t="e">
        <f t="array" ref="AU314">#REF!</f>
        <v>#REF!</v>
      </c>
      <c r="AV314" s="195">
        <v>9871.1</v>
      </c>
      <c r="AW314" s="202"/>
      <c r="AX314" s="202"/>
      <c r="AY314" s="136">
        <v>9871.1</v>
      </c>
      <c r="AZ314" s="202"/>
      <c r="BA314" s="202"/>
      <c r="BB314" s="85"/>
      <c r="BC314" s="85"/>
      <c r="BD314" s="85"/>
      <c r="BE314" s="99" t="e">
        <f t="shared" si="8"/>
        <v>#REF!</v>
      </c>
      <c r="BF314" s="99" t="e">
        <f t="array" ref="BF314">#REF!</f>
        <v>#REF!</v>
      </c>
      <c r="BG314" s="101"/>
      <c r="BH314" s="101"/>
      <c r="BI314" s="101"/>
      <c r="BJ314" s="101"/>
      <c r="BK314" s="101"/>
      <c r="BL314" s="101"/>
      <c r="BM314" s="101"/>
    </row>
    <row r="315" spans="1:66" ht="45" hidden="1" customHeight="1" outlineLevel="3" x14ac:dyDescent="0.25">
      <c r="A315" s="2" t="b">
        <f>[2]Титульный!$AD$40="да"</f>
        <v>0</v>
      </c>
      <c r="B315" s="8" t="b">
        <f t="array" ref="B315">A315</f>
        <v>0</v>
      </c>
      <c r="C315" s="2" t="s">
        <v>448</v>
      </c>
      <c r="D315" s="245" t="s">
        <v>449</v>
      </c>
      <c r="E315" s="245" t="s">
        <v>74</v>
      </c>
      <c r="F315" s="2" t="s">
        <v>75</v>
      </c>
      <c r="G315" s="245" t="s">
        <v>74</v>
      </c>
      <c r="H315" s="245" t="s">
        <v>74</v>
      </c>
      <c r="I315" s="245" t="s">
        <v>74</v>
      </c>
      <c r="J315" s="245" t="s">
        <v>74</v>
      </c>
      <c r="K315" s="246" t="s">
        <v>74</v>
      </c>
      <c r="L315" s="2" t="s">
        <v>136</v>
      </c>
      <c r="M315" s="8" t="str">
        <f t="array" ref="M315">Y107</f>
        <v>1ХВС::1.1</v>
      </c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15"/>
      <c r="AA315" s="209"/>
      <c r="AB315" s="247"/>
      <c r="AC315" s="211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174"/>
      <c r="AO315" s="202"/>
      <c r="AP315" s="202"/>
      <c r="AQ315" s="202"/>
      <c r="AR315" s="202"/>
      <c r="AS315" s="202"/>
      <c r="AT315" s="202"/>
      <c r="AU315" s="174"/>
      <c r="AV315" s="202"/>
      <c r="AW315" s="202"/>
      <c r="AX315" s="202"/>
      <c r="AY315" s="202"/>
      <c r="AZ315" s="202"/>
      <c r="BA315" s="202"/>
      <c r="BB315" s="62"/>
      <c r="BC315" s="62"/>
      <c r="BD315" s="62"/>
      <c r="BE315" s="170"/>
      <c r="BF315" s="178"/>
      <c r="BG315" s="68"/>
      <c r="BH315" s="68"/>
      <c r="BI315" s="68"/>
      <c r="BJ315" s="68"/>
      <c r="BK315" s="68"/>
      <c r="BL315" s="68"/>
      <c r="BM315" s="68"/>
      <c r="BN315" s="15"/>
    </row>
    <row r="316" spans="1:66" ht="21.75" hidden="1" customHeight="1" outlineLevel="3" x14ac:dyDescent="0.25">
      <c r="A316" s="2" t="b">
        <f t="array" ref="A316">A315</f>
        <v>0</v>
      </c>
      <c r="B316" s="8" t="b">
        <f t="array" ref="B316">A316</f>
        <v>0</v>
      </c>
      <c r="C316" s="2" t="s">
        <v>84</v>
      </c>
      <c r="D316" s="245" t="s">
        <v>85</v>
      </c>
      <c r="E316" s="245" t="s">
        <v>74</v>
      </c>
      <c r="F316" s="2" t="s">
        <v>75</v>
      </c>
      <c r="G316" s="245" t="s">
        <v>450</v>
      </c>
      <c r="H316" s="245" t="s">
        <v>74</v>
      </c>
      <c r="I316" s="245" t="s">
        <v>74</v>
      </c>
      <c r="J316" s="245" t="s">
        <v>74</v>
      </c>
      <c r="K316" s="246" t="s">
        <v>74</v>
      </c>
      <c r="L316" s="2" t="s">
        <v>136</v>
      </c>
      <c r="M316" s="8" t="str">
        <f t="array" ref="M316">Y107</f>
        <v>1ХВС::1.1</v>
      </c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15"/>
      <c r="AA316" s="167"/>
      <c r="AB316" s="248"/>
      <c r="AC316" s="249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62"/>
      <c r="BC316" s="62"/>
      <c r="BD316" s="62"/>
      <c r="BE316" s="170"/>
      <c r="BF316" s="170"/>
      <c r="BG316" s="68"/>
      <c r="BH316" s="68"/>
      <c r="BI316" s="68"/>
      <c r="BJ316" s="68"/>
      <c r="BK316" s="68"/>
      <c r="BL316" s="68"/>
      <c r="BM316" s="68"/>
      <c r="BN316" s="15"/>
    </row>
    <row r="317" spans="1:66" ht="21.75" customHeight="1" outlineLevel="3" x14ac:dyDescent="0.25">
      <c r="C317" s="2" t="s">
        <v>84</v>
      </c>
      <c r="D317" s="245" t="s">
        <v>85</v>
      </c>
      <c r="E317" s="245" t="s">
        <v>74</v>
      </c>
      <c r="F317" s="2" t="s">
        <v>75</v>
      </c>
      <c r="G317" s="245" t="s">
        <v>451</v>
      </c>
      <c r="H317" s="245" t="s">
        <v>74</v>
      </c>
      <c r="I317" s="245" t="s">
        <v>74</v>
      </c>
      <c r="J317" s="245" t="s">
        <v>74</v>
      </c>
      <c r="K317" s="246" t="s">
        <v>74</v>
      </c>
      <c r="L317" s="2" t="s">
        <v>136</v>
      </c>
      <c r="M317" s="8" t="str">
        <f t="array" ref="M317">Y107</f>
        <v>1ХВС::1.1</v>
      </c>
      <c r="AA317" s="107" t="str">
        <f>IF(AA315="",AA309&amp;".4",AA309&amp;".5")</f>
        <v>3.3.4</v>
      </c>
      <c r="AB317" s="222" t="s">
        <v>452</v>
      </c>
      <c r="AC317" s="249" t="s">
        <v>122</v>
      </c>
      <c r="AD317" s="173">
        <v>0.31436662634901963</v>
      </c>
      <c r="AE317" s="173">
        <v>0.32908445862330798</v>
      </c>
      <c r="AF317" s="173">
        <v>0.63975817302196147</v>
      </c>
      <c r="AG317" s="174"/>
      <c r="AH317" s="174"/>
      <c r="AI317" s="173" t="e">
        <f>IF((AI158+AI241+AI302+SUM(AI259,AI275:AI282,AI283,AI290,AI291,AI292,AI293,AI294,AI297,AI298,AI299,AI300,AI301,AI272))=0,0,AI309/(AI158+AI241+AI302+SUM(AI259,AI275:AI282,AI283,AI290,AI291,AI292,AI293,AI294,AI297,AI298,AI299,AI300,AI301,AI272))*100)</f>
        <v>#VALUE!</v>
      </c>
      <c r="AJ317" s="174"/>
      <c r="AK317" s="174"/>
      <c r="AL317" s="174"/>
      <c r="AM317" s="174"/>
      <c r="AN317" s="173" t="e">
        <f>IF((AN158+AN241+AN302+SUM(AN259,AN275:AN282,AN283,AN290,AN291,AN292,AN293,AN294,AN297,AN298,AN299,AN300,AN301,AN272))=0,0,AN309/(AN158+AN241+AN302+SUM(AN259,AN275:AN282,AN283,AN290,AN291,AN292,AN293,AN294,AN297,AN298,AN299,AN300,AN301,AN272))*100)</f>
        <v>#REF!</v>
      </c>
      <c r="AO317" s="173">
        <v>0.69643492314419098</v>
      </c>
      <c r="AP317" s="174"/>
      <c r="AQ317" s="174"/>
      <c r="AR317" s="173" t="e">
        <f>IF((AR158+AR241+AR302+SUM(AR259,AR275:AR282,AR283,AR290,AR291,AR292,AR293,AR294,AR297,AR298,AR299,AR300,AR301,AR272))=0,0,AR309/(AR158+AR241+AR302+SUM(AR259,AR275:AR282,AR283,AR290,AR291,AR292,AR293,AR294,AR297,AR298,AR299,AR300,AR301,AR272))*100)</f>
        <v>#VALUE!</v>
      </c>
      <c r="AS317" s="174"/>
      <c r="AT317" s="174"/>
      <c r="AU317" s="173" t="e">
        <f>IF((AU158+AU241+AU302+SUM(AU259,AU275:AU282,AU283,AU290,AU291,AU292,AU293,AU294,AU297,AU298,AU299,AU300,AU301,AU272))=0,0,AU309/(AU158+AU241+AU302+SUM(AU259,AU275:AU282,AU283,AU290,AU291,AU292,AU293,AU294,AU297,AU298,AU299,AU300,AU301,AU272))*100)</f>
        <v>#REF!</v>
      </c>
      <c r="AV317" s="173">
        <v>0.69393313821057789</v>
      </c>
      <c r="AW317" s="174"/>
      <c r="AX317" s="174"/>
      <c r="AY317" s="173" t="e">
        <f>IF((AY158+AY241+AY302+SUM(AY259,AY275:AY282,AY283,AY290,AY291,AY292,AY293,AY294,AY297,AY298,AY299,AY300,AY301,AY272))=0,0,AY309/(AY158+AY241+AY302+SUM(AY259,AY275:AY282,AY283,AY290,AY291,AY292,AY293,AY294,AY297,AY298,AY299,AY300,AY301,AY272))*100)</f>
        <v>#VALUE!</v>
      </c>
      <c r="AZ317" s="174"/>
      <c r="BA317" s="174"/>
      <c r="BB317" s="85"/>
      <c r="BC317" s="85"/>
      <c r="BD317" s="85"/>
      <c r="BE317" s="99" t="e">
        <f t="shared" ref="BE317:BE329" si="9">SUM(AD317:BA317)</f>
        <v>#VALUE!</v>
      </c>
      <c r="BF317" s="100" t="e">
        <f>IF((BF158+BF241+BF302+SUM(BF259,BF275:BF282,BF283,BF290,BF291,BF292,BF293,BF294,BF297,BF298,BF299,BF300,BF301,BF272))=0,0,BF309/(BF158+BF241+BF302+SUM(BF259,BF275:BF282,BF283,BF290,BF291,BF292,BF293,BF294,BF297,BF298,BF299,BF300,BF301,BF272))*100)</f>
        <v>#REF!</v>
      </c>
      <c r="BG317" s="101"/>
      <c r="BH317" s="101"/>
      <c r="BI317" s="101"/>
      <c r="BJ317" s="101"/>
      <c r="BK317" s="101"/>
      <c r="BL317" s="101"/>
      <c r="BM317" s="101"/>
    </row>
    <row r="318" spans="1:66" ht="22.5" customHeight="1" outlineLevel="1" x14ac:dyDescent="0.25">
      <c r="B318" s="2" t="b">
        <f>S107="да"</f>
        <v>1</v>
      </c>
      <c r="C318" s="2" t="s">
        <v>84</v>
      </c>
      <c r="D318" s="2" t="s">
        <v>85</v>
      </c>
      <c r="E318" s="2" t="s">
        <v>74</v>
      </c>
      <c r="F318" s="2" t="s">
        <v>75</v>
      </c>
      <c r="G318" s="2" t="s">
        <v>453</v>
      </c>
      <c r="H318" s="2" t="s">
        <v>74</v>
      </c>
      <c r="I318" s="2" t="s">
        <v>74</v>
      </c>
      <c r="J318" s="2" t="s">
        <v>74</v>
      </c>
      <c r="K318" s="5" t="s">
        <v>74</v>
      </c>
      <c r="L318" s="2" t="s">
        <v>136</v>
      </c>
      <c r="M318" s="8" t="str">
        <f t="array" ref="M318">Y107</f>
        <v>1ХВС::1.1</v>
      </c>
      <c r="AA318" s="191" t="str">
        <f>AA156&amp;".4"</f>
        <v>3.4</v>
      </c>
      <c r="AB318" s="190" t="s">
        <v>453</v>
      </c>
      <c r="AC318" s="191" t="s">
        <v>114</v>
      </c>
      <c r="AD318" s="195"/>
      <c r="AE318" s="195"/>
      <c r="AF318" s="195"/>
      <c r="AG318" s="202"/>
      <c r="AH318" s="202"/>
      <c r="AI318" s="195">
        <f t="array" ref="AI318">AF318</f>
        <v>0</v>
      </c>
      <c r="AJ318" s="202"/>
      <c r="AK318" s="202"/>
      <c r="AL318" s="202"/>
      <c r="AM318" s="202"/>
      <c r="AN318" s="173" t="e">
        <f>IF(S107="нет",0,AN319*(AN157+AN302-AN294)/100)</f>
        <v>#VALUE!</v>
      </c>
      <c r="AO318" s="195"/>
      <c r="AP318" s="202"/>
      <c r="AQ318" s="202"/>
      <c r="AR318" s="195">
        <f t="array" ref="AR318">AO318</f>
        <v>0</v>
      </c>
      <c r="AS318" s="202"/>
      <c r="AT318" s="202"/>
      <c r="AU318" s="173" t="e">
        <f>IF(S107="нет",0,AU319*(AU157+AU302-AU294)/100)</f>
        <v>#VALUE!</v>
      </c>
      <c r="AV318" s="195"/>
      <c r="AW318" s="202"/>
      <c r="AX318" s="202"/>
      <c r="AY318" s="195">
        <f t="array" ref="AY318">AV318</f>
        <v>0</v>
      </c>
      <c r="AZ318" s="202"/>
      <c r="BA318" s="202"/>
      <c r="BB318" s="90"/>
      <c r="BC318" s="90"/>
      <c r="BD318" s="90"/>
      <c r="BE318" s="227" t="e">
        <f t="shared" si="9"/>
        <v>#VALUE!</v>
      </c>
      <c r="BF318" s="238" t="e">
        <f>(BF157+BF302-BF294)*BF319/100</f>
        <v>#REF!</v>
      </c>
      <c r="BG318" s="92"/>
      <c r="BH318" s="92"/>
      <c r="BI318" s="92"/>
      <c r="BJ318" s="92"/>
      <c r="BK318" s="92"/>
      <c r="BL318" s="92"/>
      <c r="BM318" s="92"/>
    </row>
    <row r="319" spans="1:66" ht="22.5" customHeight="1" outlineLevel="2" x14ac:dyDescent="0.25">
      <c r="B319" s="2" t="b">
        <f t="array" ref="B319">B318</f>
        <v>1</v>
      </c>
      <c r="C319" s="2" t="s">
        <v>454</v>
      </c>
      <c r="D319" s="2" t="s">
        <v>455</v>
      </c>
      <c r="E319" s="2" t="s">
        <v>74</v>
      </c>
      <c r="F319" s="2" t="s">
        <v>75</v>
      </c>
      <c r="G319" s="2" t="s">
        <v>74</v>
      </c>
      <c r="H319" s="2" t="s">
        <v>74</v>
      </c>
      <c r="I319" s="2" t="s">
        <v>74</v>
      </c>
      <c r="J319" s="2" t="s">
        <v>74</v>
      </c>
      <c r="K319" s="5" t="s">
        <v>74</v>
      </c>
      <c r="L319" s="2" t="s">
        <v>136</v>
      </c>
      <c r="M319" s="8" t="str">
        <f t="array" ref="M319">Y107</f>
        <v>1ХВС::1.1</v>
      </c>
      <c r="AA319" s="107" t="str">
        <f>AA318&amp;".1"</f>
        <v>3.4.1</v>
      </c>
      <c r="AB319" s="250" t="s">
        <v>455</v>
      </c>
      <c r="AC319" s="249" t="s">
        <v>122</v>
      </c>
      <c r="AD319" s="195">
        <v>0</v>
      </c>
      <c r="AE319" s="195">
        <v>0</v>
      </c>
      <c r="AF319" s="195">
        <v>0</v>
      </c>
      <c r="AG319" s="202"/>
      <c r="AH319" s="202"/>
      <c r="AI319" s="195" t="e">
        <f>IF(S107="нет",0,IF((AI157+AI302-AI294)=0,0,AI318/(AI157+AI302-AI294)*100))</f>
        <v>#VALUE!</v>
      </c>
      <c r="AJ319" s="202"/>
      <c r="AK319" s="202"/>
      <c r="AL319" s="202"/>
      <c r="AM319" s="202"/>
      <c r="AN319" s="195" t="e">
        <f t="array" ref="AN319">AI319</f>
        <v>#VALUE!</v>
      </c>
      <c r="AO319" s="195">
        <v>0</v>
      </c>
      <c r="AP319" s="202"/>
      <c r="AQ319" s="202"/>
      <c r="AR319" s="195" t="e">
        <f>IF(S107="нет",0,IF((AR157+AR302-AR294)=0,0,AR318/(AR157+AR302-AR294)*100))</f>
        <v>#VALUE!</v>
      </c>
      <c r="AS319" s="202"/>
      <c r="AT319" s="202"/>
      <c r="AU319" s="195" t="e">
        <f t="array" ref="AU319">AR319</f>
        <v>#VALUE!</v>
      </c>
      <c r="AV319" s="195">
        <v>0</v>
      </c>
      <c r="AW319" s="202"/>
      <c r="AX319" s="202"/>
      <c r="AY319" s="195" t="e">
        <f>IF(S107="нет",0,IF((AY157+AY302-AY294)=0,0,AY318/(AY157+AY302-AY294)*100))</f>
        <v>#VALUE!</v>
      </c>
      <c r="AZ319" s="202"/>
      <c r="BA319" s="202"/>
      <c r="BB319" s="90"/>
      <c r="BC319" s="90"/>
      <c r="BD319" s="90"/>
      <c r="BE319" s="227" t="e">
        <f t="shared" si="9"/>
        <v>#VALUE!</v>
      </c>
      <c r="BF319" s="227" t="e">
        <f t="array" ref="BF319">#REF!</f>
        <v>#REF!</v>
      </c>
      <c r="BG319" s="92"/>
      <c r="BH319" s="92"/>
      <c r="BI319" s="92"/>
      <c r="BJ319" s="92"/>
      <c r="BK319" s="92"/>
      <c r="BL319" s="92"/>
      <c r="BM319" s="92"/>
    </row>
    <row r="320" spans="1:66" ht="14.25" customHeight="1" x14ac:dyDescent="0.25">
      <c r="A320" s="2" t="b">
        <f>REGULATION_METHODS="Метод индексации"</f>
        <v>1</v>
      </c>
      <c r="B320" s="8" t="b">
        <f t="array" ref="B320">A320</f>
        <v>1</v>
      </c>
      <c r="C320" s="2" t="s">
        <v>84</v>
      </c>
      <c r="D320" s="2" t="s">
        <v>85</v>
      </c>
      <c r="E320" s="2" t="s">
        <v>74</v>
      </c>
      <c r="F320" s="2" t="s">
        <v>75</v>
      </c>
      <c r="G320" s="2" t="s">
        <v>456</v>
      </c>
      <c r="H320" s="2" t="s">
        <v>74</v>
      </c>
      <c r="I320" s="2" t="s">
        <v>74</v>
      </c>
      <c r="J320" s="2" t="s">
        <v>74</v>
      </c>
      <c r="K320" s="5" t="s">
        <v>74</v>
      </c>
      <c r="L320" s="2" t="s">
        <v>136</v>
      </c>
      <c r="M320" s="8" t="str">
        <f t="array" ref="M320">Y107</f>
        <v>1ХВС::1.1</v>
      </c>
      <c r="AA320" s="146">
        <f>AA156+1</f>
        <v>4</v>
      </c>
      <c r="AB320" s="186" t="s">
        <v>456</v>
      </c>
      <c r="AC320" s="146" t="s">
        <v>114</v>
      </c>
      <c r="AD320" s="173">
        <v>21355.0381264469</v>
      </c>
      <c r="AE320" s="173">
        <v>-70974.369242140107</v>
      </c>
      <c r="AF320" s="173">
        <v>-175221.6699166935</v>
      </c>
      <c r="AG320" s="174"/>
      <c r="AH320" s="174"/>
      <c r="AI320" s="173">
        <f>AI324-AI327+AI328</f>
        <v>-175221.6699166935</v>
      </c>
      <c r="AJ320" s="174"/>
      <c r="AK320" s="174"/>
      <c r="AL320" s="174"/>
      <c r="AM320" s="174"/>
      <c r="AN320" s="173" t="e">
        <f>AN324-AN327+AN328</f>
        <v>#REF!</v>
      </c>
      <c r="AO320" s="173">
        <v>-100509.16768571181</v>
      </c>
      <c r="AP320" s="174"/>
      <c r="AQ320" s="174"/>
      <c r="AR320" s="173">
        <f>AR324-AR327+AR328</f>
        <v>-100509.16768571181</v>
      </c>
      <c r="AS320" s="174"/>
      <c r="AT320" s="174"/>
      <c r="AU320" s="173" t="e">
        <f>AU324-AU327+AU328</f>
        <v>#REF!</v>
      </c>
      <c r="AV320" s="173">
        <v>0</v>
      </c>
      <c r="AW320" s="174"/>
      <c r="AX320" s="174"/>
      <c r="AY320" s="173">
        <f>AY324-AY327+AY328</f>
        <v>0</v>
      </c>
      <c r="AZ320" s="174"/>
      <c r="BA320" s="174"/>
      <c r="BB320" s="90"/>
      <c r="BC320" s="90"/>
      <c r="BD320" s="90"/>
      <c r="BE320" s="227" t="e">
        <f t="shared" si="9"/>
        <v>#REF!</v>
      </c>
      <c r="BF320" s="238" t="e">
        <f>BF324-BF327+BF328</f>
        <v>#REF!</v>
      </c>
      <c r="BG320" s="92"/>
      <c r="BH320" s="92"/>
      <c r="BI320" s="92"/>
      <c r="BJ320" s="92"/>
      <c r="BK320" s="92"/>
      <c r="BL320" s="92"/>
      <c r="BM320" s="92"/>
    </row>
    <row r="321" spans="1:66" ht="26.25" customHeight="1" outlineLevel="1" x14ac:dyDescent="0.25">
      <c r="A321" s="2" t="b">
        <f t="array" ref="A321">A320</f>
        <v>1</v>
      </c>
      <c r="B321" s="8" t="b">
        <f t="array" ref="B321">A321</f>
        <v>1</v>
      </c>
      <c r="C321" s="2" t="s">
        <v>84</v>
      </c>
      <c r="D321" s="2" t="s">
        <v>85</v>
      </c>
      <c r="E321" s="2" t="s">
        <v>74</v>
      </c>
      <c r="F321" s="2" t="s">
        <v>75</v>
      </c>
      <c r="G321" s="2" t="s">
        <v>457</v>
      </c>
      <c r="H321" s="2" t="s">
        <v>74</v>
      </c>
      <c r="I321" s="2" t="s">
        <v>74</v>
      </c>
      <c r="J321" s="2" t="s">
        <v>74</v>
      </c>
      <c r="K321" s="5" t="s">
        <v>74</v>
      </c>
      <c r="L321" s="2" t="s">
        <v>136</v>
      </c>
      <c r="M321" s="8" t="str">
        <f t="array" ref="M321">Y107</f>
        <v>1ХВС::1.1</v>
      </c>
      <c r="AA321" s="189" t="str">
        <f>AA320&amp;".1"</f>
        <v>4.1</v>
      </c>
      <c r="AB321" s="190" t="s">
        <v>457</v>
      </c>
      <c r="AC321" s="191" t="s">
        <v>114</v>
      </c>
      <c r="AD321" s="195"/>
      <c r="AE321" s="195"/>
      <c r="AF321" s="195"/>
      <c r="AG321" s="202"/>
      <c r="AH321" s="202"/>
      <c r="AI321" s="195">
        <f t="array" ref="AI321">AF321</f>
        <v>0</v>
      </c>
      <c r="AJ321" s="202"/>
      <c r="AK321" s="202"/>
      <c r="AL321" s="202"/>
      <c r="AM321" s="202"/>
      <c r="AN321" s="195" t="e">
        <f t="array" ref="AN321">#REF!</f>
        <v>#REF!</v>
      </c>
      <c r="AO321" s="195"/>
      <c r="AP321" s="202"/>
      <c r="AQ321" s="202"/>
      <c r="AR321" s="195">
        <f t="array" ref="AR321">AO321</f>
        <v>0</v>
      </c>
      <c r="AS321" s="202"/>
      <c r="AT321" s="202"/>
      <c r="AU321" s="195" t="e">
        <f t="array" ref="AU321">#REF!</f>
        <v>#REF!</v>
      </c>
      <c r="AV321" s="195"/>
      <c r="AW321" s="202"/>
      <c r="AX321" s="202"/>
      <c r="AY321" s="195">
        <f t="array" ref="AY321">AV321</f>
        <v>0</v>
      </c>
      <c r="AZ321" s="202"/>
      <c r="BA321" s="202"/>
      <c r="BB321" s="90"/>
      <c r="BC321" s="90"/>
      <c r="BD321" s="90"/>
      <c r="BE321" s="227" t="e">
        <f t="shared" si="9"/>
        <v>#REF!</v>
      </c>
      <c r="BF321" s="227" t="e">
        <f t="array" ref="BF321">#REF!</f>
        <v>#REF!</v>
      </c>
      <c r="BG321" s="92"/>
      <c r="BH321" s="92"/>
      <c r="BI321" s="92"/>
      <c r="BJ321" s="92"/>
      <c r="BK321" s="92"/>
      <c r="BL321" s="92"/>
      <c r="BM321" s="92"/>
    </row>
    <row r="322" spans="1:66" ht="39" customHeight="1" outlineLevel="1" x14ac:dyDescent="0.25">
      <c r="A322" s="2" t="b">
        <f t="array" ref="A322">A321</f>
        <v>1</v>
      </c>
      <c r="B322" s="8" t="b">
        <f t="array" ref="B322">A322</f>
        <v>1</v>
      </c>
      <c r="C322" s="2" t="s">
        <v>84</v>
      </c>
      <c r="D322" s="2" t="s">
        <v>85</v>
      </c>
      <c r="E322" s="2" t="s">
        <v>74</v>
      </c>
      <c r="F322" s="2" t="s">
        <v>75</v>
      </c>
      <c r="G322" s="2" t="s">
        <v>458</v>
      </c>
      <c r="H322" s="2" t="s">
        <v>74</v>
      </c>
      <c r="I322" s="2" t="s">
        <v>74</v>
      </c>
      <c r="J322" s="2" t="s">
        <v>74</v>
      </c>
      <c r="K322" s="5" t="s">
        <v>74</v>
      </c>
      <c r="L322" s="2" t="s">
        <v>136</v>
      </c>
      <c r="M322" s="8" t="str">
        <f t="array" ref="M322">Y107</f>
        <v>1ХВС::1.1</v>
      </c>
      <c r="AA322" s="189" t="str">
        <f>AA320&amp;".2"</f>
        <v>4.2</v>
      </c>
      <c r="AB322" s="190" t="s">
        <v>459</v>
      </c>
      <c r="AC322" s="191" t="s">
        <v>114</v>
      </c>
      <c r="AD322" s="195"/>
      <c r="AE322" s="195"/>
      <c r="AF322" s="195"/>
      <c r="AG322" s="202"/>
      <c r="AH322" s="202"/>
      <c r="AI322" s="195">
        <f t="array" ref="AI322">AF322</f>
        <v>0</v>
      </c>
      <c r="AJ322" s="202"/>
      <c r="AK322" s="202"/>
      <c r="AL322" s="202"/>
      <c r="AM322" s="202"/>
      <c r="AN322" s="195" t="e">
        <f t="array" ref="AN322">#REF!</f>
        <v>#REF!</v>
      </c>
      <c r="AO322" s="195"/>
      <c r="AP322" s="202"/>
      <c r="AQ322" s="202"/>
      <c r="AR322" s="195">
        <f t="array" ref="AR322">AO322</f>
        <v>0</v>
      </c>
      <c r="AS322" s="202"/>
      <c r="AT322" s="202"/>
      <c r="AU322" s="195" t="e">
        <f t="array" ref="AU322">#REF!</f>
        <v>#REF!</v>
      </c>
      <c r="AV322" s="195"/>
      <c r="AW322" s="202"/>
      <c r="AX322" s="202"/>
      <c r="AY322" s="195">
        <f t="array" ref="AY322">AV322</f>
        <v>0</v>
      </c>
      <c r="AZ322" s="202"/>
      <c r="BA322" s="202"/>
      <c r="BB322" s="90"/>
      <c r="BC322" s="90"/>
      <c r="BD322" s="90"/>
      <c r="BE322" s="227" t="e">
        <f t="shared" si="9"/>
        <v>#REF!</v>
      </c>
      <c r="BF322" s="238" t="e">
        <f>IF(TYPE="Корректировка",BF294-#REF!,0)</f>
        <v>#REF!</v>
      </c>
      <c r="BG322" s="92"/>
      <c r="BH322" s="92"/>
      <c r="BI322" s="92"/>
      <c r="BJ322" s="92"/>
      <c r="BK322" s="92"/>
      <c r="BL322" s="92"/>
      <c r="BM322" s="92"/>
    </row>
    <row r="323" spans="1:66" ht="26.25" customHeight="1" outlineLevel="1" x14ac:dyDescent="0.25">
      <c r="A323" s="2" t="b">
        <f t="array" ref="A323">A322</f>
        <v>1</v>
      </c>
      <c r="B323" s="8" t="b">
        <f t="array" ref="B323">A323</f>
        <v>1</v>
      </c>
      <c r="C323" s="2" t="s">
        <v>84</v>
      </c>
      <c r="D323" s="2" t="s">
        <v>85</v>
      </c>
      <c r="E323" s="2" t="s">
        <v>74</v>
      </c>
      <c r="F323" s="2" t="s">
        <v>75</v>
      </c>
      <c r="G323" s="2" t="s">
        <v>460</v>
      </c>
      <c r="H323" s="2" t="s">
        <v>74</v>
      </c>
      <c r="I323" s="2" t="s">
        <v>74</v>
      </c>
      <c r="J323" s="2" t="s">
        <v>74</v>
      </c>
      <c r="K323" s="5" t="s">
        <v>74</v>
      </c>
      <c r="L323" s="2" t="s">
        <v>136</v>
      </c>
      <c r="M323" s="8" t="str">
        <f t="array" ref="M323">Y107</f>
        <v>1ХВС::1.1</v>
      </c>
      <c r="AA323" s="189" t="str">
        <f>AA320&amp;".3"</f>
        <v>4.3</v>
      </c>
      <c r="AB323" s="190" t="s">
        <v>460</v>
      </c>
      <c r="AC323" s="191" t="s">
        <v>114</v>
      </c>
      <c r="AD323" s="195"/>
      <c r="AE323" s="195"/>
      <c r="AF323" s="195"/>
      <c r="AG323" s="202"/>
      <c r="AH323" s="202"/>
      <c r="AI323" s="195">
        <f t="array" ref="AI323">AF323</f>
        <v>0</v>
      </c>
      <c r="AJ323" s="202"/>
      <c r="AK323" s="202"/>
      <c r="AL323" s="202"/>
      <c r="AM323" s="202"/>
      <c r="AN323" s="195" t="e">
        <f t="array" ref="AN323">#REF!</f>
        <v>#REF!</v>
      </c>
      <c r="AO323" s="195"/>
      <c r="AP323" s="202"/>
      <c r="AQ323" s="202"/>
      <c r="AR323" s="195">
        <f t="array" ref="AR323">AO323</f>
        <v>0</v>
      </c>
      <c r="AS323" s="202"/>
      <c r="AT323" s="202"/>
      <c r="AU323" s="195" t="e">
        <f t="array" ref="AU323">#REF!</f>
        <v>#REF!</v>
      </c>
      <c r="AV323" s="195"/>
      <c r="AW323" s="202"/>
      <c r="AX323" s="202"/>
      <c r="AY323" s="195">
        <f t="array" ref="AY323">AV323</f>
        <v>0</v>
      </c>
      <c r="AZ323" s="202"/>
      <c r="BA323" s="202"/>
      <c r="BB323" s="90"/>
      <c r="BC323" s="90"/>
      <c r="BD323" s="90"/>
      <c r="BE323" s="227" t="e">
        <f t="shared" si="9"/>
        <v>#REF!</v>
      </c>
      <c r="BF323" s="227" t="e">
        <f t="array" ref="BF323">#REF!</f>
        <v>#REF!</v>
      </c>
      <c r="BG323" s="92"/>
      <c r="BH323" s="92"/>
      <c r="BI323" s="92"/>
      <c r="BJ323" s="92"/>
      <c r="BK323" s="92"/>
      <c r="BL323" s="92"/>
      <c r="BM323" s="92"/>
    </row>
    <row r="324" spans="1:66" ht="39.75" customHeight="1" outlineLevel="1" x14ac:dyDescent="0.25">
      <c r="A324" s="2" t="b">
        <f t="array" ref="A324">A323</f>
        <v>1</v>
      </c>
      <c r="B324" s="8" t="b">
        <f t="array" ref="B324">A324</f>
        <v>1</v>
      </c>
      <c r="C324" s="2" t="s">
        <v>84</v>
      </c>
      <c r="D324" s="2" t="s">
        <v>85</v>
      </c>
      <c r="E324" s="2" t="s">
        <v>74</v>
      </c>
      <c r="F324" s="2" t="s">
        <v>75</v>
      </c>
      <c r="G324" s="2" t="s">
        <v>461</v>
      </c>
      <c r="H324" s="2" t="s">
        <v>74</v>
      </c>
      <c r="I324" s="2" t="s">
        <v>74</v>
      </c>
      <c r="J324" s="2" t="s">
        <v>74</v>
      </c>
      <c r="K324" s="5" t="s">
        <v>74</v>
      </c>
      <c r="L324" s="2" t="s">
        <v>136</v>
      </c>
      <c r="M324" s="8" t="str">
        <f t="array" ref="M324">Y107</f>
        <v>1ХВС::1.1</v>
      </c>
      <c r="AA324" s="191" t="str">
        <f>AA320&amp;".4"</f>
        <v>4.4</v>
      </c>
      <c r="AB324" s="190" t="s">
        <v>461</v>
      </c>
      <c r="AC324" s="191" t="s">
        <v>114</v>
      </c>
      <c r="AD324" s="195"/>
      <c r="AE324" s="195">
        <v>-65233.809242140102</v>
      </c>
      <c r="AF324" s="195"/>
      <c r="AG324" s="202"/>
      <c r="AH324" s="202"/>
      <c r="AI324" s="195">
        <f t="array" ref="AI324">AF324</f>
        <v>0</v>
      </c>
      <c r="AJ324" s="202"/>
      <c r="AK324" s="202"/>
      <c r="AL324" s="202"/>
      <c r="AM324" s="202"/>
      <c r="AN324" s="195" t="e">
        <f t="array" ref="AN324">#REF!</f>
        <v>#REF!</v>
      </c>
      <c r="AO324" s="195">
        <v>-50542.212380214798</v>
      </c>
      <c r="AP324" s="202"/>
      <c r="AQ324" s="202"/>
      <c r="AR324" s="195">
        <v>-50542.212380214798</v>
      </c>
      <c r="AS324" s="202"/>
      <c r="AT324" s="202"/>
      <c r="AU324" s="195" t="e">
        <f t="array" ref="AU324">#REF!</f>
        <v>#REF!</v>
      </c>
      <c r="AV324" s="195"/>
      <c r="AW324" s="202"/>
      <c r="AX324" s="202"/>
      <c r="AY324" s="195">
        <f t="array" ref="AY324">AV324</f>
        <v>0</v>
      </c>
      <c r="AZ324" s="202"/>
      <c r="BA324" s="202"/>
      <c r="BB324" s="90"/>
      <c r="BC324" s="90"/>
      <c r="BD324" s="90"/>
      <c r="BE324" s="227" t="e">
        <f t="shared" si="9"/>
        <v>#REF!</v>
      </c>
      <c r="BF324" s="227" t="e">
        <f t="array" ref="BF324">#REF!</f>
        <v>#REF!</v>
      </c>
      <c r="BG324" s="92"/>
      <c r="BH324" s="92"/>
      <c r="BI324" s="92"/>
      <c r="BJ324" s="92"/>
      <c r="BK324" s="92"/>
      <c r="BL324" s="92"/>
      <c r="BM324" s="92"/>
    </row>
    <row r="325" spans="1:66" ht="90" customHeight="1" outlineLevel="2" x14ac:dyDescent="0.25">
      <c r="A325" s="2" t="b">
        <f t="array" ref="A325">A324</f>
        <v>1</v>
      </c>
      <c r="B325" s="8" t="b">
        <f t="array" ref="B325">A325</f>
        <v>1</v>
      </c>
      <c r="C325" s="2" t="s">
        <v>84</v>
      </c>
      <c r="D325" s="2" t="s">
        <v>85</v>
      </c>
      <c r="E325" s="2" t="s">
        <v>74</v>
      </c>
      <c r="F325" s="2" t="s">
        <v>75</v>
      </c>
      <c r="G325" s="2" t="s">
        <v>462</v>
      </c>
      <c r="H325" s="2" t="s">
        <v>74</v>
      </c>
      <c r="I325" s="2" t="s">
        <v>74</v>
      </c>
      <c r="J325" s="2" t="s">
        <v>74</v>
      </c>
      <c r="K325" s="5" t="s">
        <v>74</v>
      </c>
      <c r="L325" s="2" t="s">
        <v>136</v>
      </c>
      <c r="M325" s="8" t="str">
        <f t="array" ref="M325">Y107</f>
        <v>1ХВС::1.1</v>
      </c>
      <c r="AA325" s="107" t="str">
        <f>AA324&amp;".1"</f>
        <v>4.4.1</v>
      </c>
      <c r="AB325" s="171" t="s">
        <v>463</v>
      </c>
      <c r="AC325" s="206" t="s">
        <v>114</v>
      </c>
      <c r="AD325" s="195"/>
      <c r="AE325" s="195">
        <v>52294.47</v>
      </c>
      <c r="AF325" s="195"/>
      <c r="AG325" s="202"/>
      <c r="AH325" s="202"/>
      <c r="AI325" s="195">
        <f t="array" ref="AI325">AF325</f>
        <v>0</v>
      </c>
      <c r="AJ325" s="202"/>
      <c r="AK325" s="202"/>
      <c r="AL325" s="202"/>
      <c r="AM325" s="202"/>
      <c r="AN325" s="195" t="e">
        <f t="array" ref="AN325">#REF!</f>
        <v>#REF!</v>
      </c>
      <c r="AO325" s="195"/>
      <c r="AP325" s="202"/>
      <c r="AQ325" s="202"/>
      <c r="AR325" s="195">
        <f t="array" ref="AR325">AO325</f>
        <v>0</v>
      </c>
      <c r="AS325" s="202"/>
      <c r="AT325" s="202"/>
      <c r="AU325" s="195" t="e">
        <f t="array" ref="AU325">#REF!</f>
        <v>#REF!</v>
      </c>
      <c r="AV325" s="195"/>
      <c r="AW325" s="202"/>
      <c r="AX325" s="202"/>
      <c r="AY325" s="195">
        <f t="array" ref="AY325">AV325</f>
        <v>0</v>
      </c>
      <c r="AZ325" s="202"/>
      <c r="BA325" s="202"/>
      <c r="BB325" s="90"/>
      <c r="BC325" s="90"/>
      <c r="BD325" s="90"/>
      <c r="BE325" s="227" t="e">
        <f t="shared" si="9"/>
        <v>#REF!</v>
      </c>
      <c r="BF325" s="227" t="e">
        <f t="array" ref="BF325">#REF!</f>
        <v>#REF!</v>
      </c>
      <c r="BG325" s="92"/>
      <c r="BH325" s="92"/>
      <c r="BI325" s="92"/>
      <c r="BJ325" s="92"/>
      <c r="BK325" s="92"/>
      <c r="BL325" s="92"/>
      <c r="BM325" s="92"/>
    </row>
    <row r="326" spans="1:66" ht="62.25" customHeight="1" outlineLevel="2" x14ac:dyDescent="0.25">
      <c r="A326" s="2" t="b">
        <f t="array" ref="A326">A325</f>
        <v>1</v>
      </c>
      <c r="B326" s="8" t="b">
        <f t="array" ref="B326">A326</f>
        <v>1</v>
      </c>
      <c r="C326" s="2" t="s">
        <v>84</v>
      </c>
      <c r="D326" s="2" t="s">
        <v>85</v>
      </c>
      <c r="E326" s="2" t="s">
        <v>74</v>
      </c>
      <c r="F326" s="2" t="s">
        <v>75</v>
      </c>
      <c r="G326" s="2" t="s">
        <v>464</v>
      </c>
      <c r="H326" s="2" t="s">
        <v>74</v>
      </c>
      <c r="I326" s="2" t="s">
        <v>74</v>
      </c>
      <c r="J326" s="2" t="s">
        <v>74</v>
      </c>
      <c r="K326" s="5" t="s">
        <v>74</v>
      </c>
      <c r="L326" s="2" t="s">
        <v>136</v>
      </c>
      <c r="M326" s="8" t="str">
        <f t="array" ref="M326">Y107</f>
        <v>1ХВС::1.1</v>
      </c>
      <c r="AA326" s="107" t="str">
        <f>AA324&amp;".2"</f>
        <v>4.4.2</v>
      </c>
      <c r="AB326" s="171" t="s">
        <v>465</v>
      </c>
      <c r="AC326" s="206" t="s">
        <v>114</v>
      </c>
      <c r="AD326" s="195"/>
      <c r="AE326" s="195">
        <v>226844.65</v>
      </c>
      <c r="AF326" s="195"/>
      <c r="AG326" s="202"/>
      <c r="AH326" s="202"/>
      <c r="AI326" s="195">
        <f t="array" ref="AI326">AF326</f>
        <v>0</v>
      </c>
      <c r="AJ326" s="202"/>
      <c r="AK326" s="202"/>
      <c r="AL326" s="202"/>
      <c r="AM326" s="202"/>
      <c r="AN326" s="195" t="e">
        <f t="array" ref="AN326">#REF!</f>
        <v>#REF!</v>
      </c>
      <c r="AO326" s="195"/>
      <c r="AP326" s="202"/>
      <c r="AQ326" s="202"/>
      <c r="AR326" s="195">
        <f t="array" ref="AR326">AO326</f>
        <v>0</v>
      </c>
      <c r="AS326" s="202"/>
      <c r="AT326" s="202"/>
      <c r="AU326" s="195" t="e">
        <f t="array" ref="AU326">#REF!</f>
        <v>#REF!</v>
      </c>
      <c r="AV326" s="195"/>
      <c r="AW326" s="202"/>
      <c r="AX326" s="202"/>
      <c r="AY326" s="195">
        <f t="array" ref="AY326">AV326</f>
        <v>0</v>
      </c>
      <c r="AZ326" s="202"/>
      <c r="BA326" s="202"/>
      <c r="BB326" s="90"/>
      <c r="BC326" s="90"/>
      <c r="BD326" s="90"/>
      <c r="BE326" s="227" t="e">
        <f t="shared" si="9"/>
        <v>#REF!</v>
      </c>
      <c r="BF326" s="227" t="e">
        <f t="array" ref="BF326">#REF!</f>
        <v>#REF!</v>
      </c>
      <c r="BG326" s="92"/>
      <c r="BH326" s="92"/>
      <c r="BI326" s="92"/>
      <c r="BJ326" s="92"/>
      <c r="BK326" s="92"/>
      <c r="BL326" s="92"/>
      <c r="BM326" s="92"/>
    </row>
    <row r="327" spans="1:66" ht="115.5" customHeight="1" outlineLevel="1" x14ac:dyDescent="0.25">
      <c r="A327" s="2" t="b">
        <f t="array" ref="A327">A326</f>
        <v>1</v>
      </c>
      <c r="B327" s="8" t="b">
        <f t="array" ref="B327">A327</f>
        <v>1</v>
      </c>
      <c r="C327" s="2" t="s">
        <v>84</v>
      </c>
      <c r="D327" s="2" t="s">
        <v>85</v>
      </c>
      <c r="E327" s="2" t="s">
        <v>74</v>
      </c>
      <c r="F327" s="2" t="s">
        <v>75</v>
      </c>
      <c r="G327" s="2" t="s">
        <v>466</v>
      </c>
      <c r="H327" s="2" t="s">
        <v>74</v>
      </c>
      <c r="I327" s="2" t="s">
        <v>74</v>
      </c>
      <c r="J327" s="2" t="s">
        <v>74</v>
      </c>
      <c r="K327" s="5" t="s">
        <v>74</v>
      </c>
      <c r="L327" s="2" t="s">
        <v>136</v>
      </c>
      <c r="M327" s="8" t="str">
        <f t="array" ref="M327">Y107</f>
        <v>1ХВС::1.1</v>
      </c>
      <c r="AA327" s="191" t="str">
        <f>AA320&amp;".5"</f>
        <v>4.5</v>
      </c>
      <c r="AB327" s="190" t="s">
        <v>467</v>
      </c>
      <c r="AC327" s="191" t="s">
        <v>114</v>
      </c>
      <c r="AD327" s="195"/>
      <c r="AE327" s="195"/>
      <c r="AF327" s="195">
        <v>66591.838366574506</v>
      </c>
      <c r="AG327" s="202"/>
      <c r="AH327" s="202"/>
      <c r="AI327" s="195">
        <v>66591.838366574506</v>
      </c>
      <c r="AJ327" s="202"/>
      <c r="AK327" s="202"/>
      <c r="AL327" s="202"/>
      <c r="AM327" s="202"/>
      <c r="AN327" s="195" t="e">
        <f t="array" ref="AN327">#REF!</f>
        <v>#REF!</v>
      </c>
      <c r="AO327" s="195">
        <v>44325.51</v>
      </c>
      <c r="AP327" s="202"/>
      <c r="AQ327" s="202"/>
      <c r="AR327" s="195">
        <v>44325.51</v>
      </c>
      <c r="AS327" s="202"/>
      <c r="AT327" s="202"/>
      <c r="AU327" s="195" t="e">
        <f t="array" ref="AU327">#REF!</f>
        <v>#REF!</v>
      </c>
      <c r="AV327" s="195"/>
      <c r="AW327" s="202"/>
      <c r="AX327" s="202"/>
      <c r="AY327" s="195">
        <f t="array" ref="AY327">AV327</f>
        <v>0</v>
      </c>
      <c r="AZ327" s="202"/>
      <c r="BA327" s="202"/>
      <c r="BB327" s="90"/>
      <c r="BC327" s="90"/>
      <c r="BD327" s="90"/>
      <c r="BE327" s="227" t="e">
        <f t="shared" si="9"/>
        <v>#REF!</v>
      </c>
      <c r="BF327" s="227" t="e">
        <f t="array" ref="BF327">#REF!</f>
        <v>#REF!</v>
      </c>
      <c r="BG327" s="92"/>
      <c r="BH327" s="92"/>
      <c r="BI327" s="92"/>
      <c r="BJ327" s="92"/>
      <c r="BK327" s="92"/>
      <c r="BL327" s="92"/>
      <c r="BM327" s="92"/>
    </row>
    <row r="328" spans="1:66" ht="37.5" customHeight="1" outlineLevel="1" x14ac:dyDescent="0.25">
      <c r="A328" s="2" t="b">
        <f t="array" ref="A328">A327</f>
        <v>1</v>
      </c>
      <c r="B328" s="8" t="b">
        <f t="array" ref="B328">A328</f>
        <v>1</v>
      </c>
      <c r="C328" s="2" t="s">
        <v>84</v>
      </c>
      <c r="D328" s="2" t="s">
        <v>85</v>
      </c>
      <c r="E328" s="2" t="s">
        <v>74</v>
      </c>
      <c r="F328" s="2" t="s">
        <v>75</v>
      </c>
      <c r="G328" s="2" t="s">
        <v>468</v>
      </c>
      <c r="H328" s="2" t="s">
        <v>74</v>
      </c>
      <c r="I328" s="2" t="s">
        <v>74</v>
      </c>
      <c r="J328" s="2" t="s">
        <v>74</v>
      </c>
      <c r="K328" s="5" t="s">
        <v>74</v>
      </c>
      <c r="L328" s="2" t="s">
        <v>136</v>
      </c>
      <c r="M328" s="8" t="str">
        <f t="array" ref="M328">Y107</f>
        <v>1ХВС::1.1</v>
      </c>
      <c r="AA328" s="191" t="str">
        <f>AA320&amp;".6"</f>
        <v>4.6</v>
      </c>
      <c r="AB328" s="190" t="s">
        <v>468</v>
      </c>
      <c r="AC328" s="191" t="s">
        <v>114</v>
      </c>
      <c r="AD328" s="195">
        <v>21355.0381264469</v>
      </c>
      <c r="AE328" s="195">
        <v>-5740.56</v>
      </c>
      <c r="AF328" s="195">
        <v>-108629.83155011899</v>
      </c>
      <c r="AG328" s="202"/>
      <c r="AH328" s="202"/>
      <c r="AI328" s="195">
        <v>-108629.83155011899</v>
      </c>
      <c r="AJ328" s="202"/>
      <c r="AK328" s="202"/>
      <c r="AL328" s="202"/>
      <c r="AM328" s="202"/>
      <c r="AN328" s="195" t="e">
        <f t="array" ref="AN328">#REF!</f>
        <v>#REF!</v>
      </c>
      <c r="AO328" s="195">
        <v>-5641.4453054969999</v>
      </c>
      <c r="AP328" s="202"/>
      <c r="AQ328" s="202"/>
      <c r="AR328" s="195">
        <v>-5641.4453054969999</v>
      </c>
      <c r="AS328" s="202"/>
      <c r="AT328" s="202"/>
      <c r="AU328" s="195" t="e">
        <f t="array" ref="AU328">#REF!</f>
        <v>#REF!</v>
      </c>
      <c r="AV328" s="195"/>
      <c r="AW328" s="202"/>
      <c r="AX328" s="202"/>
      <c r="AY328" s="195">
        <f t="array" ref="AY328">AV328</f>
        <v>0</v>
      </c>
      <c r="AZ328" s="202"/>
      <c r="BA328" s="202"/>
      <c r="BB328" s="90"/>
      <c r="BC328" s="90"/>
      <c r="BD328" s="90"/>
      <c r="BE328" s="227" t="e">
        <f t="shared" si="9"/>
        <v>#REF!</v>
      </c>
      <c r="BF328" s="227" t="e">
        <f t="array" ref="BF328">#REF!</f>
        <v>#REF!</v>
      </c>
      <c r="BG328" s="92"/>
      <c r="BH328" s="92"/>
      <c r="BI328" s="92"/>
      <c r="BJ328" s="92"/>
      <c r="BK328" s="92"/>
      <c r="BL328" s="92"/>
      <c r="BM328" s="92"/>
    </row>
    <row r="329" spans="1:66" ht="14.25" customHeight="1" x14ac:dyDescent="0.25">
      <c r="A329" s="2" t="b">
        <f>REGULATION_METHODS="Метод индексации"</f>
        <v>1</v>
      </c>
      <c r="B329" s="8" t="b">
        <f t="array" ref="B329">A329</f>
        <v>1</v>
      </c>
      <c r="C329" s="2" t="s">
        <v>84</v>
      </c>
      <c r="D329" s="2" t="s">
        <v>85</v>
      </c>
      <c r="E329" s="2" t="s">
        <v>74</v>
      </c>
      <c r="F329" s="2" t="s">
        <v>75</v>
      </c>
      <c r="G329" s="2" t="s">
        <v>469</v>
      </c>
      <c r="H329" s="2" t="s">
        <v>74</v>
      </c>
      <c r="I329" s="2" t="s">
        <v>74</v>
      </c>
      <c r="J329" s="2" t="s">
        <v>74</v>
      </c>
      <c r="K329" s="5" t="s">
        <v>74</v>
      </c>
      <c r="L329" s="2" t="s">
        <v>136</v>
      </c>
      <c r="M329" s="8" t="str">
        <f t="array" ref="M329">Y107</f>
        <v>1ХВС::1.1</v>
      </c>
      <c r="AA329" s="146">
        <f>COUNT(AA320,AA156,AA110)+2</f>
        <v>5</v>
      </c>
      <c r="AB329" s="186" t="s">
        <v>470</v>
      </c>
      <c r="AC329" s="146" t="s">
        <v>114</v>
      </c>
      <c r="AD329" s="195">
        <v>-65217.35</v>
      </c>
      <c r="AE329" s="195">
        <v>40276.720000000001</v>
      </c>
      <c r="AF329" s="195">
        <v>68736.37</v>
      </c>
      <c r="AG329" s="202"/>
      <c r="AH329" s="202"/>
      <c r="AI329" s="195">
        <v>68736.37</v>
      </c>
      <c r="AJ329" s="202"/>
      <c r="AK329" s="202"/>
      <c r="AL329" s="202"/>
      <c r="AM329" s="202"/>
      <c r="AN329" s="195" t="e">
        <f t="array" ref="AN329">#REF!</f>
        <v>#REF!</v>
      </c>
      <c r="AO329" s="195">
        <v>-40000</v>
      </c>
      <c r="AP329" s="202"/>
      <c r="AQ329" s="202"/>
      <c r="AR329" s="195">
        <v>-40000</v>
      </c>
      <c r="AS329" s="202"/>
      <c r="AT329" s="202"/>
      <c r="AU329" s="195" t="e">
        <f t="array" ref="AU329">#REF!</f>
        <v>#REF!</v>
      </c>
      <c r="AV329" s="195">
        <v>-160000</v>
      </c>
      <c r="AW329" s="202"/>
      <c r="AX329" s="202"/>
      <c r="AY329" s="195">
        <v>-160000</v>
      </c>
      <c r="AZ329" s="202"/>
      <c r="BA329" s="202"/>
      <c r="BB329" s="90"/>
      <c r="BC329" s="90"/>
      <c r="BD329" s="90"/>
      <c r="BE329" s="227" t="e">
        <f t="shared" si="9"/>
        <v>#REF!</v>
      </c>
      <c r="BF329" s="227" t="e">
        <f t="array" ref="BF329">#REF!</f>
        <v>#REF!</v>
      </c>
      <c r="BG329" s="92"/>
      <c r="BH329" s="92"/>
      <c r="BI329" s="92"/>
      <c r="BJ329" s="92"/>
      <c r="BK329" s="92"/>
      <c r="BL329" s="92"/>
      <c r="BM329" s="92"/>
    </row>
    <row r="330" spans="1:66" ht="14.25" hidden="1" customHeight="1" x14ac:dyDescent="0.25">
      <c r="A330" s="2" t="b">
        <f>REGULATION_METHODS="МЭОР"</f>
        <v>0</v>
      </c>
      <c r="B330" s="8" t="b">
        <f t="array" ref="B330">A330</f>
        <v>0</v>
      </c>
      <c r="C330" s="2" t="s">
        <v>84</v>
      </c>
      <c r="D330" s="2" t="s">
        <v>85</v>
      </c>
      <c r="E330" s="2" t="s">
        <v>74</v>
      </c>
      <c r="F330" s="2" t="s">
        <v>75</v>
      </c>
      <c r="G330" s="2" t="s">
        <v>471</v>
      </c>
      <c r="H330" s="2" t="s">
        <v>74</v>
      </c>
      <c r="I330" s="2" t="s">
        <v>74</v>
      </c>
      <c r="J330" s="2" t="s">
        <v>74</v>
      </c>
      <c r="K330" s="5" t="s">
        <v>74</v>
      </c>
      <c r="L330" s="2" t="s">
        <v>472</v>
      </c>
      <c r="M330" s="8" t="str">
        <f t="array" ref="M330">Y107</f>
        <v>1ХВС::1.1</v>
      </c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15"/>
      <c r="AA330" s="63"/>
      <c r="AB330" s="74"/>
      <c r="AC330" s="63"/>
      <c r="AD330" s="251"/>
      <c r="AE330" s="251"/>
      <c r="AF330" s="251"/>
      <c r="AG330" s="251"/>
      <c r="AH330" s="251"/>
      <c r="AI330" s="251"/>
      <c r="AJ330" s="251"/>
      <c r="AK330" s="251"/>
      <c r="AL330" s="251"/>
      <c r="AM330" s="251"/>
      <c r="AN330" s="251"/>
      <c r="AO330" s="251"/>
      <c r="AP330" s="251"/>
      <c r="AQ330" s="251"/>
      <c r="AR330" s="251"/>
      <c r="AS330" s="251"/>
      <c r="AT330" s="251"/>
      <c r="AU330" s="251"/>
      <c r="AV330" s="251"/>
      <c r="AW330" s="251"/>
      <c r="AX330" s="251"/>
      <c r="AY330" s="251"/>
      <c r="AZ330" s="251"/>
      <c r="BA330" s="251"/>
      <c r="BB330" s="62"/>
      <c r="BC330" s="62"/>
      <c r="BD330" s="62"/>
      <c r="BE330" s="170"/>
      <c r="BF330" s="170"/>
      <c r="BG330" s="68"/>
      <c r="BH330" s="68"/>
      <c r="BI330" s="68"/>
      <c r="BJ330" s="68"/>
      <c r="BK330" s="68"/>
      <c r="BL330" s="68"/>
      <c r="BM330" s="68"/>
      <c r="BN330" s="15"/>
    </row>
    <row r="331" spans="1:66" ht="27" hidden="1" customHeight="1" outlineLevel="4" x14ac:dyDescent="0.25">
      <c r="A331" s="2" t="b">
        <f t="array" ref="A331">A330</f>
        <v>0</v>
      </c>
      <c r="B331" s="8" t="b">
        <f t="array" ref="B331">A331</f>
        <v>0</v>
      </c>
      <c r="C331" s="2" t="s">
        <v>84</v>
      </c>
      <c r="D331" s="2" t="s">
        <v>85</v>
      </c>
      <c r="E331" s="2" t="s">
        <v>74</v>
      </c>
      <c r="F331" s="2" t="s">
        <v>75</v>
      </c>
      <c r="G331" s="2" t="s">
        <v>473</v>
      </c>
      <c r="H331" s="2" t="s">
        <v>74</v>
      </c>
      <c r="I331" s="2" t="s">
        <v>74</v>
      </c>
      <c r="J331" s="2" t="s">
        <v>74</v>
      </c>
      <c r="K331" s="5" t="s">
        <v>74</v>
      </c>
      <c r="L331" s="2" t="s">
        <v>472</v>
      </c>
      <c r="M331" s="8" t="str">
        <f t="array" ref="M331">Y107</f>
        <v>1ХВС::1.1</v>
      </c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15"/>
      <c r="AA331" s="167"/>
      <c r="AB331" s="182"/>
      <c r="AC331" s="209"/>
      <c r="AD331" s="252"/>
      <c r="AE331" s="252"/>
      <c r="AF331" s="252"/>
      <c r="AG331" s="252"/>
      <c r="AH331" s="252"/>
      <c r="AI331" s="252"/>
      <c r="AJ331" s="252"/>
      <c r="AK331" s="252"/>
      <c r="AL331" s="252"/>
      <c r="AM331" s="252"/>
      <c r="AN331" s="252"/>
      <c r="AO331" s="252"/>
      <c r="AP331" s="252"/>
      <c r="AQ331" s="252"/>
      <c r="AR331" s="252"/>
      <c r="AS331" s="252"/>
      <c r="AT331" s="252"/>
      <c r="AU331" s="252"/>
      <c r="AV331" s="252"/>
      <c r="AW331" s="252"/>
      <c r="AX331" s="252"/>
      <c r="AY331" s="252"/>
      <c r="AZ331" s="252"/>
      <c r="BA331" s="252"/>
      <c r="BB331" s="253"/>
      <c r="BC331" s="253"/>
      <c r="BD331" s="253"/>
      <c r="BE331" s="170"/>
      <c r="BF331" s="170"/>
      <c r="BG331" s="254"/>
      <c r="BH331" s="254"/>
      <c r="BI331" s="254"/>
      <c r="BJ331" s="254"/>
      <c r="BK331" s="254"/>
      <c r="BL331" s="254"/>
      <c r="BM331" s="254"/>
      <c r="BN331" s="15"/>
    </row>
    <row r="332" spans="1:66" ht="14.25" hidden="1" customHeight="1" outlineLevel="4" x14ac:dyDescent="0.25">
      <c r="A332" s="2" t="b">
        <f t="array" ref="A332">A331</f>
        <v>0</v>
      </c>
      <c r="B332" s="8" t="b">
        <f t="array" ref="B332">A332</f>
        <v>0</v>
      </c>
      <c r="C332" s="2" t="s">
        <v>84</v>
      </c>
      <c r="D332" s="2" t="s">
        <v>85</v>
      </c>
      <c r="E332" s="2" t="s">
        <v>74</v>
      </c>
      <c r="F332" s="2" t="s">
        <v>75</v>
      </c>
      <c r="G332" s="2" t="s">
        <v>474</v>
      </c>
      <c r="H332" s="2" t="s">
        <v>74</v>
      </c>
      <c r="I332" s="2" t="s">
        <v>74</v>
      </c>
      <c r="J332" s="2" t="s">
        <v>74</v>
      </c>
      <c r="K332" s="5" t="s">
        <v>74</v>
      </c>
      <c r="L332" s="2" t="s">
        <v>472</v>
      </c>
      <c r="M332" s="8" t="str">
        <f t="array" ref="M332">Y107</f>
        <v>1ХВС::1.1</v>
      </c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15"/>
      <c r="AA332" s="167"/>
      <c r="AB332" s="182"/>
      <c r="AC332" s="209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67"/>
      <c r="BC332" s="67"/>
      <c r="BD332" s="67"/>
      <c r="BE332" s="170"/>
      <c r="BF332" s="170"/>
      <c r="BG332" s="68"/>
      <c r="BH332" s="68"/>
      <c r="BI332" s="68"/>
      <c r="BJ332" s="68"/>
      <c r="BK332" s="68"/>
      <c r="BL332" s="68"/>
      <c r="BM332" s="68"/>
      <c r="BN332" s="15"/>
    </row>
    <row r="333" spans="1:66" ht="28.5" hidden="1" customHeight="1" outlineLevel="4" x14ac:dyDescent="0.25">
      <c r="A333" s="2" t="b">
        <f t="array" ref="A333">A332</f>
        <v>0</v>
      </c>
      <c r="B333" s="8" t="b">
        <f t="array" ref="B333">A333</f>
        <v>0</v>
      </c>
      <c r="C333" s="2" t="s">
        <v>84</v>
      </c>
      <c r="D333" s="2" t="s">
        <v>85</v>
      </c>
      <c r="E333" s="2" t="s">
        <v>74</v>
      </c>
      <c r="F333" s="2" t="s">
        <v>75</v>
      </c>
      <c r="G333" s="2" t="s">
        <v>475</v>
      </c>
      <c r="H333" s="2" t="s">
        <v>74</v>
      </c>
      <c r="I333" s="2" t="s">
        <v>74</v>
      </c>
      <c r="J333" s="2" t="s">
        <v>74</v>
      </c>
      <c r="K333" s="5" t="s">
        <v>74</v>
      </c>
      <c r="L333" s="2" t="s">
        <v>472</v>
      </c>
      <c r="M333" s="8" t="str">
        <f t="array" ref="M333">Y107</f>
        <v>1ХВС::1.1</v>
      </c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15"/>
      <c r="AA333" s="167"/>
      <c r="AB333" s="182"/>
      <c r="AC333" s="209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67"/>
      <c r="BC333" s="67"/>
      <c r="BD333" s="67"/>
      <c r="BE333" s="170"/>
      <c r="BF333" s="170"/>
      <c r="BG333" s="68"/>
      <c r="BH333" s="68"/>
      <c r="BI333" s="68"/>
      <c r="BJ333" s="68"/>
      <c r="BK333" s="68"/>
      <c r="BL333" s="68"/>
      <c r="BM333" s="68"/>
      <c r="BN333" s="15"/>
    </row>
    <row r="334" spans="1:66" ht="14.25" customHeight="1" x14ac:dyDescent="0.25">
      <c r="C334" s="2" t="s">
        <v>84</v>
      </c>
      <c r="D334" s="2" t="s">
        <v>85</v>
      </c>
      <c r="E334" s="2" t="s">
        <v>74</v>
      </c>
      <c r="F334" s="2" t="s">
        <v>75</v>
      </c>
      <c r="G334" s="93" t="s">
        <v>476</v>
      </c>
      <c r="H334" s="2" t="s">
        <v>74</v>
      </c>
      <c r="I334" s="2" t="s">
        <v>74</v>
      </c>
      <c r="J334" s="2" t="s">
        <v>74</v>
      </c>
      <c r="K334" s="5" t="s">
        <v>74</v>
      </c>
      <c r="L334" s="235" t="s">
        <v>74</v>
      </c>
      <c r="M334" s="8" t="str">
        <f t="array" ref="M334">Y107</f>
        <v>1ХВС::1.1</v>
      </c>
      <c r="AA334" s="146">
        <f>COUNT(AA320,AA156,AA110,AA329,AA330)+2</f>
        <v>6</v>
      </c>
      <c r="AB334" s="186" t="s">
        <v>477</v>
      </c>
      <c r="AC334" s="146" t="s">
        <v>114</v>
      </c>
      <c r="AD334" s="136"/>
      <c r="AE334" s="136"/>
      <c r="AF334" s="195"/>
      <c r="AG334" s="202"/>
      <c r="AH334" s="202"/>
      <c r="AI334" s="136">
        <f t="array" ref="AI334">AF334</f>
        <v>0</v>
      </c>
      <c r="AJ334" s="202"/>
      <c r="AK334" s="202"/>
      <c r="AL334" s="202"/>
      <c r="AM334" s="202"/>
      <c r="AN334" s="136" t="e">
        <f t="array" ref="AN334">#REF!</f>
        <v>#REF!</v>
      </c>
      <c r="AO334" s="195">
        <v>-144077.860315</v>
      </c>
      <c r="AP334" s="202"/>
      <c r="AQ334" s="202"/>
      <c r="AR334" s="136">
        <v>-144077.860315</v>
      </c>
      <c r="AS334" s="202"/>
      <c r="AT334" s="202"/>
      <c r="AU334" s="136" t="e">
        <f t="array" ref="AU334">#REF!</f>
        <v>#REF!</v>
      </c>
      <c r="AV334" s="195"/>
      <c r="AW334" s="202"/>
      <c r="AX334" s="202"/>
      <c r="AY334" s="136">
        <f t="array" ref="AY334">AV334</f>
        <v>0</v>
      </c>
      <c r="AZ334" s="202"/>
      <c r="BA334" s="202"/>
      <c r="BB334" s="255"/>
      <c r="BC334" s="255"/>
      <c r="BD334" s="255"/>
      <c r="BE334" s="99" t="e">
        <f>SUM(AD334:BA334)</f>
        <v>#REF!</v>
      </c>
      <c r="BF334" s="99" t="e">
        <f t="array" ref="BF334">#REF!</f>
        <v>#REF!</v>
      </c>
      <c r="BG334" s="101"/>
      <c r="BH334" s="101"/>
      <c r="BI334" s="101"/>
      <c r="BJ334" s="101"/>
      <c r="BK334" s="101"/>
      <c r="BL334" s="101"/>
      <c r="BM334" s="101"/>
    </row>
    <row r="335" spans="1:66" ht="25.5" customHeight="1" x14ac:dyDescent="0.25">
      <c r="C335" s="235" t="s">
        <v>84</v>
      </c>
      <c r="D335" s="235" t="s">
        <v>85</v>
      </c>
      <c r="E335" s="235" t="s">
        <v>74</v>
      </c>
      <c r="F335" s="235" t="s">
        <v>75</v>
      </c>
      <c r="G335" s="235" t="s">
        <v>478</v>
      </c>
      <c r="H335" s="235" t="s">
        <v>74</v>
      </c>
      <c r="I335" s="235" t="s">
        <v>74</v>
      </c>
      <c r="J335" s="235" t="s">
        <v>74</v>
      </c>
      <c r="K335" s="236" t="s">
        <v>74</v>
      </c>
      <c r="L335" s="235" t="s">
        <v>74</v>
      </c>
      <c r="M335" s="8" t="str">
        <f t="array" ref="M335">Y107</f>
        <v>1ХВС::1.1</v>
      </c>
      <c r="AA335" s="107" t="str">
        <f>AA334&amp;".1"</f>
        <v>6.1</v>
      </c>
      <c r="AB335" s="256" t="s">
        <v>478</v>
      </c>
      <c r="AC335" s="206" t="s">
        <v>114</v>
      </c>
      <c r="AD335" s="136"/>
      <c r="AE335" s="136"/>
      <c r="AF335" s="195"/>
      <c r="AG335" s="202"/>
      <c r="AH335" s="202"/>
      <c r="AI335" s="136">
        <f t="array" ref="AI335">AF335</f>
        <v>0</v>
      </c>
      <c r="AJ335" s="202"/>
      <c r="AK335" s="202"/>
      <c r="AL335" s="202"/>
      <c r="AM335" s="202"/>
      <c r="AN335" s="136" t="e">
        <f t="array" ref="AN335">#REF!</f>
        <v>#REF!</v>
      </c>
      <c r="AO335" s="195"/>
      <c r="AP335" s="202"/>
      <c r="AQ335" s="202"/>
      <c r="AR335" s="136">
        <f t="array" ref="AR335">AO335</f>
        <v>0</v>
      </c>
      <c r="AS335" s="202"/>
      <c r="AT335" s="202"/>
      <c r="AU335" s="136" t="e">
        <f t="array" ref="AU335">#REF!</f>
        <v>#REF!</v>
      </c>
      <c r="AV335" s="195"/>
      <c r="AW335" s="202"/>
      <c r="AX335" s="202"/>
      <c r="AY335" s="136">
        <f t="array" ref="AY335">AV335</f>
        <v>0</v>
      </c>
      <c r="AZ335" s="202"/>
      <c r="BA335" s="202"/>
      <c r="BB335" s="255"/>
      <c r="BC335" s="255"/>
      <c r="BD335" s="255"/>
      <c r="BE335" s="99" t="e">
        <f>SUM(AD335:BA335)</f>
        <v>#REF!</v>
      </c>
      <c r="BF335" s="99" t="e">
        <f t="array" ref="BF335">#REF!</f>
        <v>#REF!</v>
      </c>
      <c r="BG335" s="101"/>
      <c r="BH335" s="101"/>
      <c r="BI335" s="101"/>
      <c r="BJ335" s="101"/>
      <c r="BK335" s="101"/>
      <c r="BL335" s="101"/>
      <c r="BM335" s="101"/>
    </row>
    <row r="336" spans="1:66" ht="25.5" customHeight="1" x14ac:dyDescent="0.25">
      <c r="C336" s="235" t="s">
        <v>84</v>
      </c>
      <c r="D336" s="235" t="s">
        <v>85</v>
      </c>
      <c r="E336" s="235" t="s">
        <v>74</v>
      </c>
      <c r="F336" s="235" t="s">
        <v>75</v>
      </c>
      <c r="G336" s="235" t="s">
        <v>479</v>
      </c>
      <c r="H336" s="235" t="s">
        <v>74</v>
      </c>
      <c r="I336" s="235" t="s">
        <v>74</v>
      </c>
      <c r="J336" s="235" t="s">
        <v>74</v>
      </c>
      <c r="K336" s="236" t="s">
        <v>74</v>
      </c>
      <c r="L336" s="235" t="s">
        <v>74</v>
      </c>
      <c r="M336" s="8" t="str">
        <f t="array" ref="M336">Y107</f>
        <v>1ХВС::1.1</v>
      </c>
      <c r="AA336" s="107" t="str">
        <f>AA334&amp;".2"</f>
        <v>6.2</v>
      </c>
      <c r="AB336" s="257" t="s">
        <v>479</v>
      </c>
      <c r="AC336" s="206" t="s">
        <v>114</v>
      </c>
      <c r="AD336" s="136"/>
      <c r="AE336" s="136"/>
      <c r="AF336" s="195"/>
      <c r="AG336" s="202"/>
      <c r="AH336" s="202"/>
      <c r="AI336" s="136">
        <f t="array" ref="AI336">AF336</f>
        <v>0</v>
      </c>
      <c r="AJ336" s="202"/>
      <c r="AK336" s="202"/>
      <c r="AL336" s="202"/>
      <c r="AM336" s="202"/>
      <c r="AN336" s="136" t="e">
        <f t="array" ref="AN336">#REF!</f>
        <v>#REF!</v>
      </c>
      <c r="AO336" s="195">
        <v>-144077.860315</v>
      </c>
      <c r="AP336" s="202"/>
      <c r="AQ336" s="202"/>
      <c r="AR336" s="136">
        <v>-144077.860315</v>
      </c>
      <c r="AS336" s="202"/>
      <c r="AT336" s="202"/>
      <c r="AU336" s="136" t="e">
        <f t="array" ref="AU336">#REF!</f>
        <v>#REF!</v>
      </c>
      <c r="AV336" s="195"/>
      <c r="AW336" s="202"/>
      <c r="AX336" s="202"/>
      <c r="AY336" s="136">
        <f t="array" ref="AY336">AV336</f>
        <v>0</v>
      </c>
      <c r="AZ336" s="202"/>
      <c r="BA336" s="202"/>
      <c r="BB336" s="255"/>
      <c r="BC336" s="255"/>
      <c r="BD336" s="255"/>
      <c r="BE336" s="99" t="e">
        <f>SUM(AD336:BA336)</f>
        <v>#REF!</v>
      </c>
      <c r="BF336" s="99" t="e">
        <f t="array" ref="BF336">#REF!</f>
        <v>#REF!</v>
      </c>
      <c r="BG336" s="101"/>
      <c r="BH336" s="101"/>
      <c r="BI336" s="101"/>
      <c r="BJ336" s="101"/>
      <c r="BK336" s="101"/>
      <c r="BL336" s="101"/>
      <c r="BM336" s="101"/>
    </row>
    <row r="337" spans="1:66" ht="26.25" hidden="1" customHeight="1" x14ac:dyDescent="0.25">
      <c r="A337" s="2" t="b">
        <f>$U107="Водоотведение"</f>
        <v>0</v>
      </c>
      <c r="B337" s="7"/>
      <c r="C337" s="235" t="s">
        <v>84</v>
      </c>
      <c r="D337" s="235" t="s">
        <v>85</v>
      </c>
      <c r="E337" s="235" t="s">
        <v>74</v>
      </c>
      <c r="F337" s="235" t="s">
        <v>75</v>
      </c>
      <c r="G337" s="235" t="s">
        <v>480</v>
      </c>
      <c r="H337" s="235" t="s">
        <v>74</v>
      </c>
      <c r="I337" s="235" t="s">
        <v>74</v>
      </c>
      <c r="J337" s="235" t="s">
        <v>74</v>
      </c>
      <c r="K337" s="236" t="s">
        <v>74</v>
      </c>
      <c r="L337" s="235" t="s">
        <v>74</v>
      </c>
      <c r="M337" s="8" t="str">
        <f t="array" ref="M337">Y107</f>
        <v>1ХВС::1.1</v>
      </c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15"/>
      <c r="AA337" s="63"/>
      <c r="AB337" s="74"/>
      <c r="AC337" s="63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67"/>
      <c r="BC337" s="67"/>
      <c r="BD337" s="67"/>
      <c r="BE337" s="170"/>
      <c r="BF337" s="170"/>
      <c r="BG337" s="68"/>
      <c r="BH337" s="68"/>
      <c r="BI337" s="68"/>
      <c r="BJ337" s="68"/>
      <c r="BK337" s="68"/>
      <c r="BL337" s="68"/>
      <c r="BM337" s="68"/>
      <c r="BN337" s="15"/>
    </row>
    <row r="338" spans="1:66" ht="25.5" customHeight="1" x14ac:dyDescent="0.25">
      <c r="C338" s="4" t="s">
        <v>84</v>
      </c>
      <c r="D338" s="235" t="s">
        <v>85</v>
      </c>
      <c r="E338" s="235" t="s">
        <v>74</v>
      </c>
      <c r="F338" s="235" t="s">
        <v>75</v>
      </c>
      <c r="G338" s="235" t="s">
        <v>481</v>
      </c>
      <c r="H338" s="235" t="s">
        <v>74</v>
      </c>
      <c r="I338" s="235" t="s">
        <v>74</v>
      </c>
      <c r="J338" s="235" t="s">
        <v>74</v>
      </c>
      <c r="K338" s="236" t="s">
        <v>74</v>
      </c>
      <c r="L338" s="235" t="s">
        <v>74</v>
      </c>
      <c r="M338" s="8" t="str">
        <f t="array" ref="M338">Y107</f>
        <v>1ХВС::1.1</v>
      </c>
      <c r="AA338" s="146">
        <f>COUNT(AA320,AA156,AA110,AA329,AA330,AA334,AA337)+2</f>
        <v>7</v>
      </c>
      <c r="AB338" s="186" t="s">
        <v>481</v>
      </c>
      <c r="AC338" s="146" t="s">
        <v>114</v>
      </c>
      <c r="AD338" s="136"/>
      <c r="AE338" s="136"/>
      <c r="AF338" s="195"/>
      <c r="AG338" s="202"/>
      <c r="AH338" s="202"/>
      <c r="AI338" s="136">
        <f t="array" ref="AI338">AF338</f>
        <v>0</v>
      </c>
      <c r="AJ338" s="202"/>
      <c r="AK338" s="202"/>
      <c r="AL338" s="202"/>
      <c r="AM338" s="202"/>
      <c r="AN338" s="136" t="e">
        <f t="array" ref="AN338">#REF!</f>
        <v>#REF!</v>
      </c>
      <c r="AO338" s="195"/>
      <c r="AP338" s="202"/>
      <c r="AQ338" s="202"/>
      <c r="AR338" s="136">
        <f t="array" ref="AR338">AO338</f>
        <v>0</v>
      </c>
      <c r="AS338" s="202"/>
      <c r="AT338" s="202"/>
      <c r="AU338" s="136" t="e">
        <f t="array" ref="AU338">#REF!</f>
        <v>#REF!</v>
      </c>
      <c r="AV338" s="195"/>
      <c r="AW338" s="202"/>
      <c r="AX338" s="202"/>
      <c r="AY338" s="136">
        <f t="array" ref="AY338">AV338</f>
        <v>0</v>
      </c>
      <c r="AZ338" s="202"/>
      <c r="BA338" s="202"/>
      <c r="BB338" s="255"/>
      <c r="BC338" s="255"/>
      <c r="BD338" s="255"/>
      <c r="BE338" s="99" t="e">
        <f>SUM(AD338:BA338)</f>
        <v>#REF!</v>
      </c>
      <c r="BF338" s="99" t="e">
        <f t="array" ref="BF338">#REF!</f>
        <v>#REF!</v>
      </c>
      <c r="BG338" s="101"/>
      <c r="BH338" s="101"/>
      <c r="BI338" s="101"/>
      <c r="BJ338" s="101"/>
      <c r="BK338" s="101"/>
      <c r="BL338" s="101"/>
      <c r="BM338" s="101"/>
    </row>
    <row r="339" spans="1:66" ht="14.25" customHeight="1" x14ac:dyDescent="0.25">
      <c r="C339" s="4" t="s">
        <v>84</v>
      </c>
      <c r="D339" s="235" t="s">
        <v>85</v>
      </c>
      <c r="E339" s="235" t="s">
        <v>74</v>
      </c>
      <c r="F339" s="235" t="s">
        <v>75</v>
      </c>
      <c r="G339" s="235" t="s">
        <v>482</v>
      </c>
      <c r="H339" s="235" t="s">
        <v>74</v>
      </c>
      <c r="I339" s="235" t="s">
        <v>74</v>
      </c>
      <c r="J339" s="235" t="s">
        <v>74</v>
      </c>
      <c r="K339" s="236" t="s">
        <v>74</v>
      </c>
      <c r="L339" s="235" t="s">
        <v>74</v>
      </c>
      <c r="M339" s="8" t="str">
        <f t="array" ref="M339">Y107</f>
        <v>1ХВС::1.1</v>
      </c>
      <c r="AA339" s="146">
        <f>COUNT(AA320,AA156,AA110,AA329,AA330,AA334,AA338,AA337)+2</f>
        <v>8</v>
      </c>
      <c r="AB339" s="186" t="s">
        <v>482</v>
      </c>
      <c r="AC339" s="146" t="s">
        <v>114</v>
      </c>
      <c r="AD339" s="136"/>
      <c r="AE339" s="136"/>
      <c r="AF339" s="195"/>
      <c r="AG339" s="202"/>
      <c r="AH339" s="202"/>
      <c r="AI339" s="136">
        <f t="array" ref="AI339">AF339</f>
        <v>0</v>
      </c>
      <c r="AJ339" s="202"/>
      <c r="AK339" s="202"/>
      <c r="AL339" s="202"/>
      <c r="AM339" s="202"/>
      <c r="AN339" s="136" t="e">
        <f t="array" ref="AN339">#REF!</f>
        <v>#REF!</v>
      </c>
      <c r="AO339" s="195"/>
      <c r="AP339" s="202"/>
      <c r="AQ339" s="202"/>
      <c r="AR339" s="136">
        <f t="array" ref="AR339">AO339</f>
        <v>0</v>
      </c>
      <c r="AS339" s="202"/>
      <c r="AT339" s="202"/>
      <c r="AU339" s="136" t="e">
        <f t="array" ref="AU339">#REF!</f>
        <v>#REF!</v>
      </c>
      <c r="AV339" s="195"/>
      <c r="AW339" s="202"/>
      <c r="AX339" s="202"/>
      <c r="AY339" s="136">
        <f t="array" ref="AY339">AV339</f>
        <v>0</v>
      </c>
      <c r="AZ339" s="202"/>
      <c r="BA339" s="202"/>
      <c r="BB339" s="255"/>
      <c r="BC339" s="255"/>
      <c r="BD339" s="255"/>
      <c r="BE339" s="99" t="e">
        <f>SUM(AD339:BA339)</f>
        <v>#REF!</v>
      </c>
      <c r="BF339" s="99" t="e">
        <f t="array" ref="BF339">#REF!</f>
        <v>#REF!</v>
      </c>
      <c r="BG339" s="101"/>
      <c r="BH339" s="101"/>
      <c r="BI339" s="101"/>
      <c r="BJ339" s="101"/>
      <c r="BK339" s="101"/>
      <c r="BL339" s="101"/>
      <c r="BM339" s="101"/>
    </row>
    <row r="340" spans="1:66" ht="14.25" customHeight="1" x14ac:dyDescent="0.25">
      <c r="C340" s="2" t="s">
        <v>84</v>
      </c>
      <c r="D340" s="2" t="s">
        <v>85</v>
      </c>
      <c r="E340" s="2" t="s">
        <v>74</v>
      </c>
      <c r="F340" s="2" t="s">
        <v>75</v>
      </c>
      <c r="G340" s="2" t="s">
        <v>86</v>
      </c>
      <c r="H340" s="2" t="s">
        <v>74</v>
      </c>
      <c r="I340" s="2" t="s">
        <v>74</v>
      </c>
      <c r="J340" s="2" t="s">
        <v>74</v>
      </c>
      <c r="K340" s="5" t="s">
        <v>74</v>
      </c>
      <c r="L340" s="2" t="s">
        <v>136</v>
      </c>
      <c r="M340" s="8" t="str">
        <f t="array" ref="M340">Y107</f>
        <v>1ХВС::1.1</v>
      </c>
      <c r="AA340" s="146">
        <f>COUNT(AA320,AA156,AA110,AA329,AA330,AA334,AA338,AA339,AA337)+2</f>
        <v>9</v>
      </c>
      <c r="AB340" s="186" t="s">
        <v>483</v>
      </c>
      <c r="AC340" s="146" t="s">
        <v>114</v>
      </c>
      <c r="AD340" s="173">
        <f>801851.408126446+1216.06</f>
        <v>803067.46812644601</v>
      </c>
      <c r="AE340" s="173">
        <f>816051.521956658+6988.64</f>
        <v>823040.161956658</v>
      </c>
      <c r="AF340" s="173">
        <v>966328.00771239598</v>
      </c>
      <c r="AG340" s="174"/>
      <c r="AH340" s="174"/>
      <c r="AI340" s="173" t="e">
        <f>AI156+AI329+AI330+AI334+AI320+AI338+AI339+AI337</f>
        <v>#VALUE!</v>
      </c>
      <c r="AJ340" s="174"/>
      <c r="AK340" s="174"/>
      <c r="AL340" s="174"/>
      <c r="AM340" s="174"/>
      <c r="AN340" s="173" t="e">
        <f>AN156+AN329+AN330+AN334+AN320+AN338+AN339+AN337</f>
        <v>#REF!</v>
      </c>
      <c r="AO340" s="173">
        <v>1087776.9851173367</v>
      </c>
      <c r="AP340" s="174"/>
      <c r="AQ340" s="174"/>
      <c r="AR340" s="173" t="e">
        <f>AR156+AR329+AR330+AR334+AR320+AR338+AR339+AR337</f>
        <v>#VALUE!</v>
      </c>
      <c r="AS340" s="174"/>
      <c r="AT340" s="174"/>
      <c r="AU340" s="173" t="e">
        <f>AU156+AU329+AU330+AU334+AU320+AU338+AU339+AU337</f>
        <v>#REF!</v>
      </c>
      <c r="AV340" s="173">
        <v>1272356.8491968573</v>
      </c>
      <c r="AW340" s="174"/>
      <c r="AX340" s="174"/>
      <c r="AY340" s="173" t="e">
        <f>AY156+AY329+AY330+AY334+AY320+AY338+AY339+AY337</f>
        <v>#VALUE!</v>
      </c>
      <c r="AZ340" s="174"/>
      <c r="BA340" s="174"/>
      <c r="BB340" s="258"/>
      <c r="BC340" s="258"/>
      <c r="BD340" s="258"/>
      <c r="BE340" s="99" t="e">
        <f>SUM(AD340:BA340)</f>
        <v>#VALUE!</v>
      </c>
      <c r="BF340" s="100" t="e">
        <f>BF156+BF329+BF330+BF334+BF320+BF338+BF339+BF337</f>
        <v>#REF!</v>
      </c>
      <c r="BG340" s="101"/>
      <c r="BH340" s="101"/>
      <c r="BI340" s="101"/>
      <c r="BJ340" s="101"/>
      <c r="BK340" s="101"/>
      <c r="BL340" s="101"/>
      <c r="BM340" s="101"/>
    </row>
    <row r="341" spans="1:66" ht="14.25" hidden="1" customHeight="1" x14ac:dyDescent="0.25">
      <c r="A341" s="2" t="b">
        <f>$W107&lt;&gt;"одноставочный"</f>
        <v>0</v>
      </c>
      <c r="B341" s="8" t="b">
        <f t="array" ref="B341">A341</f>
        <v>0</v>
      </c>
      <c r="C341" s="2" t="s">
        <v>84</v>
      </c>
      <c r="D341" s="2" t="s">
        <v>85</v>
      </c>
      <c r="E341" s="2" t="s">
        <v>74</v>
      </c>
      <c r="F341" s="2" t="s">
        <v>75</v>
      </c>
      <c r="G341" s="8">
        <f t="array" ref="G341">AB341</f>
        <v>0</v>
      </c>
      <c r="H341" s="2" t="s">
        <v>74</v>
      </c>
      <c r="I341" s="2" t="s">
        <v>74</v>
      </c>
      <c r="J341" s="7"/>
      <c r="K341" s="5" t="s">
        <v>74</v>
      </c>
      <c r="L341" s="259"/>
      <c r="M341" s="8" t="str">
        <f t="array" ref="M341">Y107</f>
        <v>1ХВС::1.1</v>
      </c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15"/>
      <c r="AA341" s="260"/>
      <c r="AB341" s="72"/>
      <c r="AC341" s="261"/>
      <c r="AD341" s="174"/>
      <c r="AE341" s="174"/>
      <c r="AF341" s="174"/>
      <c r="AG341" s="174"/>
      <c r="AH341" s="174"/>
      <c r="AI341" s="174"/>
      <c r="AJ341" s="174"/>
      <c r="AK341" s="174"/>
      <c r="AL341" s="174"/>
      <c r="AM341" s="174"/>
      <c r="AN341" s="174"/>
      <c r="AO341" s="174"/>
      <c r="AP341" s="174"/>
      <c r="AQ341" s="174"/>
      <c r="AR341" s="174"/>
      <c r="AS341" s="174"/>
      <c r="AT341" s="174"/>
      <c r="AU341" s="174"/>
      <c r="AV341" s="174"/>
      <c r="AW341" s="174"/>
      <c r="AX341" s="174"/>
      <c r="AY341" s="174"/>
      <c r="AZ341" s="174"/>
      <c r="BA341" s="174"/>
      <c r="BB341" s="262"/>
      <c r="BC341" s="262"/>
      <c r="BD341" s="262"/>
      <c r="BE341" s="170"/>
      <c r="BF341" s="178"/>
      <c r="BG341" s="68"/>
      <c r="BH341" s="68"/>
      <c r="BI341" s="68"/>
      <c r="BJ341" s="68"/>
      <c r="BK341" s="68"/>
      <c r="BL341" s="68"/>
      <c r="BM341" s="68"/>
      <c r="BN341" s="15"/>
    </row>
    <row r="342" spans="1:66" ht="14.25" hidden="1" customHeight="1" x14ac:dyDescent="0.25">
      <c r="A342" s="2" t="b">
        <f>$W107&lt;&gt;"одноставочный"</f>
        <v>0</v>
      </c>
      <c r="B342" s="8" t="b">
        <f t="array" ref="B342">A342</f>
        <v>0</v>
      </c>
      <c r="C342" s="2" t="s">
        <v>84</v>
      </c>
      <c r="D342" s="2" t="s">
        <v>85</v>
      </c>
      <c r="E342" s="2" t="s">
        <v>74</v>
      </c>
      <c r="F342" s="2" t="s">
        <v>75</v>
      </c>
      <c r="G342" s="8">
        <f t="array" ref="G342">AB342</f>
        <v>0</v>
      </c>
      <c r="H342" s="2" t="s">
        <v>74</v>
      </c>
      <c r="I342" s="2" t="s">
        <v>74</v>
      </c>
      <c r="J342" s="7"/>
      <c r="K342" s="5" t="s">
        <v>74</v>
      </c>
      <c r="L342" s="259"/>
      <c r="M342" s="8" t="str">
        <f t="array" ref="M342">Y107</f>
        <v>1ХВС::1.1</v>
      </c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15"/>
      <c r="AA342" s="260"/>
      <c r="AB342" s="72"/>
      <c r="AC342" s="261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62"/>
      <c r="BC342" s="262"/>
      <c r="BD342" s="262"/>
      <c r="BE342" s="170"/>
      <c r="BF342" s="178"/>
      <c r="BG342" s="68"/>
      <c r="BH342" s="68"/>
      <c r="BI342" s="68"/>
      <c r="BJ342" s="68"/>
      <c r="BK342" s="68"/>
      <c r="BL342" s="68"/>
      <c r="BM342" s="68"/>
      <c r="BN342" s="15"/>
    </row>
    <row r="343" spans="1:66" ht="27.75" hidden="1" customHeight="1" x14ac:dyDescent="0.25">
      <c r="A343" s="2" t="b">
        <f>$W107&lt;&gt;"одноставочный"</f>
        <v>0</v>
      </c>
      <c r="B343" s="8" t="b">
        <f t="array" ref="B343">A343</f>
        <v>0</v>
      </c>
      <c r="C343" s="2" t="s">
        <v>84</v>
      </c>
      <c r="D343" s="2" t="s">
        <v>85</v>
      </c>
      <c r="E343" s="2" t="s">
        <v>74</v>
      </c>
      <c r="F343" s="2" t="s">
        <v>75</v>
      </c>
      <c r="G343" s="8">
        <f t="array" ref="G343">AB343</f>
        <v>0</v>
      </c>
      <c r="H343" s="2" t="s">
        <v>74</v>
      </c>
      <c r="I343" s="2" t="s">
        <v>74</v>
      </c>
      <c r="J343" s="7"/>
      <c r="K343" s="5" t="s">
        <v>74</v>
      </c>
      <c r="L343" s="259"/>
      <c r="M343" s="8" t="str">
        <f t="array" ref="M343">Y107</f>
        <v>1ХВС::1.1</v>
      </c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15"/>
      <c r="AA343" s="63"/>
      <c r="AB343" s="74"/>
      <c r="AC343" s="63"/>
      <c r="AD343" s="263"/>
      <c r="AE343" s="263"/>
      <c r="AF343" s="263"/>
      <c r="AG343" s="263"/>
      <c r="AH343" s="263"/>
      <c r="AI343" s="263"/>
      <c r="AJ343" s="263"/>
      <c r="AK343" s="263"/>
      <c r="AL343" s="263"/>
      <c r="AM343" s="263"/>
      <c r="AN343" s="263"/>
      <c r="AO343" s="263"/>
      <c r="AP343" s="263"/>
      <c r="AQ343" s="263"/>
      <c r="AR343" s="263"/>
      <c r="AS343" s="263"/>
      <c r="AT343" s="263"/>
      <c r="AU343" s="263"/>
      <c r="AV343" s="263"/>
      <c r="AW343" s="263"/>
      <c r="AX343" s="263"/>
      <c r="AY343" s="263"/>
      <c r="AZ343" s="263"/>
      <c r="BA343" s="263"/>
      <c r="BB343" s="262"/>
      <c r="BC343" s="262"/>
      <c r="BD343" s="262"/>
      <c r="BE343" s="170"/>
      <c r="BF343" s="170"/>
      <c r="BG343" s="68"/>
      <c r="BH343" s="68"/>
      <c r="BI343" s="68"/>
      <c r="BJ343" s="68"/>
      <c r="BK343" s="68"/>
      <c r="BL343" s="68"/>
      <c r="BM343" s="68"/>
      <c r="BN343" s="15"/>
    </row>
    <row r="344" spans="1:66" ht="14.25" hidden="1" customHeight="1" x14ac:dyDescent="0.25">
      <c r="A344" s="2" t="b">
        <f>region_name="Белгородская область"</f>
        <v>0</v>
      </c>
      <c r="B344" s="8" t="b">
        <f t="array" ref="B344">A344</f>
        <v>0</v>
      </c>
      <c r="C344" s="2" t="s">
        <v>84</v>
      </c>
      <c r="D344" s="2" t="s">
        <v>85</v>
      </c>
      <c r="E344" s="2" t="s">
        <v>74</v>
      </c>
      <c r="F344" s="2" t="s">
        <v>75</v>
      </c>
      <c r="G344" s="8">
        <f t="array" ref="G344">AB344</f>
        <v>0</v>
      </c>
      <c r="H344" s="2" t="s">
        <v>74</v>
      </c>
      <c r="I344" s="2" t="s">
        <v>74</v>
      </c>
      <c r="J344" s="7"/>
      <c r="K344" s="5" t="s">
        <v>74</v>
      </c>
      <c r="L344" s="259"/>
      <c r="M344" s="8" t="str">
        <f t="array" ref="M344">Y107</f>
        <v>1ХВС::1.1</v>
      </c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15"/>
      <c r="AA344" s="63"/>
      <c r="AB344" s="74"/>
      <c r="AC344" s="63"/>
      <c r="AD344" s="174"/>
      <c r="AE344" s="174"/>
      <c r="AF344" s="174"/>
      <c r="AG344" s="174"/>
      <c r="AH344" s="174"/>
      <c r="AI344" s="174"/>
      <c r="AJ344" s="174"/>
      <c r="AK344" s="174"/>
      <c r="AL344" s="174"/>
      <c r="AM344" s="174"/>
      <c r="AN344" s="202"/>
      <c r="AO344" s="174"/>
      <c r="AP344" s="174"/>
      <c r="AQ344" s="174"/>
      <c r="AR344" s="174"/>
      <c r="AS344" s="174"/>
      <c r="AT344" s="174"/>
      <c r="AU344" s="202"/>
      <c r="AV344" s="174"/>
      <c r="AW344" s="174"/>
      <c r="AX344" s="174"/>
      <c r="AY344" s="174"/>
      <c r="AZ344" s="174"/>
      <c r="BA344" s="174"/>
      <c r="BB344" s="262"/>
      <c r="BC344" s="262"/>
      <c r="BD344" s="262"/>
      <c r="BE344" s="170"/>
      <c r="BF344" s="170"/>
      <c r="BG344" s="68"/>
      <c r="BH344" s="68"/>
      <c r="BI344" s="68"/>
      <c r="BJ344" s="68"/>
      <c r="BK344" s="68"/>
      <c r="BL344" s="68"/>
      <c r="BM344" s="68"/>
      <c r="BN344" s="15"/>
    </row>
    <row r="345" spans="1:66" ht="14.25" hidden="1" customHeight="1" x14ac:dyDescent="0.25">
      <c r="A345" s="2" t="b">
        <f>region_name="Белгородская область"</f>
        <v>0</v>
      </c>
      <c r="B345" s="8" t="b">
        <f t="array" ref="B345">A345</f>
        <v>0</v>
      </c>
      <c r="C345" s="2" t="s">
        <v>84</v>
      </c>
      <c r="D345" s="2" t="s">
        <v>85</v>
      </c>
      <c r="E345" s="2" t="s">
        <v>74</v>
      </c>
      <c r="F345" s="2" t="s">
        <v>75</v>
      </c>
      <c r="G345" s="8">
        <f t="array" ref="G345">AB345</f>
        <v>0</v>
      </c>
      <c r="H345" s="2" t="s">
        <v>74</v>
      </c>
      <c r="I345" s="2" t="s">
        <v>74</v>
      </c>
      <c r="J345" s="7"/>
      <c r="K345" s="5" t="s">
        <v>74</v>
      </c>
      <c r="L345" s="259"/>
      <c r="M345" s="8" t="str">
        <f t="array" ref="M345">Y107</f>
        <v>1ХВС::1.1</v>
      </c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15"/>
      <c r="AA345" s="63"/>
      <c r="AB345" s="74"/>
      <c r="AC345" s="63"/>
      <c r="AD345" s="174"/>
      <c r="AE345" s="174"/>
      <c r="AF345" s="174"/>
      <c r="AG345" s="174"/>
      <c r="AH345" s="174"/>
      <c r="AI345" s="174"/>
      <c r="AJ345" s="174"/>
      <c r="AK345" s="174"/>
      <c r="AL345" s="174"/>
      <c r="AM345" s="174"/>
      <c r="AN345" s="264"/>
      <c r="AO345" s="174"/>
      <c r="AP345" s="174"/>
      <c r="AQ345" s="174"/>
      <c r="AR345" s="174"/>
      <c r="AS345" s="174"/>
      <c r="AT345" s="174"/>
      <c r="AU345" s="174"/>
      <c r="AV345" s="174"/>
      <c r="AW345" s="174"/>
      <c r="AX345" s="174"/>
      <c r="AY345" s="174"/>
      <c r="AZ345" s="174"/>
      <c r="BA345" s="174"/>
      <c r="BB345" s="262"/>
      <c r="BC345" s="262"/>
      <c r="BD345" s="262"/>
      <c r="BE345" s="170"/>
      <c r="BF345" s="178"/>
      <c r="BG345" s="68"/>
      <c r="BH345" s="68"/>
      <c r="BI345" s="68"/>
      <c r="BJ345" s="68"/>
      <c r="BK345" s="68"/>
      <c r="BL345" s="68"/>
      <c r="BM345" s="68"/>
      <c r="BN345" s="15"/>
    </row>
    <row r="346" spans="1:66" ht="14.25" customHeight="1" x14ac:dyDescent="0.25">
      <c r="A346" s="2" t="b">
        <f>$W107="одноставочный"</f>
        <v>1</v>
      </c>
      <c r="B346" s="8" t="b">
        <f t="array" ref="B346">A346</f>
        <v>1</v>
      </c>
      <c r="C346" s="2" t="s">
        <v>91</v>
      </c>
      <c r="D346" s="2" t="s">
        <v>92</v>
      </c>
      <c r="E346" s="2" t="s">
        <v>74</v>
      </c>
      <c r="F346" s="2" t="s">
        <v>75</v>
      </c>
      <c r="G346" s="2" t="s">
        <v>74</v>
      </c>
      <c r="H346" s="2" t="s">
        <v>74</v>
      </c>
      <c r="I346" s="2" t="s">
        <v>74</v>
      </c>
      <c r="J346" s="2" t="s">
        <v>74</v>
      </c>
      <c r="K346" s="5" t="s">
        <v>74</v>
      </c>
      <c r="L346" s="2" t="s">
        <v>136</v>
      </c>
      <c r="M346" s="8" t="str">
        <f t="array" ref="M346">Y107</f>
        <v>1ХВС::1.1</v>
      </c>
      <c r="AA346" s="146">
        <f>COUNT(AA320,AA156,AA110,AA329,AA330,AA334,AA340,AA338,AA339,AA343,AA344,AA345,AA337)+2</f>
        <v>10</v>
      </c>
      <c r="AB346" s="186" t="s">
        <v>484</v>
      </c>
      <c r="AC346" s="146" t="s">
        <v>485</v>
      </c>
      <c r="AD346" s="173">
        <v>22.07</v>
      </c>
      <c r="AE346" s="173">
        <v>22.53</v>
      </c>
      <c r="AF346" s="173">
        <v>25.249997457890352</v>
      </c>
      <c r="AG346" s="202"/>
      <c r="AH346" s="202"/>
      <c r="AI346" s="173" t="e">
        <f>IF($U107="Водоснабжение",IF(AI$121=0,0,AI340/AI$121),IF(AI$138=0,0,AI340/AI$138))</f>
        <v>#VALUE!</v>
      </c>
      <c r="AJ346" s="202"/>
      <c r="AK346" s="202"/>
      <c r="AL346" s="202"/>
      <c r="AM346" s="202"/>
      <c r="AN346" s="173" t="e">
        <f>IF($U107="Водоснабжение",IF(AN$121=0,0,AN340/AN$121),IF(AN$138=0,0,AN340/AN$138))</f>
        <v>#REF!</v>
      </c>
      <c r="AO346" s="173">
        <v>27.734999883538496</v>
      </c>
      <c r="AP346" s="202"/>
      <c r="AQ346" s="202"/>
      <c r="AR346" s="173" t="e">
        <f>IF($U107="Водоснабжение",IF(AR$121=0,0,AR340/AR$121),IF(AR$138=0,0,AR340/AR$138))</f>
        <v>#VALUE!</v>
      </c>
      <c r="AS346" s="202"/>
      <c r="AT346" s="202"/>
      <c r="AU346" s="173" t="e">
        <f>IF($U107="Водоснабжение",IF(AU$121=0,0,AU340/AU$121),IF(AU$138=0,0,AU340/AU$138))</f>
        <v>#REF!</v>
      </c>
      <c r="AV346" s="173">
        <v>31.834266877352508</v>
      </c>
      <c r="AW346" s="202"/>
      <c r="AX346" s="202"/>
      <c r="AY346" s="173" t="e">
        <f>IF($U107="Водоснабжение",IF(AY$121=0,0,AY340/AY$121),IF(AY$138=0,0,AY340/AY$138))</f>
        <v>#VALUE!</v>
      </c>
      <c r="AZ346" s="202"/>
      <c r="BA346" s="202"/>
      <c r="BB346" s="265"/>
      <c r="BC346" s="265"/>
      <c r="BD346" s="265"/>
      <c r="BE346" s="227" t="e">
        <f t="shared" ref="BE346:BE353" si="10">SUM(AD346:BA346)</f>
        <v>#VALUE!</v>
      </c>
      <c r="BF346" s="238" t="e">
        <f>IF($U107="Водоснабжение",IF(BF$121=0,0,BF340/BF$121),IF(BF$138=0,0,BF340/BF$138))</f>
        <v>#REF!</v>
      </c>
      <c r="BG346" s="92"/>
      <c r="BH346" s="92"/>
      <c r="BI346" s="92"/>
      <c r="BJ346" s="92"/>
      <c r="BK346" s="92"/>
      <c r="BL346" s="92"/>
      <c r="BM346" s="92"/>
    </row>
    <row r="347" spans="1:66" ht="14.25" customHeight="1" outlineLevel="1" x14ac:dyDescent="0.25">
      <c r="B347" s="2" t="b">
        <f>AND(OR(isFIRST_PERIOD="да",$AC$56="нет"),$W107="одноставочный")</f>
        <v>1</v>
      </c>
      <c r="C347" s="2" t="s">
        <v>93</v>
      </c>
      <c r="D347" s="2" t="s">
        <v>94</v>
      </c>
      <c r="E347" s="2" t="s">
        <v>74</v>
      </c>
      <c r="F347" s="2" t="s">
        <v>75</v>
      </c>
      <c r="G347" s="2" t="s">
        <v>74</v>
      </c>
      <c r="H347" s="2" t="s">
        <v>74</v>
      </c>
      <c r="I347" s="2" t="s">
        <v>74</v>
      </c>
      <c r="J347" s="2" t="s">
        <v>74</v>
      </c>
      <c r="K347" s="5" t="s">
        <v>74</v>
      </c>
      <c r="L347" s="2" t="s">
        <v>136</v>
      </c>
      <c r="M347" s="8" t="str">
        <f t="array" ref="M347">Y107</f>
        <v>1ХВС::1.1</v>
      </c>
      <c r="AA347" s="192" t="str">
        <f>AA346&amp;".1"</f>
        <v>10.1</v>
      </c>
      <c r="AB347" s="266" t="s">
        <v>486</v>
      </c>
      <c r="AC347" s="194" t="s">
        <v>485</v>
      </c>
      <c r="AD347" s="195">
        <v>21.73</v>
      </c>
      <c r="AE347" s="195">
        <v>22.42</v>
      </c>
      <c r="AF347" s="195">
        <v>25.2499998093</v>
      </c>
      <c r="AG347" s="15"/>
      <c r="AH347" s="15"/>
      <c r="AI347" s="195">
        <v>25.2499998093</v>
      </c>
      <c r="AJ347" s="15"/>
      <c r="AK347" s="15"/>
      <c r="AL347" s="15"/>
      <c r="AM347" s="15"/>
      <c r="AN347" s="195">
        <f t="array" ref="AN347">AI347</f>
        <v>25.2499998093</v>
      </c>
      <c r="AO347" s="195">
        <v>25.25</v>
      </c>
      <c r="AP347" s="15"/>
      <c r="AQ347" s="15"/>
      <c r="AR347" s="195">
        <v>25.25</v>
      </c>
      <c r="AS347" s="15"/>
      <c r="AT347" s="15"/>
      <c r="AU347" s="195">
        <f t="array" ref="AU347">IF(AND(isFIRST_PERIOD="да",FIRST_PERIOD_IN_LT=god-1),ROUND(AU346,2),AR347)</f>
        <v>25.25</v>
      </c>
      <c r="AV347" s="195">
        <v>30.22</v>
      </c>
      <c r="AW347" s="15"/>
      <c r="AX347" s="15"/>
      <c r="AY347" s="195">
        <v>30.22</v>
      </c>
      <c r="AZ347" s="15"/>
      <c r="BA347" s="15"/>
      <c r="BB347" s="265"/>
      <c r="BC347" s="265"/>
      <c r="BD347" s="265"/>
      <c r="BE347" s="227">
        <f t="shared" si="10"/>
        <v>256.08999942790001</v>
      </c>
      <c r="BF347" s="227" t="e">
        <f t="array" ref="BF347">#REF!</f>
        <v>#REF!</v>
      </c>
      <c r="BG347" s="92"/>
      <c r="BH347" s="92"/>
      <c r="BI347" s="92"/>
      <c r="BJ347" s="92"/>
      <c r="BK347" s="92"/>
      <c r="BL347" s="92"/>
      <c r="BM347" s="92"/>
    </row>
    <row r="348" spans="1:66" ht="14.25" customHeight="1" outlineLevel="1" x14ac:dyDescent="0.25">
      <c r="B348" s="2" t="b">
        <f>AND(OR(isFIRST_PERIOD="да",$AC$56="нет"),$W107="одноставочный")</f>
        <v>1</v>
      </c>
      <c r="C348" s="2" t="s">
        <v>95</v>
      </c>
      <c r="D348" s="2" t="s">
        <v>96</v>
      </c>
      <c r="E348" s="2" t="s">
        <v>74</v>
      </c>
      <c r="F348" s="2" t="s">
        <v>75</v>
      </c>
      <c r="G348" s="2" t="s">
        <v>74</v>
      </c>
      <c r="H348" s="2" t="s">
        <v>74</v>
      </c>
      <c r="I348" s="2" t="s">
        <v>74</v>
      </c>
      <c r="J348" s="2" t="s">
        <v>74</v>
      </c>
      <c r="K348" s="5" t="s">
        <v>74</v>
      </c>
      <c r="L348" s="2" t="s">
        <v>136</v>
      </c>
      <c r="M348" s="8" t="str">
        <f t="array" ref="M348">Y107</f>
        <v>1ХВС::1.1</v>
      </c>
      <c r="AA348" s="192" t="str">
        <f>AA346&amp;".2"</f>
        <v>10.2</v>
      </c>
      <c r="AB348" s="266" t="s">
        <v>487</v>
      </c>
      <c r="AC348" s="194" t="s">
        <v>485</v>
      </c>
      <c r="AD348" s="195">
        <v>22.42</v>
      </c>
      <c r="AE348" s="195">
        <v>22.64</v>
      </c>
      <c r="AF348" s="195">
        <v>25.25</v>
      </c>
      <c r="AG348" s="15"/>
      <c r="AH348" s="15"/>
      <c r="AI348" s="195">
        <v>25.25</v>
      </c>
      <c r="AJ348" s="15"/>
      <c r="AK348" s="15"/>
      <c r="AL348" s="15"/>
      <c r="AM348" s="15"/>
      <c r="AN348" s="195">
        <f t="array" ref="AN348">AI348</f>
        <v>25.25</v>
      </c>
      <c r="AO348" s="195">
        <v>30.22</v>
      </c>
      <c r="AP348" s="15"/>
      <c r="AQ348" s="15"/>
      <c r="AR348" s="195">
        <v>30.22</v>
      </c>
      <c r="AS348" s="15"/>
      <c r="AT348" s="15"/>
      <c r="AU348" s="195">
        <f t="array" ref="AU348">IF(AND(isFIRST_PERIOD="да",FIRST_PERIOD_IN_LT=god-1),ROUND(IF($U107="Водоснабжение",IF(AU123=0,0,(AU340-AU122*AU347)/AU123),IF(AU140=0,0,(AU340-AU139*AU347)/AU140)),2),AR348)</f>
        <v>30.22</v>
      </c>
      <c r="AV348" s="195">
        <v>33.450000000000003</v>
      </c>
      <c r="AW348" s="15"/>
      <c r="AX348" s="15"/>
      <c r="AY348" s="195">
        <v>33.450000000000003</v>
      </c>
      <c r="AZ348" s="15"/>
      <c r="BA348" s="15"/>
      <c r="BB348" s="265"/>
      <c r="BC348" s="265"/>
      <c r="BD348" s="265"/>
      <c r="BE348" s="227">
        <f t="shared" si="10"/>
        <v>278.37</v>
      </c>
      <c r="BF348" s="238" t="e">
        <f>ROUND(IF(ROUND(BF346,2)=BF347,BF347,IF($U107="Водоснабжение",IF(BF123=0,0,(BF340-BF122*BF347)/BF123),IF(BF140=0,0,(BF340-BF139*BF347)/BF140))),2)</f>
        <v>#REF!</v>
      </c>
      <c r="BG348" s="92"/>
      <c r="BH348" s="92"/>
      <c r="BI348" s="92"/>
      <c r="BJ348" s="92"/>
      <c r="BK348" s="92"/>
      <c r="BL348" s="92"/>
      <c r="BM348" s="92"/>
    </row>
    <row r="349" spans="1:66" ht="14.25" customHeight="1" outlineLevel="1" x14ac:dyDescent="0.25">
      <c r="A349" s="2" t="b">
        <f>$W107="одноставочный"</f>
        <v>1</v>
      </c>
      <c r="B349" s="8" t="b">
        <f t="array" ref="B349">A349</f>
        <v>1</v>
      </c>
      <c r="C349" s="2" t="s">
        <v>97</v>
      </c>
      <c r="D349" s="2" t="s">
        <v>98</v>
      </c>
      <c r="E349" s="2" t="s">
        <v>74</v>
      </c>
      <c r="F349" s="2" t="s">
        <v>75</v>
      </c>
      <c r="G349" s="2" t="s">
        <v>74</v>
      </c>
      <c r="H349" s="2" t="s">
        <v>74</v>
      </c>
      <c r="I349" s="2" t="s">
        <v>74</v>
      </c>
      <c r="J349" s="2" t="s">
        <v>74</v>
      </c>
      <c r="K349" s="5" t="s">
        <v>74</v>
      </c>
      <c r="L349" s="2" t="s">
        <v>136</v>
      </c>
      <c r="M349" s="8" t="str">
        <f t="array" ref="M349">Y107</f>
        <v>1ХВС::1.1</v>
      </c>
      <c r="AA349" s="192" t="str">
        <f>AA346&amp;".3"</f>
        <v>10.3</v>
      </c>
      <c r="AB349" s="266" t="s">
        <v>98</v>
      </c>
      <c r="AC349" s="194" t="s">
        <v>122</v>
      </c>
      <c r="AD349" s="7"/>
      <c r="AE349" s="267">
        <v>100.98126672613736</v>
      </c>
      <c r="AF349" s="267">
        <v>100.00000075524753</v>
      </c>
      <c r="AG349" s="15"/>
      <c r="AH349" s="268"/>
      <c r="AI349" s="267">
        <f>IF(AI347=0,0,AI348/AI347)*100</f>
        <v>100.00000075524753</v>
      </c>
      <c r="AJ349" s="15"/>
      <c r="AK349" s="268"/>
      <c r="AL349" s="15"/>
      <c r="AM349" s="268"/>
      <c r="AN349" s="267">
        <f>IF(AN347=0,0,AN348/AN347)*100</f>
        <v>100.00000075524753</v>
      </c>
      <c r="AO349" s="267">
        <v>119.68316831683168</v>
      </c>
      <c r="AP349" s="15"/>
      <c r="AQ349" s="268"/>
      <c r="AR349" s="267">
        <f>IF(AR347=0,0,AR348/AR347)*100</f>
        <v>119.68316831683168</v>
      </c>
      <c r="AS349" s="15"/>
      <c r="AT349" s="268"/>
      <c r="AU349" s="267">
        <f>IF(AU347=0,0,AU348/AU347)*100</f>
        <v>119.68316831683168</v>
      </c>
      <c r="AV349" s="267">
        <v>110.68828590337527</v>
      </c>
      <c r="AW349" s="15"/>
      <c r="AX349" s="268"/>
      <c r="AY349" s="267">
        <f>IF(AY347=0,0,AY348/AY347)*100</f>
        <v>110.68828590337527</v>
      </c>
      <c r="AZ349" s="15"/>
      <c r="BA349" s="268"/>
      <c r="BB349" s="265"/>
      <c r="BC349" s="265"/>
      <c r="BD349" s="265"/>
      <c r="BE349" s="227">
        <f t="shared" si="10"/>
        <v>981.40734574912551</v>
      </c>
      <c r="BF349" s="238" t="e">
        <f>IF(BF347=0,0,BF348/BF347)*100</f>
        <v>#REF!</v>
      </c>
      <c r="BG349" s="92"/>
      <c r="BH349" s="92"/>
      <c r="BI349" s="92"/>
      <c r="BJ349" s="92"/>
      <c r="BK349" s="92"/>
      <c r="BL349" s="92"/>
      <c r="BM349" s="92"/>
    </row>
    <row r="350" spans="1:66" ht="14.25" customHeight="1" x14ac:dyDescent="0.25">
      <c r="A350" s="2" t="b">
        <f>$W107="одноставочный"</f>
        <v>1</v>
      </c>
      <c r="B350" s="81" t="b">
        <f>AND(A350,NDS="да")</f>
        <v>1</v>
      </c>
      <c r="C350" s="2" t="s">
        <v>99</v>
      </c>
      <c r="D350" s="2" t="s">
        <v>100</v>
      </c>
      <c r="E350" s="2" t="s">
        <v>74</v>
      </c>
      <c r="F350" s="2" t="s">
        <v>75</v>
      </c>
      <c r="G350" s="2" t="s">
        <v>74</v>
      </c>
      <c r="H350" s="2" t="s">
        <v>74</v>
      </c>
      <c r="I350" s="2" t="s">
        <v>74</v>
      </c>
      <c r="J350" s="2" t="s">
        <v>74</v>
      </c>
      <c r="K350" s="5" t="s">
        <v>74</v>
      </c>
      <c r="L350" s="2" t="s">
        <v>136</v>
      </c>
      <c r="M350" s="8" t="str">
        <f t="array" ref="M350">Y107</f>
        <v>1ХВС::1.1</v>
      </c>
      <c r="AA350" s="146">
        <f>COUNT(AA320,AA156,AA110,AA329,AA330,AA334,AA340,AA346,AA338,AA339,AA343,AA344,AA345,AA337)+2</f>
        <v>11</v>
      </c>
      <c r="AB350" s="186" t="s">
        <v>488</v>
      </c>
      <c r="AC350" s="146" t="s">
        <v>485</v>
      </c>
      <c r="AD350" s="269">
        <v>26.41</v>
      </c>
      <c r="AE350" s="269">
        <v>26.77</v>
      </c>
      <c r="AF350" s="269">
        <v>30.3</v>
      </c>
      <c r="AG350" s="76"/>
      <c r="AH350" s="76"/>
      <c r="AI350" s="269" t="e">
        <f>ROUND(AI346*(1+SUMIF([2]Справочники!$GM$18:$GZ$20,AI$84,[2]Справочники!$GM$26:$GZ$26)/100),2)</f>
        <v>#VALUE!</v>
      </c>
      <c r="AJ350" s="76"/>
      <c r="AK350" s="76"/>
      <c r="AL350" s="76"/>
      <c r="AM350" s="76"/>
      <c r="AN350" s="269" t="e">
        <f>ROUND(AN346*(1+SUMIF([2]Справочники!$GM$18:$GZ$20,AN$84,[2]Справочники!$GM$26:$GZ$26)/100),2)</f>
        <v>#REF!</v>
      </c>
      <c r="AO350" s="269">
        <v>33.28</v>
      </c>
      <c r="AP350" s="76"/>
      <c r="AQ350" s="76"/>
      <c r="AR350" s="269" t="e">
        <f>ROUND(AR346*(1+SUMIF([2]Справочники!$GM$18:$GZ$20,AR$84,[2]Справочники!$GM$26:$GZ$26)/100),2)</f>
        <v>#VALUE!</v>
      </c>
      <c r="AS350" s="76"/>
      <c r="AT350" s="76"/>
      <c r="AU350" s="269" t="e">
        <f>ROUND(AU346*(1+SUMIF([2]Справочники!$GM$18:$GZ$20,AU$84,[2]Справочники!$GM$26:$GZ$26)/100),2)</f>
        <v>#REF!</v>
      </c>
      <c r="AV350" s="269">
        <v>38.200000000000003</v>
      </c>
      <c r="AW350" s="76"/>
      <c r="AX350" s="76"/>
      <c r="AY350" s="269" t="e">
        <f>ROUND(AY346*(1+SUMIF([2]Справочники!$GM$18:$GZ$20,AY$84,[2]Справочники!$GM$26:$GZ$26)/100),2)</f>
        <v>#VALUE!</v>
      </c>
      <c r="AZ350" s="76"/>
      <c r="BA350" s="76"/>
      <c r="BB350" s="265"/>
      <c r="BC350" s="265"/>
      <c r="BD350" s="265"/>
      <c r="BE350" s="227" t="e">
        <f t="shared" si="10"/>
        <v>#VALUE!</v>
      </c>
      <c r="BF350" s="238" t="e">
        <f>ROUND(BF346*(1+SUMIF([2]Справочники!$GM$18:$GZ$20,BF$84,[2]Справочники!$GM$26:$GZ$26)/100),2)</f>
        <v>#REF!</v>
      </c>
      <c r="BG350" s="92"/>
      <c r="BH350" s="92"/>
      <c r="BI350" s="92"/>
      <c r="BJ350" s="92"/>
      <c r="BK350" s="92"/>
      <c r="BL350" s="92"/>
      <c r="BM350" s="92"/>
    </row>
    <row r="351" spans="1:66" ht="14.25" customHeight="1" outlineLevel="1" x14ac:dyDescent="0.25">
      <c r="B351" s="81" t="b">
        <f>AND(B347,NDS="да")</f>
        <v>1</v>
      </c>
      <c r="C351" s="2" t="s">
        <v>101</v>
      </c>
      <c r="D351" s="2" t="s">
        <v>102</v>
      </c>
      <c r="E351" s="2" t="s">
        <v>74</v>
      </c>
      <c r="F351" s="2" t="s">
        <v>75</v>
      </c>
      <c r="G351" s="2" t="s">
        <v>74</v>
      </c>
      <c r="H351" s="2" t="s">
        <v>74</v>
      </c>
      <c r="I351" s="2" t="s">
        <v>74</v>
      </c>
      <c r="J351" s="2" t="s">
        <v>74</v>
      </c>
      <c r="K351" s="5" t="s">
        <v>74</v>
      </c>
      <c r="L351" s="2" t="s">
        <v>136</v>
      </c>
      <c r="M351" s="8" t="str">
        <f t="array" ref="M351">Y107</f>
        <v>1ХВС::1.1</v>
      </c>
      <c r="AA351" s="192" t="str">
        <f>AA350&amp;".1"</f>
        <v>11.1</v>
      </c>
      <c r="AB351" s="266" t="s">
        <v>486</v>
      </c>
      <c r="AC351" s="270" t="s">
        <v>485</v>
      </c>
      <c r="AD351" s="271">
        <v>26.08</v>
      </c>
      <c r="AE351" s="269">
        <v>26.9</v>
      </c>
      <c r="AF351" s="269">
        <v>30.3</v>
      </c>
      <c r="AG351" s="15"/>
      <c r="AH351" s="15"/>
      <c r="AI351" s="269" t="e">
        <f>ROUND(AI347*(1+SUMIF([2]Справочники!$GM$18:$GZ$20,AI$84,[2]Справочники!$GM$26:$GZ$26)/100),2)</f>
        <v>#VALUE!</v>
      </c>
      <c r="AJ351" s="15"/>
      <c r="AK351" s="15"/>
      <c r="AL351" s="15"/>
      <c r="AM351" s="15"/>
      <c r="AN351" s="269" t="e">
        <f>ROUND(AN347*(1+SUMIF([2]Справочники!$GM$18:$GZ$20,AN$84,[2]Справочники!$GM$26:$GZ$26)/100),2)</f>
        <v>#VALUE!</v>
      </c>
      <c r="AO351" s="269">
        <v>30.3</v>
      </c>
      <c r="AP351" s="15"/>
      <c r="AQ351" s="15"/>
      <c r="AR351" s="269" t="e">
        <f>ROUND(AR347*(1+SUMIF([2]Справочники!$GM$18:$GZ$20,AR$84,[2]Справочники!$GM$26:$GZ$26)/100),2)</f>
        <v>#VALUE!</v>
      </c>
      <c r="AS351" s="15"/>
      <c r="AT351" s="15"/>
      <c r="AU351" s="269" t="e">
        <f>ROUND(AU347*(1+SUMIF([2]Справочники!$GM$18:$GZ$20,AU$84,[2]Справочники!$GM$26:$GZ$26)/100),2)</f>
        <v>#VALUE!</v>
      </c>
      <c r="AV351" s="269">
        <v>36.26</v>
      </c>
      <c r="AW351" s="15"/>
      <c r="AX351" s="15"/>
      <c r="AY351" s="269" t="e">
        <f>ROUND(AY347*(1+SUMIF([2]Справочники!$GM$18:$GZ$20,AY$84,[2]Справочники!$GM$26:$GZ$26)/100),2)</f>
        <v>#VALUE!</v>
      </c>
      <c r="AZ351" s="15"/>
      <c r="BA351" s="15"/>
      <c r="BB351" s="265"/>
      <c r="BC351" s="265"/>
      <c r="BD351" s="265"/>
      <c r="BE351" s="227" t="e">
        <f t="shared" si="10"/>
        <v>#VALUE!</v>
      </c>
      <c r="BF351" s="238" t="e">
        <f>BF347*(1+SUMIF([2]Справочники!$GM$18:$GZ$20,BF$84,[2]Справочники!$GM$26:$GZ$26)/100)</f>
        <v>#REF!</v>
      </c>
      <c r="BG351" s="92"/>
      <c r="BH351" s="92"/>
      <c r="BI351" s="92"/>
      <c r="BJ351" s="92"/>
      <c r="BK351" s="92"/>
      <c r="BL351" s="92"/>
      <c r="BM351" s="92"/>
    </row>
    <row r="352" spans="1:66" ht="14.25" customHeight="1" outlineLevel="1" x14ac:dyDescent="0.25">
      <c r="B352" s="81" t="b">
        <f>AND(B348,NDS="да")</f>
        <v>1</v>
      </c>
      <c r="C352" s="2" t="s">
        <v>103</v>
      </c>
      <c r="D352" s="2" t="s">
        <v>104</v>
      </c>
      <c r="E352" s="2" t="s">
        <v>74</v>
      </c>
      <c r="F352" s="2" t="s">
        <v>75</v>
      </c>
      <c r="G352" s="2" t="s">
        <v>74</v>
      </c>
      <c r="H352" s="2" t="s">
        <v>74</v>
      </c>
      <c r="I352" s="2" t="s">
        <v>74</v>
      </c>
      <c r="J352" s="2" t="s">
        <v>74</v>
      </c>
      <c r="K352" s="5" t="s">
        <v>74</v>
      </c>
      <c r="L352" s="2" t="s">
        <v>136</v>
      </c>
      <c r="M352" s="8" t="str">
        <f t="array" ref="M352">Y107</f>
        <v>1ХВС::1.1</v>
      </c>
      <c r="AA352" s="192" t="str">
        <f>AA350&amp;".2"</f>
        <v>11.2</v>
      </c>
      <c r="AB352" s="266" t="s">
        <v>487</v>
      </c>
      <c r="AC352" s="270" t="s">
        <v>485</v>
      </c>
      <c r="AD352" s="272">
        <v>26.9</v>
      </c>
      <c r="AE352" s="271">
        <v>27.17</v>
      </c>
      <c r="AF352" s="271">
        <v>30.3</v>
      </c>
      <c r="AG352" s="15"/>
      <c r="AH352" s="15"/>
      <c r="AI352" s="271" t="e">
        <f>ROUND(AI348*(1+SUMIF([2]Справочники!$GM$18:$GZ$20,AI$84,[2]Справочники!$GM$26:$GZ$26)/100),2)</f>
        <v>#VALUE!</v>
      </c>
      <c r="AJ352" s="15"/>
      <c r="AK352" s="15"/>
      <c r="AL352" s="15"/>
      <c r="AM352" s="15"/>
      <c r="AN352" s="271" t="e">
        <f>ROUND(AN348*(1+SUMIF([2]Справочники!$GM$18:$GZ$20,AN$84,[2]Справочники!$GM$26:$GZ$26)/100),2)</f>
        <v>#VALUE!</v>
      </c>
      <c r="AO352" s="271">
        <v>36.26</v>
      </c>
      <c r="AP352" s="15"/>
      <c r="AQ352" s="15"/>
      <c r="AR352" s="271" t="e">
        <f>ROUND(AR348*(1+SUMIF([2]Справочники!$GM$18:$GZ$20,AR$84,[2]Справочники!$GM$26:$GZ$26)/100),2)</f>
        <v>#VALUE!</v>
      </c>
      <c r="AS352" s="15"/>
      <c r="AT352" s="15"/>
      <c r="AU352" s="271" t="e">
        <f>ROUND(AU348*(1+SUMIF([2]Справочники!$GM$18:$GZ$20,AU$84,[2]Справочники!$GM$26:$GZ$26)/100),2)</f>
        <v>#VALUE!</v>
      </c>
      <c r="AV352" s="271">
        <v>40.14</v>
      </c>
      <c r="AW352" s="15"/>
      <c r="AX352" s="15"/>
      <c r="AY352" s="271" t="e">
        <f>ROUND(AY348*(1+SUMIF([2]Справочники!$GM$18:$GZ$20,AY$84,[2]Справочники!$GM$26:$GZ$26)/100),2)</f>
        <v>#VALUE!</v>
      </c>
      <c r="AZ352" s="15"/>
      <c r="BA352" s="15"/>
      <c r="BB352" s="265"/>
      <c r="BC352" s="265"/>
      <c r="BD352" s="265"/>
      <c r="BE352" s="227" t="e">
        <f t="shared" si="10"/>
        <v>#VALUE!</v>
      </c>
      <c r="BF352" s="238" t="e">
        <f>BF348*(1+SUMIF([2]Справочники!$GM$18:$GZ$20,BF$84,[2]Справочники!$GM$26:$GZ$26)/100)</f>
        <v>#REF!</v>
      </c>
      <c r="BG352" s="92"/>
      <c r="BH352" s="92"/>
      <c r="BI352" s="92"/>
      <c r="BJ352" s="92"/>
      <c r="BK352" s="92"/>
      <c r="BL352" s="92"/>
      <c r="BM352" s="92"/>
    </row>
    <row r="353" spans="1:66" ht="14.25" hidden="1" customHeight="1" outlineLevel="1" x14ac:dyDescent="0.25">
      <c r="A353" s="2" t="b">
        <f>$W107="одноставочный"</f>
        <v>1</v>
      </c>
      <c r="B353" s="81" t="b">
        <f>AND(A353,NDS="да")</f>
        <v>1</v>
      </c>
      <c r="C353" s="2" t="s">
        <v>105</v>
      </c>
      <c r="D353" s="2" t="s">
        <v>106</v>
      </c>
      <c r="E353" s="2" t="s">
        <v>74</v>
      </c>
      <c r="F353" s="2" t="s">
        <v>75</v>
      </c>
      <c r="G353" s="2" t="s">
        <v>74</v>
      </c>
      <c r="H353" s="2" t="s">
        <v>74</v>
      </c>
      <c r="I353" s="2" t="s">
        <v>74</v>
      </c>
      <c r="J353" s="2" t="s">
        <v>74</v>
      </c>
      <c r="K353" s="5" t="s">
        <v>74</v>
      </c>
      <c r="L353" s="2" t="s">
        <v>136</v>
      </c>
      <c r="M353" s="8" t="str">
        <f t="array" ref="M353">Y107</f>
        <v>1ХВС::1.1</v>
      </c>
      <c r="AA353" s="192" t="str">
        <f>AA350&amp;".3"</f>
        <v>11.3</v>
      </c>
      <c r="AB353" s="266" t="s">
        <v>489</v>
      </c>
      <c r="AC353" s="270" t="s">
        <v>122</v>
      </c>
      <c r="AD353" s="7"/>
      <c r="AE353" s="273">
        <v>101.00371747211898</v>
      </c>
      <c r="AF353" s="273">
        <v>100</v>
      </c>
      <c r="AG353" s="15"/>
      <c r="AH353" s="268"/>
      <c r="AI353" s="273" t="e">
        <f>IF(AI351=0,0,AI352/AI351)*100</f>
        <v>#VALUE!</v>
      </c>
      <c r="AJ353" s="15"/>
      <c r="AK353" s="268"/>
      <c r="AL353" s="15"/>
      <c r="AM353" s="268"/>
      <c r="AN353" s="273" t="e">
        <f>IF(AN351=0,0,AN352/AN351)*100</f>
        <v>#VALUE!</v>
      </c>
      <c r="AO353" s="273">
        <v>119.66996699669966</v>
      </c>
      <c r="AP353" s="15"/>
      <c r="AQ353" s="268"/>
      <c r="AR353" s="273" t="e">
        <f>IF(AR351=0,0,AR352/AR351)*100</f>
        <v>#VALUE!</v>
      </c>
      <c r="AS353" s="15"/>
      <c r="AT353" s="268"/>
      <c r="AU353" s="273" t="e">
        <f>IF(AU351=0,0,AU352/AU351)*100</f>
        <v>#VALUE!</v>
      </c>
      <c r="AV353" s="273">
        <v>110.70049641478215</v>
      </c>
      <c r="AW353" s="15"/>
      <c r="AX353" s="268"/>
      <c r="AY353" s="273" t="e">
        <f>IF(AY351=0,0,AY352/AY351)*100</f>
        <v>#VALUE!</v>
      </c>
      <c r="AZ353" s="15"/>
      <c r="BA353" s="268"/>
      <c r="BB353" s="265"/>
      <c r="BC353" s="265"/>
      <c r="BD353" s="265"/>
      <c r="BE353" s="227" t="e">
        <f t="shared" si="10"/>
        <v>#VALUE!</v>
      </c>
      <c r="BF353" s="238" t="e">
        <f>IF(BF351=0,0,BF352/BF351)*100</f>
        <v>#REF!</v>
      </c>
      <c r="BG353" s="92"/>
      <c r="BH353" s="92"/>
      <c r="BI353" s="92"/>
      <c r="BJ353" s="92"/>
      <c r="BK353" s="92"/>
      <c r="BL353" s="92"/>
      <c r="BM353" s="92"/>
    </row>
    <row r="354" spans="1:66" ht="14.25" hidden="1" customHeight="1" x14ac:dyDescent="0.15">
      <c r="A354" s="2" t="b">
        <f>$W107&lt;&gt;"одноставочный"</f>
        <v>0</v>
      </c>
      <c r="B354" s="8" t="b">
        <f t="array" ref="B354">A354</f>
        <v>0</v>
      </c>
      <c r="C354" s="77" t="s">
        <v>490</v>
      </c>
      <c r="D354" s="8" t="s">
        <v>491</v>
      </c>
      <c r="E354" s="2" t="s">
        <v>74</v>
      </c>
      <c r="F354" s="2" t="s">
        <v>75</v>
      </c>
      <c r="G354" s="2" t="s">
        <v>74</v>
      </c>
      <c r="H354" s="2" t="s">
        <v>74</v>
      </c>
      <c r="I354" s="2" t="s">
        <v>74</v>
      </c>
      <c r="J354" s="2" t="s">
        <v>74</v>
      </c>
      <c r="K354" s="5" t="s">
        <v>74</v>
      </c>
      <c r="L354" s="7"/>
      <c r="M354" s="8" t="str">
        <f t="array" ref="M354">Y107</f>
        <v>1ХВС::1.1</v>
      </c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15"/>
      <c r="AA354" s="63"/>
      <c r="AB354" s="74"/>
      <c r="AC354" s="63"/>
      <c r="AD354" s="174"/>
      <c r="AE354" s="174"/>
      <c r="AF354" s="174"/>
      <c r="AG354" s="202"/>
      <c r="AH354" s="202"/>
      <c r="AI354" s="174"/>
      <c r="AJ354" s="202"/>
      <c r="AK354" s="202"/>
      <c r="AL354" s="174"/>
      <c r="AM354" s="174"/>
      <c r="AN354" s="174"/>
      <c r="AO354" s="174"/>
      <c r="AP354" s="202"/>
      <c r="AQ354" s="202"/>
      <c r="AR354" s="174"/>
      <c r="AS354" s="202"/>
      <c r="AT354" s="202"/>
      <c r="AU354" s="174"/>
      <c r="AV354" s="174"/>
      <c r="AW354" s="202"/>
      <c r="AX354" s="202"/>
      <c r="AY354" s="174"/>
      <c r="AZ354" s="202"/>
      <c r="BA354" s="202"/>
      <c r="BB354" s="274"/>
      <c r="BC354" s="274"/>
      <c r="BD354" s="274"/>
      <c r="BE354" s="170"/>
      <c r="BF354" s="178"/>
      <c r="BG354" s="54"/>
      <c r="BH354" s="54"/>
      <c r="BI354" s="54"/>
      <c r="BJ354" s="54"/>
      <c r="BK354" s="54"/>
      <c r="BL354" s="54"/>
      <c r="BM354" s="54"/>
      <c r="BN354" s="15"/>
    </row>
    <row r="355" spans="1:66" ht="14.25" hidden="1" customHeight="1" outlineLevel="1" x14ac:dyDescent="0.15">
      <c r="A355" s="2" t="b">
        <f>AND($AC$56="нет",$W107&lt;&gt;"одноставочный")</f>
        <v>0</v>
      </c>
      <c r="B355" s="8" t="b">
        <f t="array" ref="B355">A355</f>
        <v>0</v>
      </c>
      <c r="C355" s="77" t="s">
        <v>492</v>
      </c>
      <c r="D355" s="8" t="s">
        <v>493</v>
      </c>
      <c r="E355" s="2" t="s">
        <v>74</v>
      </c>
      <c r="F355" s="2" t="s">
        <v>75</v>
      </c>
      <c r="G355" s="2" t="s">
        <v>74</v>
      </c>
      <c r="H355" s="2" t="s">
        <v>74</v>
      </c>
      <c r="I355" s="2" t="s">
        <v>74</v>
      </c>
      <c r="J355" s="2" t="s">
        <v>74</v>
      </c>
      <c r="K355" s="5" t="s">
        <v>74</v>
      </c>
      <c r="L355" s="7"/>
      <c r="M355" s="8" t="str">
        <f t="array" ref="M355">Y107</f>
        <v>1ХВС::1.1</v>
      </c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15"/>
      <c r="AA355" s="260"/>
      <c r="AB355" s="72"/>
      <c r="AC355" s="78"/>
      <c r="AD355" s="202"/>
      <c r="AE355" s="202"/>
      <c r="AF355" s="202"/>
      <c r="AG355" s="15"/>
      <c r="AH355" s="15"/>
      <c r="AI355" s="202"/>
      <c r="AJ355" s="15"/>
      <c r="AK355" s="15"/>
      <c r="AL355" s="15"/>
      <c r="AM355" s="15"/>
      <c r="AN355" s="174"/>
      <c r="AO355" s="202"/>
      <c r="AP355" s="15"/>
      <c r="AQ355" s="15"/>
      <c r="AR355" s="202"/>
      <c r="AS355" s="15"/>
      <c r="AT355" s="15"/>
      <c r="AU355" s="202"/>
      <c r="AV355" s="202"/>
      <c r="AW355" s="15"/>
      <c r="AX355" s="15"/>
      <c r="AY355" s="202"/>
      <c r="AZ355" s="15"/>
      <c r="BA355" s="15"/>
      <c r="BB355" s="274"/>
      <c r="BC355" s="274"/>
      <c r="BD355" s="274"/>
      <c r="BE355" s="170"/>
      <c r="BF355" s="170"/>
      <c r="BG355" s="54"/>
      <c r="BH355" s="54"/>
      <c r="BI355" s="54"/>
      <c r="BJ355" s="54"/>
      <c r="BK355" s="54"/>
      <c r="BL355" s="54"/>
      <c r="BM355" s="54"/>
      <c r="BN355" s="15"/>
    </row>
    <row r="356" spans="1:66" ht="14.25" hidden="1" customHeight="1" outlineLevel="1" x14ac:dyDescent="0.15">
      <c r="A356" s="2" t="b">
        <f>AND($AC$56="нет",$W107&lt;&gt;"одноставочный")</f>
        <v>0</v>
      </c>
      <c r="B356" s="8" t="b">
        <f t="array" ref="B356">A356</f>
        <v>0</v>
      </c>
      <c r="C356" s="77" t="s">
        <v>494</v>
      </c>
      <c r="D356" s="8" t="s">
        <v>495</v>
      </c>
      <c r="E356" s="2" t="s">
        <v>74</v>
      </c>
      <c r="F356" s="2" t="s">
        <v>75</v>
      </c>
      <c r="G356" s="2" t="s">
        <v>74</v>
      </c>
      <c r="H356" s="2" t="s">
        <v>74</v>
      </c>
      <c r="I356" s="2" t="s">
        <v>74</v>
      </c>
      <c r="J356" s="2" t="s">
        <v>74</v>
      </c>
      <c r="K356" s="5" t="s">
        <v>74</v>
      </c>
      <c r="L356" s="7"/>
      <c r="M356" s="8" t="str">
        <f t="array" ref="M356">Y107</f>
        <v>1ХВС::1.1</v>
      </c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15"/>
      <c r="AA356" s="260"/>
      <c r="AB356" s="72"/>
      <c r="AC356" s="78"/>
      <c r="AD356" s="202"/>
      <c r="AE356" s="202"/>
      <c r="AF356" s="202"/>
      <c r="AG356" s="15"/>
      <c r="AH356" s="15"/>
      <c r="AI356" s="202"/>
      <c r="AJ356" s="15"/>
      <c r="AK356" s="15"/>
      <c r="AL356" s="15"/>
      <c r="AM356" s="15"/>
      <c r="AN356" s="174"/>
      <c r="AO356" s="202"/>
      <c r="AP356" s="15"/>
      <c r="AQ356" s="15"/>
      <c r="AR356" s="202"/>
      <c r="AS356" s="15"/>
      <c r="AT356" s="15"/>
      <c r="AU356" s="174"/>
      <c r="AV356" s="202"/>
      <c r="AW356" s="15"/>
      <c r="AX356" s="15"/>
      <c r="AY356" s="202"/>
      <c r="AZ356" s="15"/>
      <c r="BA356" s="15"/>
      <c r="BB356" s="274"/>
      <c r="BC356" s="274"/>
      <c r="BD356" s="274"/>
      <c r="BE356" s="170"/>
      <c r="BF356" s="178"/>
      <c r="BG356" s="54"/>
      <c r="BH356" s="54"/>
      <c r="BI356" s="54"/>
      <c r="BJ356" s="54"/>
      <c r="BK356" s="54"/>
      <c r="BL356" s="54"/>
      <c r="BM356" s="54"/>
      <c r="BN356" s="15"/>
    </row>
    <row r="357" spans="1:66" ht="14.25" hidden="1" customHeight="1" outlineLevel="1" x14ac:dyDescent="0.15">
      <c r="A357" s="2" t="b">
        <f>$W107&lt;&gt;"одноставочный"</f>
        <v>0</v>
      </c>
      <c r="B357" s="8" t="b">
        <f t="array" ref="B357">A357</f>
        <v>0</v>
      </c>
      <c r="C357" s="77" t="s">
        <v>496</v>
      </c>
      <c r="D357" s="8" t="s">
        <v>497</v>
      </c>
      <c r="E357" s="2" t="s">
        <v>74</v>
      </c>
      <c r="F357" s="2" t="s">
        <v>75</v>
      </c>
      <c r="G357" s="2" t="s">
        <v>74</v>
      </c>
      <c r="H357" s="2" t="s">
        <v>74</v>
      </c>
      <c r="I357" s="2" t="s">
        <v>74</v>
      </c>
      <c r="J357" s="2" t="s">
        <v>74</v>
      </c>
      <c r="K357" s="5" t="s">
        <v>74</v>
      </c>
      <c r="L357" s="7"/>
      <c r="M357" s="8" t="str">
        <f t="array" ref="M357">Y107</f>
        <v>1ХВС::1.1</v>
      </c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15"/>
      <c r="AA357" s="260"/>
      <c r="AB357" s="72"/>
      <c r="AC357" s="78"/>
      <c r="AD357" s="268"/>
      <c r="AE357" s="275"/>
      <c r="AF357" s="275"/>
      <c r="AG357" s="15"/>
      <c r="AH357" s="268"/>
      <c r="AI357" s="275"/>
      <c r="AJ357" s="15"/>
      <c r="AK357" s="268"/>
      <c r="AL357" s="15"/>
      <c r="AM357" s="268"/>
      <c r="AN357" s="275"/>
      <c r="AO357" s="275"/>
      <c r="AP357" s="15"/>
      <c r="AQ357" s="268"/>
      <c r="AR357" s="275"/>
      <c r="AS357" s="15"/>
      <c r="AT357" s="268"/>
      <c r="AU357" s="275"/>
      <c r="AV357" s="275"/>
      <c r="AW357" s="15"/>
      <c r="AX357" s="268"/>
      <c r="AY357" s="275"/>
      <c r="AZ357" s="15"/>
      <c r="BA357" s="268"/>
      <c r="BB357" s="274"/>
      <c r="BC357" s="274"/>
      <c r="BD357" s="274"/>
      <c r="BE357" s="170"/>
      <c r="BF357" s="178"/>
      <c r="BG357" s="54"/>
      <c r="BH357" s="54"/>
      <c r="BI357" s="54"/>
      <c r="BJ357" s="54"/>
      <c r="BK357" s="54"/>
      <c r="BL357" s="54"/>
      <c r="BM357" s="54"/>
      <c r="BN357" s="15"/>
    </row>
    <row r="358" spans="1:66" ht="14.25" hidden="1" customHeight="1" x14ac:dyDescent="0.15">
      <c r="A358" s="2" t="b">
        <f>$W107&lt;&gt;"одноставочный"</f>
        <v>0</v>
      </c>
      <c r="B358" s="81" t="b">
        <f>AND(A358,NDS="да")</f>
        <v>0</v>
      </c>
      <c r="C358" s="77" t="s">
        <v>498</v>
      </c>
      <c r="D358" s="8" t="s">
        <v>499</v>
      </c>
      <c r="E358" s="2" t="s">
        <v>74</v>
      </c>
      <c r="F358" s="2" t="s">
        <v>75</v>
      </c>
      <c r="G358" s="2" t="s">
        <v>74</v>
      </c>
      <c r="H358" s="2" t="s">
        <v>74</v>
      </c>
      <c r="I358" s="2" t="s">
        <v>74</v>
      </c>
      <c r="J358" s="2" t="s">
        <v>74</v>
      </c>
      <c r="K358" s="5" t="s">
        <v>74</v>
      </c>
      <c r="L358" s="7"/>
      <c r="M358" s="8" t="str">
        <f t="array" ref="M358">Y107</f>
        <v>1ХВС::1.1</v>
      </c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15"/>
      <c r="AA358" s="63"/>
      <c r="AB358" s="74"/>
      <c r="AC358" s="63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274"/>
      <c r="BC358" s="274"/>
      <c r="BD358" s="274"/>
      <c r="BE358" s="170"/>
      <c r="BF358" s="178"/>
      <c r="BG358" s="54"/>
      <c r="BH358" s="54"/>
      <c r="BI358" s="54"/>
      <c r="BJ358" s="54"/>
      <c r="BK358" s="54"/>
      <c r="BL358" s="54"/>
      <c r="BM358" s="54"/>
      <c r="BN358" s="15"/>
    </row>
    <row r="359" spans="1:66" ht="14.25" hidden="1" customHeight="1" outlineLevel="1" x14ac:dyDescent="0.15">
      <c r="A359" s="2" t="b">
        <f>AND($AC$56="нет",$W107&lt;&gt;"одноставочный")</f>
        <v>0</v>
      </c>
      <c r="B359" s="81" t="b">
        <f>AND(A359,NDS="да")</f>
        <v>0</v>
      </c>
      <c r="C359" s="77" t="s">
        <v>500</v>
      </c>
      <c r="D359" s="8" t="s">
        <v>501</v>
      </c>
      <c r="E359" s="2" t="s">
        <v>74</v>
      </c>
      <c r="F359" s="2" t="s">
        <v>75</v>
      </c>
      <c r="G359" s="2" t="s">
        <v>74</v>
      </c>
      <c r="H359" s="2" t="s">
        <v>74</v>
      </c>
      <c r="I359" s="2" t="s">
        <v>74</v>
      </c>
      <c r="J359" s="2" t="s">
        <v>74</v>
      </c>
      <c r="K359" s="5" t="s">
        <v>74</v>
      </c>
      <c r="L359" s="7"/>
      <c r="M359" s="8" t="str">
        <f t="array" ref="M359">Y107</f>
        <v>1ХВС::1.1</v>
      </c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15"/>
      <c r="AA359" s="260"/>
      <c r="AB359" s="72"/>
      <c r="AC359" s="78"/>
      <c r="AD359" s="76"/>
      <c r="AE359" s="76"/>
      <c r="AF359" s="76"/>
      <c r="AG359" s="15"/>
      <c r="AH359" s="15"/>
      <c r="AI359" s="76"/>
      <c r="AJ359" s="15"/>
      <c r="AK359" s="15"/>
      <c r="AL359" s="15"/>
      <c r="AM359" s="15"/>
      <c r="AN359" s="76"/>
      <c r="AO359" s="76"/>
      <c r="AP359" s="15"/>
      <c r="AQ359" s="15"/>
      <c r="AR359" s="76"/>
      <c r="AS359" s="15"/>
      <c r="AT359" s="15"/>
      <c r="AU359" s="76"/>
      <c r="AV359" s="76"/>
      <c r="AW359" s="15"/>
      <c r="AX359" s="15"/>
      <c r="AY359" s="76"/>
      <c r="AZ359" s="15"/>
      <c r="BA359" s="15"/>
      <c r="BB359" s="274"/>
      <c r="BC359" s="274"/>
      <c r="BD359" s="274"/>
      <c r="BE359" s="170"/>
      <c r="BF359" s="178"/>
      <c r="BG359" s="54"/>
      <c r="BH359" s="54"/>
      <c r="BI359" s="54"/>
      <c r="BJ359" s="54"/>
      <c r="BK359" s="54"/>
      <c r="BL359" s="54"/>
      <c r="BM359" s="54"/>
      <c r="BN359" s="15"/>
    </row>
    <row r="360" spans="1:66" ht="14.25" hidden="1" customHeight="1" outlineLevel="1" x14ac:dyDescent="0.15">
      <c r="A360" s="2" t="b">
        <f>AND($AC$56="нет",$W107&lt;&gt;"одноставочный")</f>
        <v>0</v>
      </c>
      <c r="B360" s="81" t="b">
        <f>AND(A360,NDS="да")</f>
        <v>0</v>
      </c>
      <c r="C360" s="77" t="s">
        <v>502</v>
      </c>
      <c r="D360" s="8" t="s">
        <v>503</v>
      </c>
      <c r="E360" s="2" t="s">
        <v>74</v>
      </c>
      <c r="F360" s="2" t="s">
        <v>75</v>
      </c>
      <c r="G360" s="2" t="s">
        <v>74</v>
      </c>
      <c r="H360" s="2" t="s">
        <v>74</v>
      </c>
      <c r="I360" s="2" t="s">
        <v>74</v>
      </c>
      <c r="J360" s="2" t="s">
        <v>74</v>
      </c>
      <c r="K360" s="5" t="s">
        <v>74</v>
      </c>
      <c r="L360" s="7"/>
      <c r="M360" s="8" t="str">
        <f t="array" ref="M360">Y107</f>
        <v>1ХВС::1.1</v>
      </c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15"/>
      <c r="AA360" s="260"/>
      <c r="AB360" s="72"/>
      <c r="AC360" s="78"/>
      <c r="AD360" s="276"/>
      <c r="AE360" s="276"/>
      <c r="AF360" s="276"/>
      <c r="AG360" s="15"/>
      <c r="AH360" s="15"/>
      <c r="AI360" s="276"/>
      <c r="AJ360" s="15"/>
      <c r="AK360" s="15"/>
      <c r="AL360" s="15"/>
      <c r="AM360" s="15"/>
      <c r="AN360" s="276"/>
      <c r="AO360" s="276"/>
      <c r="AP360" s="15"/>
      <c r="AQ360" s="15"/>
      <c r="AR360" s="276"/>
      <c r="AS360" s="15"/>
      <c r="AT360" s="15"/>
      <c r="AU360" s="276"/>
      <c r="AV360" s="276"/>
      <c r="AW360" s="15"/>
      <c r="AX360" s="15"/>
      <c r="AY360" s="276"/>
      <c r="AZ360" s="15"/>
      <c r="BA360" s="15"/>
      <c r="BB360" s="274"/>
      <c r="BC360" s="274"/>
      <c r="BD360" s="274"/>
      <c r="BE360" s="170"/>
      <c r="BF360" s="178"/>
      <c r="BG360" s="54"/>
      <c r="BH360" s="54"/>
      <c r="BI360" s="54"/>
      <c r="BJ360" s="54"/>
      <c r="BK360" s="54"/>
      <c r="BL360" s="54"/>
      <c r="BM360" s="54"/>
      <c r="BN360" s="15"/>
    </row>
    <row r="361" spans="1:66" ht="14.25" hidden="1" customHeight="1" outlineLevel="1" x14ac:dyDescent="0.15">
      <c r="A361" s="2" t="b">
        <f>$W107&lt;&gt;"одноставочный"</f>
        <v>0</v>
      </c>
      <c r="B361" s="81" t="b">
        <f>AND(A361,NDS="да")</f>
        <v>0</v>
      </c>
      <c r="C361" s="77" t="s">
        <v>504</v>
      </c>
      <c r="D361" s="8" t="s">
        <v>505</v>
      </c>
      <c r="E361" s="2" t="s">
        <v>74</v>
      </c>
      <c r="F361" s="2" t="s">
        <v>75</v>
      </c>
      <c r="G361" s="2" t="s">
        <v>74</v>
      </c>
      <c r="H361" s="2" t="s">
        <v>74</v>
      </c>
      <c r="I361" s="2" t="s">
        <v>74</v>
      </c>
      <c r="J361" s="2" t="s">
        <v>74</v>
      </c>
      <c r="K361" s="5" t="s">
        <v>74</v>
      </c>
      <c r="L361" s="7"/>
      <c r="M361" s="8" t="str">
        <f t="array" ref="M361">Y107</f>
        <v>1ХВС::1.1</v>
      </c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15"/>
      <c r="AA361" s="260"/>
      <c r="AB361" s="72"/>
      <c r="AC361" s="78"/>
      <c r="AD361" s="80"/>
      <c r="AE361" s="80"/>
      <c r="AF361" s="80"/>
      <c r="AG361" s="15"/>
      <c r="AH361" s="268"/>
      <c r="AI361" s="80"/>
      <c r="AJ361" s="15"/>
      <c r="AK361" s="268"/>
      <c r="AL361" s="15"/>
      <c r="AM361" s="268"/>
      <c r="AN361" s="80"/>
      <c r="AO361" s="80"/>
      <c r="AP361" s="15"/>
      <c r="AQ361" s="268"/>
      <c r="AR361" s="80"/>
      <c r="AS361" s="15"/>
      <c r="AT361" s="268"/>
      <c r="AU361" s="80"/>
      <c r="AV361" s="80"/>
      <c r="AW361" s="15"/>
      <c r="AX361" s="268"/>
      <c r="AY361" s="80"/>
      <c r="AZ361" s="15"/>
      <c r="BA361" s="268"/>
      <c r="BB361" s="274"/>
      <c r="BC361" s="274"/>
      <c r="BD361" s="274"/>
      <c r="BE361" s="170"/>
      <c r="BF361" s="178"/>
      <c r="BG361" s="54"/>
      <c r="BH361" s="54"/>
      <c r="BI361" s="54"/>
      <c r="BJ361" s="54"/>
      <c r="BK361" s="54"/>
      <c r="BL361" s="54"/>
      <c r="BM361" s="54"/>
      <c r="BN361" s="15"/>
    </row>
    <row r="362" spans="1:66" ht="14.25" hidden="1" customHeight="1" x14ac:dyDescent="0.15">
      <c r="A362" s="2" t="b">
        <f>$W107&lt;&gt;"одноставочный"</f>
        <v>0</v>
      </c>
      <c r="B362" s="8" t="b">
        <f t="array" ref="B362">A362</f>
        <v>0</v>
      </c>
      <c r="C362" s="77" t="s">
        <v>506</v>
      </c>
      <c r="D362" s="8" t="s">
        <v>507</v>
      </c>
      <c r="E362" s="2" t="s">
        <v>74</v>
      </c>
      <c r="F362" s="2" t="s">
        <v>75</v>
      </c>
      <c r="G362" s="2" t="s">
        <v>74</v>
      </c>
      <c r="H362" s="2" t="s">
        <v>74</v>
      </c>
      <c r="I362" s="2" t="s">
        <v>74</v>
      </c>
      <c r="J362" s="2" t="s">
        <v>74</v>
      </c>
      <c r="K362" s="5" t="s">
        <v>74</v>
      </c>
      <c r="L362" s="7"/>
      <c r="M362" s="8" t="str">
        <f t="array" ref="M362">Y107</f>
        <v>1ХВС::1.1</v>
      </c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15"/>
      <c r="AA362" s="63"/>
      <c r="AB362" s="74"/>
      <c r="AC362" s="63"/>
      <c r="AD362" s="202"/>
      <c r="AE362" s="202"/>
      <c r="AF362" s="202"/>
      <c r="AG362" s="202"/>
      <c r="AH362" s="202"/>
      <c r="AI362" s="202"/>
      <c r="AJ362" s="202"/>
      <c r="AK362" s="202"/>
      <c r="AL362" s="174"/>
      <c r="AM362" s="174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74"/>
      <c r="BC362" s="274"/>
      <c r="BD362" s="274"/>
      <c r="BE362" s="170"/>
      <c r="BF362" s="178"/>
      <c r="BG362" s="54"/>
      <c r="BH362" s="54"/>
      <c r="BI362" s="54"/>
      <c r="BJ362" s="54"/>
      <c r="BK362" s="54"/>
      <c r="BL362" s="54"/>
      <c r="BM362" s="54"/>
      <c r="BN362" s="15"/>
    </row>
    <row r="363" spans="1:66" ht="14.25" hidden="1" customHeight="1" outlineLevel="1" x14ac:dyDescent="0.15">
      <c r="A363" s="2" t="b">
        <f>AND($AC$56="нет",$W107&lt;&gt;"одноставочный")</f>
        <v>0</v>
      </c>
      <c r="B363" s="8" t="b">
        <f t="array" ref="B363">A363</f>
        <v>0</v>
      </c>
      <c r="C363" s="77" t="s">
        <v>508</v>
      </c>
      <c r="D363" s="8" t="s">
        <v>509</v>
      </c>
      <c r="E363" s="2" t="s">
        <v>74</v>
      </c>
      <c r="F363" s="2" t="s">
        <v>75</v>
      </c>
      <c r="G363" s="2" t="s">
        <v>74</v>
      </c>
      <c r="H363" s="2" t="s">
        <v>74</v>
      </c>
      <c r="I363" s="2" t="s">
        <v>74</v>
      </c>
      <c r="J363" s="2" t="s">
        <v>74</v>
      </c>
      <c r="K363" s="5" t="s">
        <v>74</v>
      </c>
      <c r="L363" s="7"/>
      <c r="M363" s="8" t="str">
        <f t="array" ref="M363">Y107</f>
        <v>1ХВС::1.1</v>
      </c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15"/>
      <c r="AA363" s="260"/>
      <c r="AB363" s="72"/>
      <c r="AC363" s="78"/>
      <c r="AD363" s="202"/>
      <c r="AE363" s="202"/>
      <c r="AF363" s="202"/>
      <c r="AG363" s="15"/>
      <c r="AH363" s="15"/>
      <c r="AI363" s="202"/>
      <c r="AJ363" s="15"/>
      <c r="AK363" s="15"/>
      <c r="AL363" s="15"/>
      <c r="AM363" s="15"/>
      <c r="AN363" s="174"/>
      <c r="AO363" s="202"/>
      <c r="AP363" s="15"/>
      <c r="AQ363" s="15"/>
      <c r="AR363" s="202"/>
      <c r="AS363" s="15"/>
      <c r="AT363" s="15"/>
      <c r="AU363" s="202"/>
      <c r="AV363" s="202"/>
      <c r="AW363" s="15"/>
      <c r="AX363" s="15"/>
      <c r="AY363" s="202"/>
      <c r="AZ363" s="15"/>
      <c r="BA363" s="15"/>
      <c r="BB363" s="274"/>
      <c r="BC363" s="274"/>
      <c r="BD363" s="274"/>
      <c r="BE363" s="170"/>
      <c r="BF363" s="170"/>
      <c r="BG363" s="54"/>
      <c r="BH363" s="54"/>
      <c r="BI363" s="54"/>
      <c r="BJ363" s="54"/>
      <c r="BK363" s="54"/>
      <c r="BL363" s="54"/>
      <c r="BM363" s="54"/>
      <c r="BN363" s="15"/>
    </row>
    <row r="364" spans="1:66" ht="14.25" hidden="1" customHeight="1" outlineLevel="1" x14ac:dyDescent="0.15">
      <c r="A364" s="2" t="b">
        <f>AND($AC$56="нет",$W107&lt;&gt;"одноставочный")</f>
        <v>0</v>
      </c>
      <c r="B364" s="8" t="b">
        <f t="array" ref="B364">A364</f>
        <v>0</v>
      </c>
      <c r="C364" s="77" t="s">
        <v>510</v>
      </c>
      <c r="D364" s="8" t="s">
        <v>511</v>
      </c>
      <c r="E364" s="2" t="s">
        <v>74</v>
      </c>
      <c r="F364" s="2" t="s">
        <v>75</v>
      </c>
      <c r="G364" s="2" t="s">
        <v>74</v>
      </c>
      <c r="H364" s="2" t="s">
        <v>74</v>
      </c>
      <c r="I364" s="2" t="s">
        <v>74</v>
      </c>
      <c r="J364" s="2" t="s">
        <v>74</v>
      </c>
      <c r="K364" s="5" t="s">
        <v>74</v>
      </c>
      <c r="L364" s="7"/>
      <c r="M364" s="8" t="str">
        <f t="array" ref="M364">Y107</f>
        <v>1ХВС::1.1</v>
      </c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15"/>
      <c r="AA364" s="260"/>
      <c r="AB364" s="72"/>
      <c r="AC364" s="78"/>
      <c r="AD364" s="202"/>
      <c r="AE364" s="202"/>
      <c r="AF364" s="202"/>
      <c r="AG364" s="15"/>
      <c r="AH364" s="15"/>
      <c r="AI364" s="202"/>
      <c r="AJ364" s="15"/>
      <c r="AK364" s="15"/>
      <c r="AL364" s="15"/>
      <c r="AM364" s="15"/>
      <c r="AN364" s="174"/>
      <c r="AO364" s="202"/>
      <c r="AP364" s="15"/>
      <c r="AQ364" s="15"/>
      <c r="AR364" s="202"/>
      <c r="AS364" s="15"/>
      <c r="AT364" s="15"/>
      <c r="AU364" s="202"/>
      <c r="AV364" s="202"/>
      <c r="AW364" s="15"/>
      <c r="AX364" s="15"/>
      <c r="AY364" s="202"/>
      <c r="AZ364" s="15"/>
      <c r="BA364" s="15"/>
      <c r="BB364" s="274"/>
      <c r="BC364" s="274"/>
      <c r="BD364" s="274"/>
      <c r="BE364" s="170"/>
      <c r="BF364" s="178"/>
      <c r="BG364" s="54"/>
      <c r="BH364" s="54"/>
      <c r="BI364" s="54"/>
      <c r="BJ364" s="54"/>
      <c r="BK364" s="54"/>
      <c r="BL364" s="54"/>
      <c r="BM364" s="54"/>
      <c r="BN364" s="15"/>
    </row>
    <row r="365" spans="1:66" ht="14.25" hidden="1" customHeight="1" outlineLevel="1" x14ac:dyDescent="0.15">
      <c r="A365" s="2" t="b">
        <f>$W107&lt;&gt;"одноставочный"</f>
        <v>0</v>
      </c>
      <c r="B365" s="8" t="b">
        <f t="array" ref="B365">A365</f>
        <v>0</v>
      </c>
      <c r="C365" s="77" t="s">
        <v>512</v>
      </c>
      <c r="D365" s="8" t="s">
        <v>513</v>
      </c>
      <c r="E365" s="2" t="s">
        <v>74</v>
      </c>
      <c r="F365" s="2" t="s">
        <v>75</v>
      </c>
      <c r="G365" s="2" t="s">
        <v>74</v>
      </c>
      <c r="H365" s="2" t="s">
        <v>74</v>
      </c>
      <c r="I365" s="2" t="s">
        <v>74</v>
      </c>
      <c r="J365" s="2" t="s">
        <v>74</v>
      </c>
      <c r="K365" s="5" t="s">
        <v>74</v>
      </c>
      <c r="L365" s="7"/>
      <c r="M365" s="8" t="str">
        <f t="array" ref="M365">Y107</f>
        <v>1ХВС::1.1</v>
      </c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15"/>
      <c r="AA365" s="260"/>
      <c r="AB365" s="72"/>
      <c r="AC365" s="78"/>
      <c r="AD365" s="268"/>
      <c r="AE365" s="275"/>
      <c r="AF365" s="275"/>
      <c r="AG365" s="15"/>
      <c r="AH365" s="268"/>
      <c r="AI365" s="275"/>
      <c r="AJ365" s="15"/>
      <c r="AK365" s="268"/>
      <c r="AL365" s="15"/>
      <c r="AM365" s="268"/>
      <c r="AN365" s="275"/>
      <c r="AO365" s="275"/>
      <c r="AP365" s="15"/>
      <c r="AQ365" s="268"/>
      <c r="AR365" s="275"/>
      <c r="AS365" s="15"/>
      <c r="AT365" s="268"/>
      <c r="AU365" s="275"/>
      <c r="AV365" s="275"/>
      <c r="AW365" s="15"/>
      <c r="AX365" s="268"/>
      <c r="AY365" s="275"/>
      <c r="AZ365" s="15"/>
      <c r="BA365" s="268"/>
      <c r="BB365" s="274"/>
      <c r="BC365" s="274"/>
      <c r="BD365" s="274"/>
      <c r="BE365" s="170"/>
      <c r="BF365" s="178"/>
      <c r="BG365" s="54"/>
      <c r="BH365" s="54"/>
      <c r="BI365" s="54"/>
      <c r="BJ365" s="54"/>
      <c r="BK365" s="54"/>
      <c r="BL365" s="54"/>
      <c r="BM365" s="54"/>
      <c r="BN365" s="15"/>
    </row>
    <row r="366" spans="1:66" ht="14.25" hidden="1" customHeight="1" x14ac:dyDescent="0.15">
      <c r="A366" s="2" t="b">
        <f>$W107&lt;&gt;"одноставочный"</f>
        <v>0</v>
      </c>
      <c r="B366" s="81" t="b">
        <f>AND(A366,NDS="да")</f>
        <v>0</v>
      </c>
      <c r="C366" s="77" t="s">
        <v>514</v>
      </c>
      <c r="D366" s="8" t="s">
        <v>515</v>
      </c>
      <c r="E366" s="2" t="s">
        <v>74</v>
      </c>
      <c r="F366" s="2" t="s">
        <v>75</v>
      </c>
      <c r="G366" s="2" t="s">
        <v>74</v>
      </c>
      <c r="H366" s="2" t="s">
        <v>74</v>
      </c>
      <c r="I366" s="2" t="s">
        <v>74</v>
      </c>
      <c r="J366" s="2" t="s">
        <v>74</v>
      </c>
      <c r="K366" s="5" t="s">
        <v>74</v>
      </c>
      <c r="L366" s="7"/>
      <c r="M366" s="8" t="str">
        <f t="array" ref="M366">Y107</f>
        <v>1ХВС::1.1</v>
      </c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15"/>
      <c r="AA366" s="63"/>
      <c r="AB366" s="74"/>
      <c r="AC366" s="63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274"/>
      <c r="BC366" s="274"/>
      <c r="BD366" s="274"/>
      <c r="BE366" s="170"/>
      <c r="BF366" s="178"/>
      <c r="BG366" s="54"/>
      <c r="BH366" s="54"/>
      <c r="BI366" s="54"/>
      <c r="BJ366" s="54"/>
      <c r="BK366" s="54"/>
      <c r="BL366" s="54"/>
      <c r="BM366" s="54"/>
      <c r="BN366" s="15"/>
    </row>
    <row r="367" spans="1:66" ht="14.25" hidden="1" customHeight="1" outlineLevel="1" x14ac:dyDescent="0.15">
      <c r="A367" s="2" t="b">
        <f>AND($AC$56="нет",$W107&lt;&gt;"одноставочный")</f>
        <v>0</v>
      </c>
      <c r="B367" s="81" t="b">
        <f>AND(A367,NDS="да")</f>
        <v>0</v>
      </c>
      <c r="C367" s="77" t="s">
        <v>516</v>
      </c>
      <c r="D367" s="8" t="s">
        <v>517</v>
      </c>
      <c r="E367" s="2" t="s">
        <v>74</v>
      </c>
      <c r="F367" s="2" t="s">
        <v>75</v>
      </c>
      <c r="G367" s="2" t="s">
        <v>74</v>
      </c>
      <c r="H367" s="2" t="s">
        <v>74</v>
      </c>
      <c r="I367" s="2" t="s">
        <v>74</v>
      </c>
      <c r="J367" s="2" t="s">
        <v>74</v>
      </c>
      <c r="K367" s="5" t="s">
        <v>74</v>
      </c>
      <c r="L367" s="7"/>
      <c r="M367" s="8" t="str">
        <f t="array" ref="M367">Y107</f>
        <v>1ХВС::1.1</v>
      </c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15"/>
      <c r="AA367" s="260"/>
      <c r="AB367" s="72"/>
      <c r="AC367" s="78"/>
      <c r="AD367" s="76"/>
      <c r="AE367" s="76"/>
      <c r="AF367" s="76"/>
      <c r="AG367" s="15"/>
      <c r="AH367" s="15"/>
      <c r="AI367" s="76"/>
      <c r="AJ367" s="15"/>
      <c r="AK367" s="15"/>
      <c r="AL367" s="15"/>
      <c r="AM367" s="15"/>
      <c r="AN367" s="76"/>
      <c r="AO367" s="76"/>
      <c r="AP367" s="15"/>
      <c r="AQ367" s="15"/>
      <c r="AR367" s="76"/>
      <c r="AS367" s="15"/>
      <c r="AT367" s="15"/>
      <c r="AU367" s="76"/>
      <c r="AV367" s="76"/>
      <c r="AW367" s="15"/>
      <c r="AX367" s="15"/>
      <c r="AY367" s="76"/>
      <c r="AZ367" s="15"/>
      <c r="BA367" s="15"/>
      <c r="BB367" s="274"/>
      <c r="BC367" s="274"/>
      <c r="BD367" s="274"/>
      <c r="BE367" s="170"/>
      <c r="BF367" s="178"/>
      <c r="BG367" s="54"/>
      <c r="BH367" s="54"/>
      <c r="BI367" s="54"/>
      <c r="BJ367" s="54"/>
      <c r="BK367" s="54"/>
      <c r="BL367" s="54"/>
      <c r="BM367" s="54"/>
      <c r="BN367" s="15"/>
    </row>
    <row r="368" spans="1:66" ht="14.25" hidden="1" customHeight="1" outlineLevel="1" x14ac:dyDescent="0.15">
      <c r="A368" s="2" t="b">
        <f>AND($AC$56="нет",$W107&lt;&gt;"одноставочный")</f>
        <v>0</v>
      </c>
      <c r="B368" s="81" t="b">
        <f>AND(A368,NDS="да")</f>
        <v>0</v>
      </c>
      <c r="C368" s="77" t="s">
        <v>518</v>
      </c>
      <c r="D368" s="8" t="s">
        <v>519</v>
      </c>
      <c r="E368" s="2" t="s">
        <v>74</v>
      </c>
      <c r="F368" s="2" t="s">
        <v>75</v>
      </c>
      <c r="G368" s="2" t="s">
        <v>74</v>
      </c>
      <c r="H368" s="2" t="s">
        <v>74</v>
      </c>
      <c r="I368" s="2" t="s">
        <v>74</v>
      </c>
      <c r="J368" s="2" t="s">
        <v>74</v>
      </c>
      <c r="K368" s="5" t="s">
        <v>74</v>
      </c>
      <c r="L368" s="7"/>
      <c r="M368" s="8" t="str">
        <f t="array" ref="M368">Y107</f>
        <v>1ХВС::1.1</v>
      </c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15"/>
      <c r="AA368" s="260"/>
      <c r="AB368" s="72"/>
      <c r="AC368" s="78"/>
      <c r="AD368" s="276"/>
      <c r="AE368" s="276"/>
      <c r="AF368" s="276"/>
      <c r="AG368" s="15"/>
      <c r="AH368" s="15"/>
      <c r="AI368" s="276"/>
      <c r="AJ368" s="15"/>
      <c r="AK368" s="15"/>
      <c r="AL368" s="15"/>
      <c r="AM368" s="15"/>
      <c r="AN368" s="276"/>
      <c r="AO368" s="276"/>
      <c r="AP368" s="15"/>
      <c r="AQ368" s="15"/>
      <c r="AR368" s="276"/>
      <c r="AS368" s="15"/>
      <c r="AT368" s="15"/>
      <c r="AU368" s="276"/>
      <c r="AV368" s="276"/>
      <c r="AW368" s="15"/>
      <c r="AX368" s="15"/>
      <c r="AY368" s="276"/>
      <c r="AZ368" s="15"/>
      <c r="BA368" s="15"/>
      <c r="BB368" s="274"/>
      <c r="BC368" s="274"/>
      <c r="BD368" s="274"/>
      <c r="BE368" s="170"/>
      <c r="BF368" s="178"/>
      <c r="BG368" s="54"/>
      <c r="BH368" s="54"/>
      <c r="BI368" s="54"/>
      <c r="BJ368" s="54"/>
      <c r="BK368" s="54"/>
      <c r="BL368" s="54"/>
      <c r="BM368" s="54"/>
      <c r="BN368" s="15"/>
    </row>
    <row r="369" spans="1:66" ht="14.25" hidden="1" customHeight="1" outlineLevel="1" x14ac:dyDescent="0.15">
      <c r="A369" s="2" t="b">
        <f>$W107&lt;&gt;"одноставочный"</f>
        <v>0</v>
      </c>
      <c r="B369" s="81" t="b">
        <f>AND(A369,NDS="да")</f>
        <v>0</v>
      </c>
      <c r="C369" s="77" t="s">
        <v>520</v>
      </c>
      <c r="D369" s="8" t="s">
        <v>521</v>
      </c>
      <c r="E369" s="2" t="s">
        <v>74</v>
      </c>
      <c r="F369" s="2" t="s">
        <v>75</v>
      </c>
      <c r="G369" s="2" t="s">
        <v>74</v>
      </c>
      <c r="H369" s="2" t="s">
        <v>74</v>
      </c>
      <c r="I369" s="2" t="s">
        <v>74</v>
      </c>
      <c r="J369" s="2" t="s">
        <v>74</v>
      </c>
      <c r="K369" s="5" t="s">
        <v>74</v>
      </c>
      <c r="L369" s="7"/>
      <c r="M369" s="8" t="str">
        <f t="array" ref="M369">Y107</f>
        <v>1ХВС::1.1</v>
      </c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15"/>
      <c r="AA369" s="260"/>
      <c r="AB369" s="72"/>
      <c r="AC369" s="78"/>
      <c r="AD369" s="268"/>
      <c r="AE369" s="275"/>
      <c r="AF369" s="275"/>
      <c r="AG369" s="15"/>
      <c r="AH369" s="268"/>
      <c r="AI369" s="275"/>
      <c r="AJ369" s="15"/>
      <c r="AK369" s="268"/>
      <c r="AL369" s="15"/>
      <c r="AM369" s="268"/>
      <c r="AN369" s="275"/>
      <c r="AO369" s="275"/>
      <c r="AP369" s="15"/>
      <c r="AQ369" s="268"/>
      <c r="AR369" s="275"/>
      <c r="AS369" s="15"/>
      <c r="AT369" s="268"/>
      <c r="AU369" s="275"/>
      <c r="AV369" s="275"/>
      <c r="AW369" s="15"/>
      <c r="AX369" s="268"/>
      <c r="AY369" s="275"/>
      <c r="AZ369" s="15"/>
      <c r="BA369" s="268"/>
      <c r="BB369" s="274"/>
      <c r="BC369" s="274"/>
      <c r="BD369" s="274"/>
      <c r="BE369" s="170"/>
      <c r="BF369" s="178"/>
      <c r="BG369" s="54"/>
      <c r="BH369" s="54"/>
      <c r="BI369" s="54"/>
      <c r="BJ369" s="54"/>
      <c r="BK369" s="54"/>
      <c r="BL369" s="54"/>
      <c r="BM369" s="54"/>
      <c r="BN369" s="15"/>
    </row>
    <row r="370" spans="1:66" ht="14.25" hidden="1" customHeight="1" outlineLevel="1" collapsed="1" x14ac:dyDescent="0.15">
      <c r="A370" s="2" t="b">
        <f>$V107="разделение внутри одной сметы"</f>
        <v>0</v>
      </c>
      <c r="B370" s="2" t="b">
        <f>AND($V107="разделение внутри одной сметы",A370)</f>
        <v>0</v>
      </c>
      <c r="C370" s="77" t="s">
        <v>522</v>
      </c>
      <c r="D370" s="8" t="s">
        <v>523</v>
      </c>
      <c r="E370" s="2" t="s">
        <v>74</v>
      </c>
      <c r="F370" s="2" t="s">
        <v>75</v>
      </c>
      <c r="G370" s="2" t="s">
        <v>74</v>
      </c>
      <c r="H370" s="2" t="s">
        <v>74</v>
      </c>
      <c r="I370" s="2" t="s">
        <v>74</v>
      </c>
      <c r="J370" s="2" t="s">
        <v>74</v>
      </c>
      <c r="K370" s="5" t="s">
        <v>74</v>
      </c>
      <c r="L370" s="7"/>
      <c r="M370" s="8" t="str">
        <f t="array" ref="M370">Y107</f>
        <v>1ХВС::1.1</v>
      </c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15"/>
      <c r="AA370" s="63"/>
      <c r="AB370" s="74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274"/>
      <c r="BC370" s="274"/>
      <c r="BD370" s="274"/>
      <c r="BE370" s="170"/>
      <c r="BF370" s="170"/>
      <c r="BG370" s="54"/>
      <c r="BH370" s="54"/>
      <c r="BI370" s="54"/>
      <c r="BJ370" s="54"/>
      <c r="BK370" s="54"/>
      <c r="BL370" s="54"/>
      <c r="BM370" s="54"/>
      <c r="BN370" s="15"/>
    </row>
    <row r="371" spans="1:66" ht="0" hidden="1" customHeight="1" outlineLevel="2" x14ac:dyDescent="0.15">
      <c r="A371" s="7"/>
      <c r="B371" s="2" t="b">
        <f>$V108="разделение внутри одной сметы"</f>
        <v>0</v>
      </c>
      <c r="C371" s="77" t="s">
        <v>524</v>
      </c>
      <c r="D371" s="7"/>
      <c r="E371" s="2" t="s">
        <v>74</v>
      </c>
      <c r="F371" s="2" t="s">
        <v>75</v>
      </c>
      <c r="G371" s="2" t="s">
        <v>74</v>
      </c>
      <c r="H371" s="2" t="s">
        <v>74</v>
      </c>
      <c r="I371" s="2" t="s">
        <v>74</v>
      </c>
      <c r="J371" s="2" t="s">
        <v>74</v>
      </c>
      <c r="K371" s="5" t="s">
        <v>74</v>
      </c>
      <c r="L371" s="7"/>
      <c r="M371" s="8" t="str">
        <f t="array" ref="M371">Y107</f>
        <v>1ХВС::1.1</v>
      </c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192" t="str">
        <f>AA370&amp;".0"</f>
        <v>.0</v>
      </c>
      <c r="AB371" s="266"/>
      <c r="AC371" s="270"/>
      <c r="AD371" s="277"/>
      <c r="AE371" s="277"/>
      <c r="AF371" s="277"/>
      <c r="AG371" s="278"/>
      <c r="AH371" s="278"/>
      <c r="AI371" s="277"/>
      <c r="AJ371" s="278"/>
      <c r="AK371" s="278"/>
      <c r="AL371" s="278"/>
      <c r="AM371" s="278"/>
      <c r="AN371" s="277"/>
      <c r="AO371" s="277"/>
      <c r="AP371" s="278"/>
      <c r="AQ371" s="278"/>
      <c r="AR371" s="277"/>
      <c r="AS371" s="278"/>
      <c r="AT371" s="278"/>
      <c r="AU371" s="277"/>
      <c r="AV371" s="277"/>
      <c r="AW371" s="278"/>
      <c r="AX371" s="278"/>
      <c r="AY371" s="277"/>
      <c r="AZ371" s="278"/>
      <c r="BA371" s="278"/>
      <c r="BB371" s="279"/>
      <c r="BC371" s="279"/>
      <c r="BD371" s="279"/>
      <c r="BE371" s="99">
        <f>SUM(AD371:BA371)</f>
        <v>0</v>
      </c>
      <c r="BF371" s="99"/>
      <c r="BG371" s="44"/>
      <c r="BH371" s="44"/>
      <c r="BI371" s="44"/>
      <c r="BJ371" s="44"/>
      <c r="BK371" s="44"/>
      <c r="BL371" s="44"/>
      <c r="BM371" s="44"/>
      <c r="BN371" s="7"/>
    </row>
    <row r="372" spans="1:66" ht="14.25" hidden="1" customHeight="1" outlineLevel="2" x14ac:dyDescent="0.15">
      <c r="A372" s="2" t="b">
        <f t="array" ref="A372">$B370</f>
        <v>0</v>
      </c>
      <c r="B372" s="2" t="b">
        <f t="array" ref="B372">$B370</f>
        <v>0</v>
      </c>
      <c r="C372" s="77" t="s">
        <v>525</v>
      </c>
      <c r="D372" s="8" t="s">
        <v>526</v>
      </c>
      <c r="E372" s="2" t="s">
        <v>74</v>
      </c>
      <c r="F372" s="2" t="s">
        <v>75</v>
      </c>
      <c r="G372" s="2" t="s">
        <v>74</v>
      </c>
      <c r="H372" s="2" t="s">
        <v>74</v>
      </c>
      <c r="I372" s="2" t="s">
        <v>74</v>
      </c>
      <c r="J372" s="2" t="s">
        <v>74</v>
      </c>
      <c r="K372" s="5" t="s">
        <v>74</v>
      </c>
      <c r="L372" s="7"/>
      <c r="M372" s="8" t="str">
        <f t="array" ref="M372">Y107</f>
        <v>1ХВС::1.1</v>
      </c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15"/>
      <c r="AA372" s="260"/>
      <c r="AB372" s="280"/>
      <c r="AC372" s="78"/>
      <c r="AD372" s="98"/>
      <c r="AE372" s="98"/>
      <c r="AF372" s="98"/>
      <c r="AG372" s="15"/>
      <c r="AH372" s="15"/>
      <c r="AI372" s="98"/>
      <c r="AJ372" s="15"/>
      <c r="AK372" s="15"/>
      <c r="AL372" s="15"/>
      <c r="AM372" s="15"/>
      <c r="AN372" s="98"/>
      <c r="AO372" s="98"/>
      <c r="AP372" s="15"/>
      <c r="AQ372" s="15"/>
      <c r="AR372" s="98"/>
      <c r="AS372" s="15"/>
      <c r="AT372" s="15"/>
      <c r="AU372" s="98"/>
      <c r="AV372" s="98"/>
      <c r="AW372" s="15"/>
      <c r="AX372" s="15"/>
      <c r="AY372" s="98"/>
      <c r="AZ372" s="15"/>
      <c r="BA372" s="15"/>
      <c r="BB372" s="274"/>
      <c r="BC372" s="274"/>
      <c r="BD372" s="274"/>
      <c r="BE372" s="170"/>
      <c r="BF372" s="178"/>
      <c r="BG372" s="54"/>
      <c r="BH372" s="54"/>
      <c r="BI372" s="54"/>
      <c r="BJ372" s="54"/>
      <c r="BK372" s="54"/>
      <c r="BL372" s="54"/>
      <c r="BM372" s="54"/>
      <c r="BN372" s="15"/>
    </row>
    <row r="373" spans="1:66" ht="14.25" hidden="1" customHeight="1" outlineLevel="3" x14ac:dyDescent="0.15">
      <c r="A373" s="2" t="b">
        <f t="array" ref="A373">$B370</f>
        <v>0</v>
      </c>
      <c r="B373" s="2" t="b">
        <f t="array" ref="B373">$B370</f>
        <v>0</v>
      </c>
      <c r="C373" s="77" t="s">
        <v>527</v>
      </c>
      <c r="D373" s="8" t="s">
        <v>528</v>
      </c>
      <c r="E373" s="2" t="s">
        <v>74</v>
      </c>
      <c r="F373" s="2" t="s">
        <v>75</v>
      </c>
      <c r="G373" s="2" t="s">
        <v>74</v>
      </c>
      <c r="H373" s="2" t="s">
        <v>74</v>
      </c>
      <c r="I373" s="2" t="s">
        <v>74</v>
      </c>
      <c r="J373" s="2" t="s">
        <v>74</v>
      </c>
      <c r="K373" s="5" t="s">
        <v>74</v>
      </c>
      <c r="L373" s="7"/>
      <c r="M373" s="8" t="str">
        <f t="array" ref="M373">Y107</f>
        <v>1ХВС::1.1</v>
      </c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15"/>
      <c r="AA373" s="260"/>
      <c r="AB373" s="281"/>
      <c r="AC373" s="78"/>
      <c r="AD373" s="282"/>
      <c r="AE373" s="282"/>
      <c r="AF373" s="282"/>
      <c r="AG373" s="15"/>
      <c r="AH373" s="15"/>
      <c r="AI373" s="282"/>
      <c r="AJ373" s="15"/>
      <c r="AK373" s="15"/>
      <c r="AL373" s="15"/>
      <c r="AM373" s="15"/>
      <c r="AN373" s="282"/>
      <c r="AO373" s="282"/>
      <c r="AP373" s="15"/>
      <c r="AQ373" s="15"/>
      <c r="AR373" s="282"/>
      <c r="AS373" s="15"/>
      <c r="AT373" s="15"/>
      <c r="AU373" s="282"/>
      <c r="AV373" s="282"/>
      <c r="AW373" s="15"/>
      <c r="AX373" s="15"/>
      <c r="AY373" s="282"/>
      <c r="AZ373" s="15"/>
      <c r="BA373" s="15"/>
      <c r="BB373" s="274"/>
      <c r="BC373" s="274"/>
      <c r="BD373" s="274"/>
      <c r="BE373" s="170"/>
      <c r="BF373" s="170"/>
      <c r="BG373" s="54"/>
      <c r="BH373" s="54"/>
      <c r="BI373" s="54"/>
      <c r="BJ373" s="54"/>
      <c r="BK373" s="54"/>
      <c r="BL373" s="54"/>
      <c r="BM373" s="54"/>
      <c r="BN373" s="15"/>
    </row>
    <row r="374" spans="1:66" ht="14.25" hidden="1" customHeight="1" outlineLevel="3" x14ac:dyDescent="0.15">
      <c r="A374" s="2" t="b">
        <f t="array" ref="A374">$B370</f>
        <v>0</v>
      </c>
      <c r="B374" s="2" t="b">
        <f t="array" ref="B374">$B370</f>
        <v>0</v>
      </c>
      <c r="C374" s="77" t="s">
        <v>529</v>
      </c>
      <c r="D374" s="8" t="s">
        <v>530</v>
      </c>
      <c r="E374" s="2" t="s">
        <v>74</v>
      </c>
      <c r="F374" s="2" t="s">
        <v>75</v>
      </c>
      <c r="G374" s="2" t="s">
        <v>74</v>
      </c>
      <c r="H374" s="2" t="s">
        <v>74</v>
      </c>
      <c r="I374" s="2" t="s">
        <v>74</v>
      </c>
      <c r="J374" s="2" t="s">
        <v>74</v>
      </c>
      <c r="K374" s="5" t="s">
        <v>74</v>
      </c>
      <c r="L374" s="7"/>
      <c r="M374" s="8" t="str">
        <f t="array" ref="M374">Y107</f>
        <v>1ХВС::1.1</v>
      </c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15"/>
      <c r="AA374" s="260"/>
      <c r="AB374" s="281"/>
      <c r="AC374" s="78"/>
      <c r="AD374" s="282"/>
      <c r="AE374" s="282"/>
      <c r="AF374" s="282"/>
      <c r="AG374" s="15"/>
      <c r="AH374" s="15"/>
      <c r="AI374" s="282"/>
      <c r="AJ374" s="15"/>
      <c r="AK374" s="15"/>
      <c r="AL374" s="15"/>
      <c r="AM374" s="15"/>
      <c r="AN374" s="282"/>
      <c r="AO374" s="282"/>
      <c r="AP374" s="15"/>
      <c r="AQ374" s="15"/>
      <c r="AR374" s="282"/>
      <c r="AS374" s="15"/>
      <c r="AT374" s="15"/>
      <c r="AU374" s="282"/>
      <c r="AV374" s="282"/>
      <c r="AW374" s="15"/>
      <c r="AX374" s="15"/>
      <c r="AY374" s="282"/>
      <c r="AZ374" s="15"/>
      <c r="BA374" s="15"/>
      <c r="BB374" s="274"/>
      <c r="BC374" s="274"/>
      <c r="BD374" s="274"/>
      <c r="BE374" s="170"/>
      <c r="BF374" s="178"/>
      <c r="BG374" s="54"/>
      <c r="BH374" s="54"/>
      <c r="BI374" s="54"/>
      <c r="BJ374" s="54"/>
      <c r="BK374" s="54"/>
      <c r="BL374" s="54"/>
      <c r="BM374" s="54"/>
      <c r="BN374" s="15"/>
    </row>
    <row r="375" spans="1:66" ht="14.25" hidden="1" customHeight="1" outlineLevel="3" x14ac:dyDescent="0.15">
      <c r="A375" s="2" t="b">
        <f t="array" ref="A375">$B370</f>
        <v>0</v>
      </c>
      <c r="B375" s="2" t="b">
        <f t="array" ref="B375">$B370</f>
        <v>0</v>
      </c>
      <c r="C375" s="77" t="s">
        <v>531</v>
      </c>
      <c r="D375" s="8" t="s">
        <v>532</v>
      </c>
      <c r="E375" s="2" t="s">
        <v>74</v>
      </c>
      <c r="F375" s="2" t="s">
        <v>75</v>
      </c>
      <c r="G375" s="2" t="s">
        <v>74</v>
      </c>
      <c r="H375" s="2" t="s">
        <v>74</v>
      </c>
      <c r="I375" s="2" t="s">
        <v>74</v>
      </c>
      <c r="J375" s="2" t="s">
        <v>74</v>
      </c>
      <c r="K375" s="5" t="s">
        <v>74</v>
      </c>
      <c r="L375" s="7"/>
      <c r="M375" s="8" t="str">
        <f t="array" ref="M375">Y107</f>
        <v>1ХВС::1.1</v>
      </c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15"/>
      <c r="AA375" s="260"/>
      <c r="AB375" s="281"/>
      <c r="AC375" s="78"/>
      <c r="AD375" s="98"/>
      <c r="AE375" s="98"/>
      <c r="AF375" s="98"/>
      <c r="AG375" s="15"/>
      <c r="AH375" s="15"/>
      <c r="AI375" s="98"/>
      <c r="AJ375" s="15"/>
      <c r="AK375" s="15"/>
      <c r="AL375" s="15"/>
      <c r="AM375" s="15"/>
      <c r="AN375" s="98"/>
      <c r="AO375" s="98"/>
      <c r="AP375" s="15"/>
      <c r="AQ375" s="15"/>
      <c r="AR375" s="98"/>
      <c r="AS375" s="15"/>
      <c r="AT375" s="15"/>
      <c r="AU375" s="98"/>
      <c r="AV375" s="98"/>
      <c r="AW375" s="15"/>
      <c r="AX375" s="15"/>
      <c r="AY375" s="98"/>
      <c r="AZ375" s="15"/>
      <c r="BA375" s="15"/>
      <c r="BB375" s="274"/>
      <c r="BC375" s="274"/>
      <c r="BD375" s="274"/>
      <c r="BE375" s="170"/>
      <c r="BF375" s="178"/>
      <c r="BG375" s="54"/>
      <c r="BH375" s="54"/>
      <c r="BI375" s="54"/>
      <c r="BJ375" s="54"/>
      <c r="BK375" s="54"/>
      <c r="BL375" s="54"/>
      <c r="BM375" s="54"/>
      <c r="BN375" s="15"/>
    </row>
    <row r="376" spans="1:66" ht="14.25" hidden="1" customHeight="1" outlineLevel="3" x14ac:dyDescent="0.15">
      <c r="A376" s="2" t="b">
        <f t="array" ref="A376">$B370</f>
        <v>0</v>
      </c>
      <c r="B376" s="2" t="b">
        <f t="array" ref="B376">$B370</f>
        <v>0</v>
      </c>
      <c r="C376" s="77" t="s">
        <v>533</v>
      </c>
      <c r="D376" s="8" t="s">
        <v>534</v>
      </c>
      <c r="E376" s="2" t="s">
        <v>74</v>
      </c>
      <c r="F376" s="2" t="s">
        <v>75</v>
      </c>
      <c r="G376" s="2" t="s">
        <v>74</v>
      </c>
      <c r="H376" s="2" t="s">
        <v>74</v>
      </c>
      <c r="I376" s="2" t="s">
        <v>74</v>
      </c>
      <c r="J376" s="2" t="s">
        <v>74</v>
      </c>
      <c r="K376" s="5" t="s">
        <v>74</v>
      </c>
      <c r="L376" s="7"/>
      <c r="M376" s="8" t="str">
        <f t="array" ref="M376">Y107</f>
        <v>1ХВС::1.1</v>
      </c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15"/>
      <c r="AA376" s="260"/>
      <c r="AB376" s="72"/>
      <c r="AC376" s="78"/>
      <c r="AD376" s="98"/>
      <c r="AE376" s="98"/>
      <c r="AF376" s="98"/>
      <c r="AG376" s="15"/>
      <c r="AH376" s="15"/>
      <c r="AI376" s="98"/>
      <c r="AJ376" s="15"/>
      <c r="AK376" s="15"/>
      <c r="AL376" s="15"/>
      <c r="AM376" s="15"/>
      <c r="AN376" s="98"/>
      <c r="AO376" s="98"/>
      <c r="AP376" s="15"/>
      <c r="AQ376" s="15"/>
      <c r="AR376" s="98"/>
      <c r="AS376" s="15"/>
      <c r="AT376" s="15"/>
      <c r="AU376" s="98"/>
      <c r="AV376" s="98"/>
      <c r="AW376" s="15"/>
      <c r="AX376" s="15"/>
      <c r="AY376" s="98"/>
      <c r="AZ376" s="15"/>
      <c r="BA376" s="15"/>
      <c r="BB376" s="274"/>
      <c r="BC376" s="274"/>
      <c r="BD376" s="274"/>
      <c r="BE376" s="170"/>
      <c r="BF376" s="178"/>
      <c r="BG376" s="54"/>
      <c r="BH376" s="54"/>
      <c r="BI376" s="54"/>
      <c r="BJ376" s="54"/>
      <c r="BK376" s="54"/>
      <c r="BL376" s="54"/>
      <c r="BM376" s="54"/>
      <c r="BN376" s="15"/>
    </row>
    <row r="377" spans="1:66" ht="14.25" hidden="1" customHeight="1" outlineLevel="4" x14ac:dyDescent="0.15">
      <c r="A377" s="2" t="b">
        <f t="array" ref="A377">$B370</f>
        <v>0</v>
      </c>
      <c r="B377" s="2" t="b">
        <f t="array" ref="B377">$B370</f>
        <v>0</v>
      </c>
      <c r="C377" s="77" t="s">
        <v>535</v>
      </c>
      <c r="D377" s="8" t="s">
        <v>536</v>
      </c>
      <c r="E377" s="2" t="s">
        <v>74</v>
      </c>
      <c r="F377" s="2" t="s">
        <v>75</v>
      </c>
      <c r="G377" s="2" t="s">
        <v>74</v>
      </c>
      <c r="H377" s="2" t="s">
        <v>74</v>
      </c>
      <c r="I377" s="2" t="s">
        <v>74</v>
      </c>
      <c r="J377" s="2" t="s">
        <v>74</v>
      </c>
      <c r="K377" s="5" t="s">
        <v>74</v>
      </c>
      <c r="L377" s="7"/>
      <c r="M377" s="8" t="str">
        <f t="array" ref="M377">Y107</f>
        <v>1ХВС::1.1</v>
      </c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15"/>
      <c r="AA377" s="260"/>
      <c r="AB377" s="281"/>
      <c r="AC377" s="78"/>
      <c r="AD377" s="98"/>
      <c r="AE377" s="98"/>
      <c r="AF377" s="98"/>
      <c r="AG377" s="15"/>
      <c r="AH377" s="15"/>
      <c r="AI377" s="98"/>
      <c r="AJ377" s="15"/>
      <c r="AK377" s="15"/>
      <c r="AL377" s="15"/>
      <c r="AM377" s="15"/>
      <c r="AN377" s="98"/>
      <c r="AO377" s="98"/>
      <c r="AP377" s="15"/>
      <c r="AQ377" s="15"/>
      <c r="AR377" s="98"/>
      <c r="AS377" s="15"/>
      <c r="AT377" s="15"/>
      <c r="AU377" s="98"/>
      <c r="AV377" s="98"/>
      <c r="AW377" s="15"/>
      <c r="AX377" s="15"/>
      <c r="AY377" s="98"/>
      <c r="AZ377" s="15"/>
      <c r="BA377" s="15"/>
      <c r="BB377" s="274"/>
      <c r="BC377" s="274"/>
      <c r="BD377" s="274"/>
      <c r="BE377" s="170"/>
      <c r="BF377" s="170"/>
      <c r="BG377" s="54"/>
      <c r="BH377" s="54"/>
      <c r="BI377" s="54"/>
      <c r="BJ377" s="54"/>
      <c r="BK377" s="54"/>
      <c r="BL377" s="54"/>
      <c r="BM377" s="54"/>
      <c r="BN377" s="15"/>
    </row>
    <row r="378" spans="1:66" ht="14.25" hidden="1" customHeight="1" outlineLevel="4" x14ac:dyDescent="0.15">
      <c r="A378" s="2" t="b">
        <f t="array" ref="A378">$B370</f>
        <v>0</v>
      </c>
      <c r="B378" s="2" t="b">
        <f t="array" ref="B378">$B370</f>
        <v>0</v>
      </c>
      <c r="C378" s="77" t="s">
        <v>537</v>
      </c>
      <c r="D378" s="8" t="s">
        <v>538</v>
      </c>
      <c r="E378" s="2" t="s">
        <v>74</v>
      </c>
      <c r="F378" s="2" t="s">
        <v>75</v>
      </c>
      <c r="G378" s="2" t="s">
        <v>74</v>
      </c>
      <c r="H378" s="2" t="s">
        <v>74</v>
      </c>
      <c r="I378" s="2" t="s">
        <v>74</v>
      </c>
      <c r="J378" s="2" t="s">
        <v>74</v>
      </c>
      <c r="K378" s="5" t="s">
        <v>74</v>
      </c>
      <c r="L378" s="7"/>
      <c r="M378" s="8" t="str">
        <f t="array" ref="M378">Y107</f>
        <v>1ХВС::1.1</v>
      </c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15"/>
      <c r="AA378" s="260"/>
      <c r="AB378" s="281"/>
      <c r="AC378" s="78"/>
      <c r="AD378" s="98"/>
      <c r="AE378" s="98"/>
      <c r="AF378" s="98"/>
      <c r="AG378" s="15"/>
      <c r="AH378" s="15"/>
      <c r="AI378" s="98"/>
      <c r="AJ378" s="15"/>
      <c r="AK378" s="15"/>
      <c r="AL378" s="15"/>
      <c r="AM378" s="15"/>
      <c r="AN378" s="98"/>
      <c r="AO378" s="98"/>
      <c r="AP378" s="15"/>
      <c r="AQ378" s="15"/>
      <c r="AR378" s="98"/>
      <c r="AS378" s="15"/>
      <c r="AT378" s="15"/>
      <c r="AU378" s="98"/>
      <c r="AV378" s="98"/>
      <c r="AW378" s="15"/>
      <c r="AX378" s="15"/>
      <c r="AY378" s="98"/>
      <c r="AZ378" s="15"/>
      <c r="BA378" s="15"/>
      <c r="BB378" s="274"/>
      <c r="BC378" s="274"/>
      <c r="BD378" s="274"/>
      <c r="BE378" s="170"/>
      <c r="BF378" s="170"/>
      <c r="BG378" s="54"/>
      <c r="BH378" s="54"/>
      <c r="BI378" s="54"/>
      <c r="BJ378" s="54"/>
      <c r="BK378" s="54"/>
      <c r="BL378" s="54"/>
      <c r="BM378" s="54"/>
      <c r="BN378" s="15"/>
    </row>
    <row r="379" spans="1:66" ht="14.25" hidden="1" customHeight="1" outlineLevel="3" x14ac:dyDescent="0.15">
      <c r="A379" s="2" t="b">
        <f t="array" ref="A379">$B370</f>
        <v>0</v>
      </c>
      <c r="B379" s="2" t="b">
        <f t="array" ref="B379">$B370</f>
        <v>0</v>
      </c>
      <c r="C379" s="77" t="s">
        <v>539</v>
      </c>
      <c r="D379" s="8" t="s">
        <v>540</v>
      </c>
      <c r="E379" s="2" t="s">
        <v>74</v>
      </c>
      <c r="F379" s="2" t="s">
        <v>75</v>
      </c>
      <c r="G379" s="2" t="s">
        <v>74</v>
      </c>
      <c r="H379" s="2" t="s">
        <v>74</v>
      </c>
      <c r="I379" s="2" t="s">
        <v>74</v>
      </c>
      <c r="J379" s="2" t="s">
        <v>74</v>
      </c>
      <c r="K379" s="5" t="s">
        <v>74</v>
      </c>
      <c r="L379" s="7"/>
      <c r="M379" s="8" t="str">
        <f t="array" ref="M379">Y107</f>
        <v>1ХВС::1.1</v>
      </c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15"/>
      <c r="AA379" s="260"/>
      <c r="AB379" s="72"/>
      <c r="AC379" s="78"/>
      <c r="AD379" s="98"/>
      <c r="AE379" s="98"/>
      <c r="AF379" s="98"/>
      <c r="AG379" s="15"/>
      <c r="AH379" s="15"/>
      <c r="AI379" s="98"/>
      <c r="AJ379" s="15"/>
      <c r="AK379" s="15"/>
      <c r="AL379" s="15"/>
      <c r="AM379" s="15"/>
      <c r="AN379" s="98"/>
      <c r="AO379" s="98"/>
      <c r="AP379" s="15"/>
      <c r="AQ379" s="15"/>
      <c r="AR379" s="98"/>
      <c r="AS379" s="15"/>
      <c r="AT379" s="15"/>
      <c r="AU379" s="98"/>
      <c r="AV379" s="98"/>
      <c r="AW379" s="15"/>
      <c r="AX379" s="15"/>
      <c r="AY379" s="98"/>
      <c r="AZ379" s="15"/>
      <c r="BA379" s="15"/>
      <c r="BB379" s="274"/>
      <c r="BC379" s="274"/>
      <c r="BD379" s="274"/>
      <c r="BE379" s="170"/>
      <c r="BF379" s="178"/>
      <c r="BG379" s="54"/>
      <c r="BH379" s="54"/>
      <c r="BI379" s="54"/>
      <c r="BJ379" s="54"/>
      <c r="BK379" s="54"/>
      <c r="BL379" s="54"/>
      <c r="BM379" s="54"/>
      <c r="BN379" s="15"/>
    </row>
    <row r="380" spans="1:66" ht="14.25" hidden="1" customHeight="1" outlineLevel="4" x14ac:dyDescent="0.15">
      <c r="A380" s="2" t="b">
        <f t="array" ref="A380">$B370</f>
        <v>0</v>
      </c>
      <c r="B380" s="2" t="b">
        <f t="array" ref="B380">$B370</f>
        <v>0</v>
      </c>
      <c r="C380" s="77" t="s">
        <v>87</v>
      </c>
      <c r="D380" s="8" t="s">
        <v>88</v>
      </c>
      <c r="E380" s="2" t="s">
        <v>74</v>
      </c>
      <c r="F380" s="2" t="s">
        <v>75</v>
      </c>
      <c r="G380" s="2" t="s">
        <v>74</v>
      </c>
      <c r="H380" s="2" t="s">
        <v>74</v>
      </c>
      <c r="I380" s="2" t="s">
        <v>74</v>
      </c>
      <c r="J380" s="2" t="s">
        <v>74</v>
      </c>
      <c r="K380" s="5" t="s">
        <v>74</v>
      </c>
      <c r="L380" s="7"/>
      <c r="M380" s="8" t="str">
        <f t="array" ref="M380">Y107</f>
        <v>1ХВС::1.1</v>
      </c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15"/>
      <c r="AA380" s="260"/>
      <c r="AB380" s="281"/>
      <c r="AC380" s="78"/>
      <c r="AD380" s="98"/>
      <c r="AE380" s="98"/>
      <c r="AF380" s="98"/>
      <c r="AG380" s="15"/>
      <c r="AH380" s="15"/>
      <c r="AI380" s="98"/>
      <c r="AJ380" s="15"/>
      <c r="AK380" s="15"/>
      <c r="AL380" s="15"/>
      <c r="AM380" s="15"/>
      <c r="AN380" s="98"/>
      <c r="AO380" s="98"/>
      <c r="AP380" s="15"/>
      <c r="AQ380" s="15"/>
      <c r="AR380" s="98"/>
      <c r="AS380" s="15"/>
      <c r="AT380" s="15"/>
      <c r="AU380" s="98"/>
      <c r="AV380" s="98"/>
      <c r="AW380" s="15"/>
      <c r="AX380" s="15"/>
      <c r="AY380" s="98"/>
      <c r="AZ380" s="15"/>
      <c r="BA380" s="15"/>
      <c r="BB380" s="274"/>
      <c r="BC380" s="274"/>
      <c r="BD380" s="274"/>
      <c r="BE380" s="170"/>
      <c r="BF380" s="178"/>
      <c r="BG380" s="54"/>
      <c r="BH380" s="54"/>
      <c r="BI380" s="54"/>
      <c r="BJ380" s="54"/>
      <c r="BK380" s="54"/>
      <c r="BL380" s="54"/>
      <c r="BM380" s="54"/>
      <c r="BN380" s="15"/>
    </row>
    <row r="381" spans="1:66" ht="14.25" hidden="1" customHeight="1" outlineLevel="4" x14ac:dyDescent="0.15">
      <c r="A381" s="2" t="b">
        <f t="array" ref="A381">$B370</f>
        <v>0</v>
      </c>
      <c r="B381" s="2" t="b">
        <f t="array" ref="B381">$B370</f>
        <v>0</v>
      </c>
      <c r="C381" s="77" t="s">
        <v>89</v>
      </c>
      <c r="D381" s="8" t="s">
        <v>90</v>
      </c>
      <c r="E381" s="2" t="s">
        <v>74</v>
      </c>
      <c r="F381" s="2" t="s">
        <v>75</v>
      </c>
      <c r="G381" s="2" t="s">
        <v>74</v>
      </c>
      <c r="H381" s="2" t="s">
        <v>74</v>
      </c>
      <c r="I381" s="2" t="s">
        <v>74</v>
      </c>
      <c r="J381" s="2" t="s">
        <v>74</v>
      </c>
      <c r="K381" s="5" t="s">
        <v>74</v>
      </c>
      <c r="L381" s="7"/>
      <c r="M381" s="8" t="str">
        <f t="array" ref="M381">Y107</f>
        <v>1ХВС::1.1</v>
      </c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15"/>
      <c r="AA381" s="260"/>
      <c r="AB381" s="281"/>
      <c r="AC381" s="78"/>
      <c r="AD381" s="98"/>
      <c r="AE381" s="98"/>
      <c r="AF381" s="98"/>
      <c r="AG381" s="15"/>
      <c r="AH381" s="15"/>
      <c r="AI381" s="98"/>
      <c r="AJ381" s="15"/>
      <c r="AK381" s="15"/>
      <c r="AL381" s="15"/>
      <c r="AM381" s="15"/>
      <c r="AN381" s="98"/>
      <c r="AO381" s="98"/>
      <c r="AP381" s="15"/>
      <c r="AQ381" s="15"/>
      <c r="AR381" s="98"/>
      <c r="AS381" s="15"/>
      <c r="AT381" s="15"/>
      <c r="AU381" s="98"/>
      <c r="AV381" s="98"/>
      <c r="AW381" s="15"/>
      <c r="AX381" s="15"/>
      <c r="AY381" s="98"/>
      <c r="AZ381" s="15"/>
      <c r="BA381" s="15"/>
      <c r="BB381" s="274"/>
      <c r="BC381" s="274"/>
      <c r="BD381" s="274"/>
      <c r="BE381" s="170"/>
      <c r="BF381" s="178"/>
      <c r="BG381" s="54"/>
      <c r="BH381" s="54"/>
      <c r="BI381" s="54"/>
      <c r="BJ381" s="54"/>
      <c r="BK381" s="54"/>
      <c r="BL381" s="54"/>
      <c r="BM381" s="54"/>
      <c r="BN381" s="15"/>
    </row>
    <row r="382" spans="1:66" ht="0" hidden="1" customHeight="1" outlineLevel="4" x14ac:dyDescent="0.25">
      <c r="A382" s="2" t="b">
        <f t="array" ref="A382">$B370</f>
        <v>0</v>
      </c>
      <c r="B382" s="2" t="b">
        <f t="array" ref="B382">$B370</f>
        <v>0</v>
      </c>
      <c r="C382" s="7"/>
      <c r="D382" s="8" t="s">
        <v>540</v>
      </c>
      <c r="E382" s="2" t="s">
        <v>74</v>
      </c>
      <c r="F382" s="2" t="s">
        <v>75</v>
      </c>
      <c r="G382" s="2" t="s">
        <v>74</v>
      </c>
      <c r="H382" s="2" t="s">
        <v>74</v>
      </c>
      <c r="I382" s="2" t="s">
        <v>74</v>
      </c>
      <c r="J382" s="2" t="s">
        <v>74</v>
      </c>
      <c r="K382" s="5" t="s">
        <v>74</v>
      </c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15"/>
      <c r="AA382" s="71"/>
      <c r="AB382" s="283"/>
      <c r="AC382" s="284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98"/>
      <c r="AP382" s="98"/>
      <c r="AQ382" s="98"/>
      <c r="AR382" s="98"/>
      <c r="AS382" s="98"/>
      <c r="AT382" s="98"/>
      <c r="AU382" s="98"/>
      <c r="AV382" s="98"/>
      <c r="AW382" s="98"/>
      <c r="AX382" s="98"/>
      <c r="AY382" s="98"/>
      <c r="AZ382" s="98"/>
      <c r="BA382" s="98"/>
      <c r="BB382" s="53"/>
      <c r="BC382" s="53"/>
      <c r="BD382" s="53"/>
      <c r="BE382" s="54"/>
      <c r="BF382" s="170"/>
      <c r="BG382" s="54"/>
      <c r="BH382" s="54"/>
      <c r="BI382" s="54"/>
      <c r="BJ382" s="54"/>
      <c r="BK382" s="54"/>
      <c r="BL382" s="54"/>
      <c r="BM382" s="54"/>
      <c r="BN382" s="15"/>
    </row>
    <row r="383" spans="1:66" ht="14.25" hidden="1" customHeight="1" outlineLevel="2" x14ac:dyDescent="0.25">
      <c r="A383" s="2" t="b">
        <f t="array" ref="A383">$B370</f>
        <v>0</v>
      </c>
      <c r="B383" s="2" t="b">
        <f t="array" ref="B383">$B370</f>
        <v>0</v>
      </c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2" t="s">
        <v>541</v>
      </c>
      <c r="Z383" s="15"/>
      <c r="AA383" s="285"/>
      <c r="AB383" s="286"/>
      <c r="AC383" s="287"/>
      <c r="AD383" s="287"/>
      <c r="AE383" s="287"/>
      <c r="AF383" s="287"/>
      <c r="AG383" s="287"/>
      <c r="AH383" s="287"/>
      <c r="AI383" s="287"/>
      <c r="AJ383" s="287"/>
      <c r="AK383" s="287"/>
      <c r="AL383" s="287"/>
      <c r="AM383" s="287"/>
      <c r="AN383" s="287"/>
      <c r="AO383" s="287"/>
      <c r="AP383" s="287"/>
      <c r="AQ383" s="287"/>
      <c r="AR383" s="287"/>
      <c r="AS383" s="287"/>
      <c r="AT383" s="287"/>
      <c r="AU383" s="287"/>
      <c r="AV383" s="287"/>
      <c r="AW383" s="287"/>
      <c r="AX383" s="287"/>
      <c r="AY383" s="287"/>
      <c r="AZ383" s="287"/>
      <c r="BA383" s="287"/>
      <c r="BB383" s="287"/>
      <c r="BC383" s="287"/>
      <c r="BD383" s="287"/>
      <c r="BE383" s="287"/>
      <c r="BF383" s="287"/>
      <c r="BG383" s="287"/>
      <c r="BH383" s="287"/>
      <c r="BI383" s="287"/>
      <c r="BJ383" s="287"/>
      <c r="BK383" s="287"/>
      <c r="BL383" s="287"/>
      <c r="BM383" s="287"/>
      <c r="BN383" s="15"/>
    </row>
    <row r="384" spans="1:66" ht="14.25" customHeight="1" x14ac:dyDescent="0.25">
      <c r="AD384" s="7"/>
      <c r="AE384" s="7"/>
      <c r="AG384" s="15"/>
      <c r="AH384" s="15"/>
      <c r="AI384" s="7"/>
      <c r="AJ384" s="15"/>
      <c r="AK384" s="15"/>
      <c r="AL384" s="15"/>
      <c r="AM384" s="15"/>
      <c r="AN384" s="7"/>
      <c r="AP384" s="15"/>
      <c r="AQ384" s="15"/>
      <c r="AR384" s="7"/>
      <c r="AS384" s="15"/>
      <c r="AT384" s="15"/>
      <c r="AU384" s="7"/>
      <c r="AW384" s="15"/>
      <c r="AX384" s="15"/>
      <c r="AY384" s="7"/>
      <c r="AZ384" s="15"/>
      <c r="BA384" s="15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</row>
    <row r="385" spans="3:65" ht="14.25" hidden="1" customHeight="1" x14ac:dyDescent="0.25">
      <c r="C385" s="8" t="s">
        <v>542</v>
      </c>
      <c r="D385" s="8" t="s">
        <v>74</v>
      </c>
      <c r="E385" s="8" t="s">
        <v>74</v>
      </c>
      <c r="F385" s="8" t="s">
        <v>74</v>
      </c>
      <c r="G385" s="8" t="s">
        <v>74</v>
      </c>
      <c r="H385" s="8" t="s">
        <v>74</v>
      </c>
      <c r="I385" s="8" t="s">
        <v>74</v>
      </c>
      <c r="J385" s="8" t="s">
        <v>74</v>
      </c>
      <c r="K385" s="8" t="s">
        <v>74</v>
      </c>
      <c r="L385" s="8" t="s">
        <v>74</v>
      </c>
      <c r="M385" s="8" t="s">
        <v>74</v>
      </c>
      <c r="AD385" s="288">
        <f>SUM(AD90:AD384)</f>
        <v>6325583.5055529689</v>
      </c>
      <c r="AE385" s="288">
        <f>SUM(AE90:AE384)</f>
        <v>6702773.1276757056</v>
      </c>
      <c r="AF385" s="288">
        <f>SUM(AF90:AF384)</f>
        <v>7657813.2410244364</v>
      </c>
      <c r="AG385" s="289"/>
      <c r="AH385" s="289"/>
      <c r="AI385" s="288" t="e">
        <f>SUM(AI90:AI384)</f>
        <v>#REF!</v>
      </c>
      <c r="AJ385" s="289"/>
      <c r="AK385" s="289"/>
      <c r="AL385" s="289"/>
      <c r="AM385" s="289"/>
      <c r="AN385" s="288" t="e">
        <f>SUM(AN90:AN384)</f>
        <v>#REF!</v>
      </c>
      <c r="AO385" s="288">
        <f>SUM(AO90:AO384)</f>
        <v>9379842.8150198329</v>
      </c>
      <c r="AP385" s="289"/>
      <c r="AQ385" s="289"/>
      <c r="AR385" s="288" t="e">
        <f>SUM(AR90:AR384)</f>
        <v>#VALUE!</v>
      </c>
      <c r="AS385" s="289"/>
      <c r="AT385" s="289"/>
      <c r="AU385" s="288" t="e">
        <f>SUM(AU90:AU384)</f>
        <v>#REF!</v>
      </c>
      <c r="AV385" s="288">
        <f>SUM(AV90:AV384)</f>
        <v>9313230.8036871646</v>
      </c>
      <c r="AW385" s="289"/>
      <c r="AX385" s="289"/>
      <c r="AY385" s="288" t="e">
        <f>SUM(AY90:AY384)</f>
        <v>#REF!</v>
      </c>
      <c r="AZ385" s="289"/>
      <c r="BA385" s="289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</row>
    <row r="386" spans="3:65" ht="14.25" customHeight="1" x14ac:dyDescent="0.25">
      <c r="AD386" s="7"/>
      <c r="AE386" s="290"/>
      <c r="AG386" s="15"/>
      <c r="AH386" s="15"/>
      <c r="AI386" s="7"/>
      <c r="AJ386" s="15"/>
      <c r="AK386" s="15"/>
      <c r="AL386" s="15"/>
      <c r="AM386" s="15"/>
      <c r="AN386" s="7"/>
      <c r="AP386" s="15"/>
      <c r="AQ386" s="15"/>
      <c r="AR386" s="7"/>
      <c r="AS386" s="15"/>
      <c r="AT386" s="15"/>
      <c r="AU386" s="7"/>
      <c r="AW386" s="15"/>
      <c r="AX386" s="15"/>
      <c r="AY386" s="7"/>
      <c r="AZ386" s="15"/>
      <c r="BA386" s="15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</row>
    <row r="389" spans="3:65" ht="14.25" customHeight="1" x14ac:dyDescent="0.25">
      <c r="AF389" s="291"/>
      <c r="AG389" s="291">
        <f t="shared" ref="AG389:AK389" si="11">AG167+AG195+AG210</f>
        <v>0</v>
      </c>
      <c r="AH389" s="291">
        <f t="shared" si="11"/>
        <v>0</v>
      </c>
      <c r="AI389" s="291">
        <f t="shared" si="11"/>
        <v>272185.82751738688</v>
      </c>
      <c r="AJ389" s="291">
        <f t="shared" si="11"/>
        <v>0</v>
      </c>
      <c r="AK389" s="291">
        <f t="shared" si="11"/>
        <v>0</v>
      </c>
    </row>
    <row r="390" spans="3:65" ht="14.25" customHeight="1" x14ac:dyDescent="0.25">
      <c r="AF390" s="291"/>
      <c r="AG390" s="291">
        <f t="shared" ref="AG390:AK390" si="12">AG170+AG198+AG213</f>
        <v>0</v>
      </c>
      <c r="AH390" s="291">
        <f t="shared" si="12"/>
        <v>0</v>
      </c>
      <c r="AI390" s="291">
        <f t="shared" si="12"/>
        <v>82200.126538290409</v>
      </c>
      <c r="AJ390" s="291">
        <f t="shared" si="12"/>
        <v>0</v>
      </c>
      <c r="AK390" s="291">
        <f t="shared" si="12"/>
        <v>0</v>
      </c>
    </row>
  </sheetData>
  <sheetProtection formatColumns="0" formatRows="0" insertRows="0" deleteColumns="0" deleteRows="0" sort="0" autoFilter="0"/>
  <autoFilter ref="AA91:BM384"/>
  <mergeCells count="38">
    <mergeCell ref="AF33:AT33"/>
    <mergeCell ref="AB72:AD72"/>
    <mergeCell ref="AA78:AB78"/>
    <mergeCell ref="AC78:AK78"/>
    <mergeCell ref="AA79:AB79"/>
    <mergeCell ref="AC79:AK79"/>
    <mergeCell ref="BB83:BB86"/>
    <mergeCell ref="AA80:AB80"/>
    <mergeCell ref="AC80:AK80"/>
    <mergeCell ref="AA81:AB81"/>
    <mergeCell ref="AC81:AK81"/>
    <mergeCell ref="AA83:AA86"/>
    <mergeCell ref="AB83:AB86"/>
    <mergeCell ref="AC83:AC86"/>
    <mergeCell ref="AF83:AH83"/>
    <mergeCell ref="AI83:AK83"/>
    <mergeCell ref="AF85:AH85"/>
    <mergeCell ref="AY85:BA85"/>
    <mergeCell ref="AL85:AM85"/>
    <mergeCell ref="AO85:AQ85"/>
    <mergeCell ref="AR85:AT85"/>
    <mergeCell ref="AV85:AX85"/>
    <mergeCell ref="BC83:BC86"/>
    <mergeCell ref="BD83:BD86"/>
    <mergeCell ref="BE83:BM86"/>
    <mergeCell ref="AF84:AH84"/>
    <mergeCell ref="AI84:AK84"/>
    <mergeCell ref="AL84:AM84"/>
    <mergeCell ref="AO84:AQ84"/>
    <mergeCell ref="AR84:AT84"/>
    <mergeCell ref="AV84:AX84"/>
    <mergeCell ref="AY84:BA84"/>
    <mergeCell ref="AL83:AM83"/>
    <mergeCell ref="AO83:AQ83"/>
    <mergeCell ref="AR83:AT83"/>
    <mergeCell ref="AV83:AX83"/>
    <mergeCell ref="AY83:BA83"/>
    <mergeCell ref="AI85:AK85"/>
  </mergeCells>
  <dataValidations count="2">
    <dataValidation type="list" allowBlank="1" showInputMessage="1" showErrorMessage="1" sqref="AN81">
      <formula1>CALC_COST_FACT</formula1>
    </dataValidation>
    <dataValidation type="list" allowBlank="1" showInputMessage="1" showErrorMessage="1" sqref="AB4">
      <formula1>razm_predz</formula1>
    </dataValidation>
  </dataValidation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outlinePr summaryBelow="0" summaryRight="0"/>
  </sheetPr>
  <dimension ref="A1:DC386"/>
  <sheetViews>
    <sheetView showGridLines="0" zoomScale="84" workbookViewId="0">
      <pane xSplit="29" ySplit="90" topLeftCell="AD327" activePane="bottomRight" state="frozen"/>
      <selection pane="topRight" activeCell="AD1" sqref="AD1"/>
      <selection pane="bottomLeft" activeCell="A91" sqref="A91"/>
      <selection pane="bottomRight" activeCell="A384" sqref="A384:XFD384"/>
    </sheetView>
  </sheetViews>
  <sheetFormatPr defaultColWidth="9.140625" defaultRowHeight="14.25" customHeight="1" outlineLevelRow="5" x14ac:dyDescent="0.25"/>
  <cols>
    <col min="1" max="1" width="8.85546875" style="11" hidden="1" customWidth="1"/>
    <col min="2" max="2" width="8.5703125" style="11" hidden="1" customWidth="1"/>
    <col min="3" max="3" width="12.5703125" style="11" hidden="1" customWidth="1"/>
    <col min="4" max="6" width="3.7109375" style="11" hidden="1" customWidth="1"/>
    <col min="7" max="7" width="10.140625" style="11" hidden="1" customWidth="1"/>
    <col min="8" max="11" width="3.7109375" style="11" hidden="1" customWidth="1"/>
    <col min="12" max="12" width="8.7109375" style="11" hidden="1" customWidth="1"/>
    <col min="13" max="25" width="3.7109375" style="11" hidden="1" customWidth="1"/>
    <col min="26" max="26" width="3.7109375" style="11" customWidth="1"/>
    <col min="27" max="27" width="13" style="11" customWidth="1"/>
    <col min="28" max="28" width="62.42578125" style="11" customWidth="1"/>
    <col min="29" max="29" width="20" style="11" customWidth="1"/>
    <col min="30" max="32" width="18" style="11" customWidth="1"/>
    <col min="33" max="34" width="11.7109375" style="11" hidden="1" customWidth="1"/>
    <col min="35" max="35" width="18" style="11" hidden="1" customWidth="1"/>
    <col min="36" max="39" width="11.7109375" style="11" hidden="1" customWidth="1"/>
    <col min="40" max="40" width="18" style="11" hidden="1" customWidth="1"/>
    <col min="41" max="41" width="18" style="11" customWidth="1"/>
    <col min="42" max="43" width="11.7109375" style="11" hidden="1" customWidth="1"/>
    <col min="44" max="44" width="18" style="11" hidden="1" customWidth="1"/>
    <col min="45" max="46" width="11.7109375" style="11" hidden="1" customWidth="1"/>
    <col min="47" max="47" width="18" style="11" hidden="1" customWidth="1"/>
    <col min="48" max="48" width="18" style="11" customWidth="1"/>
    <col min="49" max="50" width="11.7109375" style="11" hidden="1" customWidth="1"/>
    <col min="51" max="51" width="18" style="11" hidden="1" customWidth="1"/>
    <col min="52" max="55" width="11.7109375" style="11" hidden="1" customWidth="1"/>
    <col min="56" max="56" width="18" style="11" hidden="1" customWidth="1"/>
    <col min="57" max="58" width="11.7109375" style="11" hidden="1" customWidth="1"/>
    <col min="59" max="62" width="18" style="11" hidden="1" customWidth="1"/>
    <col min="63" max="64" width="11.7109375" style="11" hidden="1" customWidth="1"/>
    <col min="65" max="65" width="18" style="11" hidden="1" customWidth="1"/>
    <col min="66" max="67" width="11.7109375" style="11" hidden="1" customWidth="1"/>
    <col min="68" max="70" width="18" style="11" hidden="1" customWidth="1"/>
    <col min="71" max="72" width="11.7109375" style="11" hidden="1" customWidth="1"/>
    <col min="73" max="73" width="18" style="11" hidden="1" customWidth="1"/>
    <col min="74" max="75" width="11.7109375" style="11" hidden="1" customWidth="1"/>
    <col min="76" max="78" width="18" style="11" hidden="1" customWidth="1"/>
    <col min="79" max="80" width="11.7109375" style="11" hidden="1" customWidth="1"/>
    <col min="81" max="81" width="18" style="11" hidden="1" customWidth="1"/>
    <col min="82" max="83" width="11.7109375" style="11" hidden="1" customWidth="1"/>
    <col min="84" max="86" width="18" style="11" hidden="1" customWidth="1"/>
    <col min="87" max="88" width="11.7109375" style="11" hidden="1" customWidth="1"/>
    <col min="89" max="89" width="18" style="11" hidden="1" customWidth="1"/>
    <col min="90" max="91" width="11.7109375" style="11" hidden="1" customWidth="1"/>
    <col min="92" max="93" width="18" style="11" hidden="1" customWidth="1"/>
    <col min="94" max="94" width="34.140625" style="11" customWidth="1"/>
    <col min="95" max="95" width="17.5703125" style="11" hidden="1" customWidth="1"/>
    <col min="96" max="96" width="15.140625" style="11" hidden="1" customWidth="1"/>
    <col min="97" max="97" width="31.7109375" style="11" hidden="1" customWidth="1"/>
    <col min="98" max="98" width="12.7109375" style="11" hidden="1" customWidth="1"/>
    <col min="99" max="99" width="15.7109375" style="11" hidden="1" customWidth="1"/>
    <col min="100" max="106" width="8.7109375" style="11" hidden="1" customWidth="1"/>
    <col min="107" max="107" width="3.7109375" style="11" customWidth="1"/>
    <col min="108" max="16384" width="9.140625" style="11"/>
  </cols>
  <sheetData>
    <row r="1" spans="3:106" ht="11.25" hidden="1" customHeight="1" x14ac:dyDescent="0.25">
      <c r="AD1" s="2" t="b">
        <f t="array" ref="AD1">INDEX([1]Столбцы!$H$3:$H$104,MATCH(AD$21,[1]Столбцы!$A$3:$A$104,0),)</f>
        <v>1</v>
      </c>
      <c r="AE1" s="2" t="b">
        <f t="array" ref="AE1">INDEX([1]Столбцы!$H$3:$H$104,MATCH(AE$21,[1]Столбцы!$A$3:$A$104,0),)</f>
        <v>1</v>
      </c>
      <c r="AF1" s="2" t="b">
        <f t="array" ref="AF1">INDEX([1]Столбцы!$H$3:$H$104,MATCH(AF$21,[1]Столбцы!$A$3:$A$104,0),)</f>
        <v>1</v>
      </c>
      <c r="AG1" s="3" t="b">
        <f>AND(AF1,$AC$56="да")</f>
        <v>0</v>
      </c>
      <c r="AH1" s="3" t="b">
        <f>AND(AF1,$AC$56="да")</f>
        <v>0</v>
      </c>
      <c r="AI1" s="2" t="b">
        <f t="array" ref="AI1">INDEX([1]Столбцы!$H$3:$H$104,MATCH(AI$21,[1]Столбцы!$A$3:$A$104,0),)</f>
        <v>1</v>
      </c>
      <c r="AJ1" s="3" t="b">
        <f>AND(AI1,$AC$56="да")</f>
        <v>0</v>
      </c>
      <c r="AK1" s="3" t="b">
        <f>AND(AI1,$AC$56="да")</f>
        <v>0</v>
      </c>
      <c r="AL1" s="3" t="e">
        <f>AND(#REF!,$AC$56="да")</f>
        <v>#REF!</v>
      </c>
      <c r="AM1" s="3" t="e">
        <f>AND(#REF!,$AC$56="да")</f>
        <v>#REF!</v>
      </c>
      <c r="AN1" s="2" t="b">
        <f t="array" ref="AN1">INDEX([1]Столбцы!$H$3:$H$104,MATCH(AN$21,[1]Столбцы!$A$3:$A$104,0),)</f>
        <v>1</v>
      </c>
      <c r="AO1" s="2" t="b">
        <f t="array" ref="AO1">INDEX([1]Столбцы!$H$3:$H$104,MATCH(AO$21,[1]Столбцы!$A$3:$A$104,0),)</f>
        <v>1</v>
      </c>
      <c r="AP1" s="3" t="b">
        <f>AND(AO1,$AC$56="да")</f>
        <v>0</v>
      </c>
      <c r="AQ1" s="3" t="b">
        <f>AND(AO1,$AC$56="да")</f>
        <v>0</v>
      </c>
      <c r="AR1" s="2" t="b">
        <f t="array" ref="AR1">INDEX([1]Столбцы!$H$3:$H$104,MATCH(AR$21,[1]Столбцы!$A$3:$A$104,0),)</f>
        <v>1</v>
      </c>
      <c r="AS1" s="3" t="b">
        <f>AND(AR1,$AC$56="да")</f>
        <v>0</v>
      </c>
      <c r="AT1" s="3" t="b">
        <f>AND(AR1,$AC$56="да")</f>
        <v>0</v>
      </c>
      <c r="AU1" s="2" t="b">
        <f t="array" ref="AU1">INDEX([1]Столбцы!$H$3:$H$104,MATCH(AU$21,[1]Столбцы!$A$3:$A$104,0),)</f>
        <v>1</v>
      </c>
      <c r="AV1" s="2" t="b">
        <f t="array" ref="AV1">INDEX([1]Столбцы!$H$3:$H$104,MATCH(AV$21,[1]Столбцы!$A$3:$A$104,0),)</f>
        <v>1</v>
      </c>
      <c r="AW1" s="3" t="b">
        <f>AND(AV1,$AC$56="да")</f>
        <v>0</v>
      </c>
      <c r="AX1" s="3" t="b">
        <f>AND(AV1,$AC$56="да")</f>
        <v>0</v>
      </c>
      <c r="AY1" s="2" t="b">
        <f t="array" ref="AY1">INDEX([1]Столбцы!$H$3:$H$104,MATCH(AY$21,[1]Столбцы!$A$3:$A$104,0),)</f>
        <v>1</v>
      </c>
      <c r="AZ1" s="3" t="b">
        <f>AND(AY1,$AC$56="да")</f>
        <v>0</v>
      </c>
      <c r="BA1" s="3" t="b">
        <f>AND(AY1,$AC$56="да")</f>
        <v>0</v>
      </c>
      <c r="BB1" s="3" t="e">
        <f>AND(#REF!,$AC$56="да")</f>
        <v>#REF!</v>
      </c>
      <c r="BC1" s="3" t="e">
        <f>AND(#REF!,$AC$56="да")</f>
        <v>#REF!</v>
      </c>
      <c r="BD1" s="2" t="b">
        <f t="array" ref="BD1">INDEX([1]Столбцы!$H$3:$H$104,MATCH(BD$21,[1]Столбцы!$A$3:$A$104,0),)</f>
        <v>1</v>
      </c>
      <c r="BE1" s="3" t="b">
        <f>AND(BD1,$AC$56="да")</f>
        <v>0</v>
      </c>
      <c r="BF1" s="3" t="b">
        <f>AND(BD1,$AC$56="да")</f>
        <v>0</v>
      </c>
      <c r="BG1" s="2" t="b">
        <f t="array" ref="BG1">INDEX([1]Столбцы!$H$3:$H$104,MATCH(BG$21,[1]Столбцы!$A$3:$A$104,0),)</f>
        <v>1</v>
      </c>
      <c r="BH1" s="2" t="b">
        <f t="array" ref="BH1">INDEX([1]Столбцы!$H$3:$H$104,MATCH(BH$21,[1]Столбцы!$A$3:$A$104,0),)</f>
        <v>1</v>
      </c>
      <c r="BI1" s="2" t="b">
        <f t="array" ref="BI1">INDEX([1]Столбцы!$H$3:$H$104,MATCH(BI$21,[1]Столбцы!$A$3:$A$104,0),)</f>
        <v>1</v>
      </c>
      <c r="BJ1" s="2" t="b">
        <f t="array" ref="BJ1">INDEX([1]Столбцы!$H$3:$H$104,MATCH(BJ$21,[1]Столбцы!$A$3:$A$104,0),)</f>
        <v>1</v>
      </c>
      <c r="BK1" s="3" t="b">
        <f>AND(BJ1,$AC$56="да")</f>
        <v>0</v>
      </c>
      <c r="BL1" s="3" t="b">
        <f>AND(BJ1,$AC$56="да")</f>
        <v>0</v>
      </c>
      <c r="BM1" s="2" t="b">
        <f t="array" ref="BM1">INDEX([1]Столбцы!$H$3:$H$104,MATCH(BM$21,[1]Столбцы!$A$3:$A$104,0),)</f>
        <v>1</v>
      </c>
      <c r="BN1" s="3" t="b">
        <f>AND(BM1,$AC$56="да")</f>
        <v>0</v>
      </c>
      <c r="BO1" s="3" t="b">
        <f>AND(BM1,$AC$56="да")</f>
        <v>0</v>
      </c>
      <c r="BP1" s="2" t="b">
        <f t="array" ref="BP1">INDEX([1]Столбцы!$H$3:$H$104,MATCH(BP$21,[1]Столбцы!$A$3:$A$104,0),)</f>
        <v>1</v>
      </c>
      <c r="BQ1" s="2" t="b">
        <f t="array" ref="BQ1">INDEX([1]Столбцы!$H$3:$H$104,MATCH(BQ$21,[1]Столбцы!$A$3:$A$104,0),)</f>
        <v>1</v>
      </c>
      <c r="BR1" s="2" t="b">
        <f t="array" ref="BR1">INDEX([1]Столбцы!$H$3:$H$104,MATCH(BR$21,[1]Столбцы!$A$3:$A$104,0),)</f>
        <v>1</v>
      </c>
      <c r="BS1" s="3" t="b">
        <f>AND(BR1,$AC$56="да")</f>
        <v>0</v>
      </c>
      <c r="BT1" s="3" t="b">
        <f>AND(BR1,$AC$56="да")</f>
        <v>0</v>
      </c>
      <c r="BU1" s="2" t="b">
        <f t="array" ref="BU1">INDEX([1]Столбцы!$H$3:$H$104,MATCH(BU$21,[1]Столбцы!$A$3:$A$104,0),)</f>
        <v>1</v>
      </c>
      <c r="BV1" s="3" t="b">
        <f>AND(BU1,$AC$56="да")</f>
        <v>0</v>
      </c>
      <c r="BW1" s="3" t="b">
        <f>AND(BU1,$AC$56="да")</f>
        <v>0</v>
      </c>
      <c r="BX1" s="2" t="b">
        <f t="array" ref="BX1">INDEX([1]Столбцы!$H$3:$H$104,MATCH(BX$21,[1]Столбцы!$A$3:$A$104,0),)</f>
        <v>1</v>
      </c>
      <c r="BY1" s="2" t="b">
        <f t="array" ref="BY1">INDEX([1]Столбцы!$H$3:$H$104,MATCH(BY$21,[1]Столбцы!$A$3:$A$104,0),)</f>
        <v>1</v>
      </c>
      <c r="BZ1" s="2" t="b">
        <f t="array" ref="BZ1">INDEX([1]Столбцы!$H$3:$H$104,MATCH(BZ$21,[1]Столбцы!$A$3:$A$104,0),)</f>
        <v>1</v>
      </c>
      <c r="CA1" s="3" t="b">
        <f>AND(BZ1,$AC$56="да")</f>
        <v>0</v>
      </c>
      <c r="CB1" s="3" t="b">
        <f>AND(BZ1,$AC$56="да")</f>
        <v>0</v>
      </c>
      <c r="CC1" s="2" t="b">
        <f t="array" ref="CC1">INDEX([1]Столбцы!$H$3:$H$104,MATCH(CC$21,[1]Столбцы!$A$3:$A$104,0),)</f>
        <v>1</v>
      </c>
      <c r="CD1" s="3" t="b">
        <f>AND(CC1,$AC$56="да")</f>
        <v>0</v>
      </c>
      <c r="CE1" s="3" t="b">
        <f>AND(CC1,$AC$56="да")</f>
        <v>0</v>
      </c>
      <c r="CF1" s="2" t="b">
        <f t="array" ref="CF1">INDEX([1]Столбцы!$H$3:$H$104,MATCH(CF$21,[1]Столбцы!$A$3:$A$104,0),)</f>
        <v>1</v>
      </c>
      <c r="CG1" s="2" t="b">
        <f t="array" ref="CG1">INDEX([1]Столбцы!$H$3:$H$104,MATCH(CG$21,[1]Столбцы!$A$3:$A$104,0),)</f>
        <v>1</v>
      </c>
      <c r="CH1" s="2" t="b">
        <f t="array" ref="CH1">INDEX([1]Столбцы!$H$3:$H$104,MATCH(CH$21,[1]Столбцы!$A$3:$A$104,0),)</f>
        <v>1</v>
      </c>
      <c r="CI1" s="3" t="b">
        <f>AND(CH1,$AC$56="да")</f>
        <v>0</v>
      </c>
      <c r="CJ1" s="3" t="b">
        <f>AND(CH1,$AC$56="да")</f>
        <v>0</v>
      </c>
      <c r="CK1" s="2" t="b">
        <f t="array" ref="CK1">INDEX([1]Столбцы!$H$3:$H$104,MATCH(CK$21,[1]Столбцы!$A$3:$A$104,0),)</f>
        <v>1</v>
      </c>
      <c r="CL1" s="3" t="b">
        <f>AND(CK1,$AC$56="да")</f>
        <v>0</v>
      </c>
      <c r="CM1" s="3" t="b">
        <f>AND(CK1,$AC$56="да")</f>
        <v>0</v>
      </c>
      <c r="CN1" s="2" t="b">
        <f t="array" ref="CN1">INDEX([1]Столбцы!$H$3:$H$104,MATCH(CN$21,[1]Столбцы!$A$3:$A$104,0),)</f>
        <v>1</v>
      </c>
      <c r="CO1" s="2" t="b">
        <f t="array" ref="CO1">INDEX([1]Столбцы!$H$3:$H$104,MATCH(CO$21,[1]Столбцы!$A$3:$A$104,0),)</f>
        <v>1</v>
      </c>
      <c r="CP1" s="2" t="b">
        <f t="array" ref="CP1">INDEX([1]Столбцы!$H$3:$H$104,MATCH(CP$21,[1]Столбцы!$A$3:$A$104,0),)</f>
        <v>1</v>
      </c>
      <c r="CQ1" s="2" t="b">
        <f t="array" ref="CQ1">INDEX([1]Столбцы!$H$3:$H$104,MATCH(CQ$21,[1]Столбцы!$A$3:$A$104,0),)</f>
        <v>1</v>
      </c>
      <c r="CR1" s="3" t="b">
        <f t="array" ref="CR1">CQ1</f>
        <v>1</v>
      </c>
      <c r="CS1" s="3" t="b">
        <f t="array" ref="CS1">CR1</f>
        <v>1</v>
      </c>
      <c r="CT1" s="3" t="b">
        <f t="array" ref="CT1">CS1</f>
        <v>1</v>
      </c>
      <c r="CU1" s="3" t="b">
        <f t="array" ref="CU1">CT1</f>
        <v>1</v>
      </c>
      <c r="CV1" s="3" t="b">
        <f t="array" ref="CV1">CU1</f>
        <v>1</v>
      </c>
      <c r="CW1" s="3" t="b">
        <f t="array" ref="CW1">CV1</f>
        <v>1</v>
      </c>
      <c r="CX1" s="3" t="b">
        <f t="array" ref="CX1">CW1</f>
        <v>1</v>
      </c>
      <c r="CY1" s="3" t="b">
        <f t="array" ref="CY1">CX1</f>
        <v>1</v>
      </c>
      <c r="CZ1" s="3" t="b">
        <f t="array" ref="CZ1">CY1</f>
        <v>1</v>
      </c>
      <c r="DA1" s="3" t="b">
        <f t="array" ref="DA1">CZ1</f>
        <v>1</v>
      </c>
      <c r="DB1" s="3" t="b">
        <f t="array" ref="DB1">DA1</f>
        <v>1</v>
      </c>
    </row>
    <row r="2" spans="3:106" ht="11.25" hidden="1" customHeight="1" x14ac:dyDescent="0.25">
      <c r="AD2" s="2" t="b">
        <f t="array" ref="AD2">INDEX([1]Столбцы!$I$3:$I$104,MATCH(AD$21,[1]Столбцы!$A$3:$A$104,0),)</f>
        <v>0</v>
      </c>
      <c r="AE2" s="2" t="b">
        <f t="array" ref="AE2">INDEX([1]Столбцы!$I$3:$I$104,MATCH(AE$21,[1]Столбцы!$A$3:$A$104,0),)</f>
        <v>0</v>
      </c>
      <c r="AF2" s="2" t="b">
        <f t="array" ref="AF2">INDEX([1]Столбцы!$I$3:$I$104,MATCH(AF$21,[1]Столбцы!$A$3:$A$104,0),)</f>
        <v>1</v>
      </c>
      <c r="AG2" s="3" t="b">
        <f>AND(AG1,AF2)</f>
        <v>0</v>
      </c>
      <c r="AH2" s="3" t="b">
        <f>AND(AH1,AF2)</f>
        <v>0</v>
      </c>
      <c r="AI2" s="2" t="b">
        <f t="array" ref="AI2">INDEX([1]Столбцы!$I$3:$I$104,MATCH(AI$21,[1]Столбцы!$A$3:$A$104,0),)</f>
        <v>0</v>
      </c>
      <c r="AJ2" s="3" t="b">
        <f>AND(AJ1,AI2)</f>
        <v>0</v>
      </c>
      <c r="AK2" s="3" t="b">
        <f>AND(AK1,AI2)</f>
        <v>0</v>
      </c>
      <c r="AL2" s="3" t="e">
        <f>AND(AL1,#REF!)</f>
        <v>#REF!</v>
      </c>
      <c r="AM2" s="3" t="e">
        <f>AND(AM1,#REF!)</f>
        <v>#REF!</v>
      </c>
      <c r="AN2" s="2" t="b">
        <f t="array" ref="AN2">INDEX([1]Столбцы!$I$3:$I$104,MATCH(AN$21,[1]Столбцы!$A$3:$A$104,0),)</f>
        <v>0</v>
      </c>
      <c r="AO2" s="2" t="b">
        <f t="array" ref="AO2">INDEX([1]Столбцы!$I$3:$I$104,MATCH(AO$21,[1]Столбцы!$A$3:$A$104,0),)</f>
        <v>1</v>
      </c>
      <c r="AP2" s="3" t="b">
        <f>AND(AP1,AO2)</f>
        <v>0</v>
      </c>
      <c r="AQ2" s="3" t="b">
        <f>AND(AQ1,AO2)</f>
        <v>0</v>
      </c>
      <c r="AR2" s="2" t="b">
        <f t="array" ref="AR2">INDEX([1]Столбцы!$I$3:$I$104,MATCH(AR$21,[1]Столбцы!$A$3:$A$104,0),)</f>
        <v>0</v>
      </c>
      <c r="AS2" s="3" t="b">
        <f>AND(AS1,AR2)</f>
        <v>0</v>
      </c>
      <c r="AT2" s="3" t="b">
        <f>AND(AT1,AR2)</f>
        <v>0</v>
      </c>
      <c r="AU2" s="2" t="b">
        <f t="array" ref="AU2">INDEX([1]Столбцы!$I$3:$I$104,MATCH(AU$21,[1]Столбцы!$A$3:$A$104,0),)</f>
        <v>0</v>
      </c>
      <c r="AV2" s="2" t="b">
        <f t="array" ref="AV2">INDEX([1]Столбцы!$I$3:$I$104,MATCH(AV$21,[1]Столбцы!$A$3:$A$104,0),)</f>
        <v>1</v>
      </c>
      <c r="AW2" s="3" t="b">
        <f>AND(AW1,AV2)</f>
        <v>0</v>
      </c>
      <c r="AX2" s="3" t="b">
        <f>AND(AX1,AV2)</f>
        <v>0</v>
      </c>
      <c r="AY2" s="2" t="b">
        <f t="array" ref="AY2">INDEX([1]Столбцы!$I$3:$I$104,MATCH(AY$21,[1]Столбцы!$A$3:$A$104,0),)</f>
        <v>0</v>
      </c>
      <c r="AZ2" s="3" t="b">
        <f>AND(AZ1,AY2)</f>
        <v>0</v>
      </c>
      <c r="BA2" s="3" t="b">
        <f>AND(BA1,AY2)</f>
        <v>0</v>
      </c>
      <c r="BB2" s="3" t="e">
        <f>AND(BB1,#REF!)</f>
        <v>#REF!</v>
      </c>
      <c r="BC2" s="3" t="e">
        <f>AND(BC1,#REF!)</f>
        <v>#REF!</v>
      </c>
      <c r="BD2" s="2" t="b">
        <f t="array" ref="BD2">INDEX([1]Столбцы!$I$3:$I$104,MATCH(BD$21,[1]Столбцы!$A$3:$A$104,0),)</f>
        <v>0</v>
      </c>
      <c r="BE2" s="3" t="b">
        <f>AND(BE1,BD2)</f>
        <v>0</v>
      </c>
      <c r="BF2" s="3" t="b">
        <f>AND(BF1,BD2)</f>
        <v>0</v>
      </c>
      <c r="BG2" s="2" t="b">
        <f t="array" ref="BG2">INDEX([1]Столбцы!$I$3:$I$104,MATCH(BG$21,[1]Столбцы!$A$3:$A$104,0),)</f>
        <v>0</v>
      </c>
      <c r="BH2" s="2" t="b">
        <f t="array" ref="BH2">INDEX([1]Столбцы!$I$3:$I$104,MATCH(BH$21,[1]Столбцы!$A$3:$A$104,0),)</f>
        <v>0</v>
      </c>
      <c r="BI2" s="2" t="b">
        <f t="array" ref="BI2">INDEX([1]Столбцы!$I$3:$I$104,MATCH(BI$21,[1]Столбцы!$A$3:$A$104,0),)</f>
        <v>0</v>
      </c>
      <c r="BJ2" s="2" t="b">
        <f t="array" ref="BJ2">INDEX([1]Столбцы!$I$3:$I$104,MATCH(BJ$21,[1]Столбцы!$A$3:$A$104,0),)</f>
        <v>0</v>
      </c>
      <c r="BK2" s="3" t="b">
        <f>AND(BK1,BJ2)</f>
        <v>0</v>
      </c>
      <c r="BL2" s="3" t="b">
        <f>AND(BL1,BJ2)</f>
        <v>0</v>
      </c>
      <c r="BM2" s="2" t="b">
        <f t="array" ref="BM2">INDEX([1]Столбцы!$I$3:$I$104,MATCH(BM$21,[1]Столбцы!$A$3:$A$104,0),)</f>
        <v>0</v>
      </c>
      <c r="BN2" s="3" t="b">
        <f>AND(BN1,BM2)</f>
        <v>0</v>
      </c>
      <c r="BO2" s="3" t="b">
        <f>AND(BO1,BM2)</f>
        <v>0</v>
      </c>
      <c r="BP2" s="2" t="b">
        <f t="array" ref="BP2">INDEX([1]Столбцы!$I$3:$I$104,MATCH(BP$21,[1]Столбцы!$A$3:$A$104,0),)</f>
        <v>0</v>
      </c>
      <c r="BQ2" s="2" t="b">
        <f t="array" ref="BQ2">INDEX([1]Столбцы!$I$3:$I$104,MATCH(BQ$21,[1]Столбцы!$A$3:$A$104,0),)</f>
        <v>0</v>
      </c>
      <c r="BR2" s="2" t="b">
        <f t="array" ref="BR2">INDEX([1]Столбцы!$I$3:$I$104,MATCH(BR$21,[1]Столбцы!$A$3:$A$104,0),)</f>
        <v>0</v>
      </c>
      <c r="BS2" s="3" t="b">
        <f>AND(BS1,BR2)</f>
        <v>0</v>
      </c>
      <c r="BT2" s="3" t="b">
        <f>AND(BT1,BR2)</f>
        <v>0</v>
      </c>
      <c r="BU2" s="2" t="b">
        <f t="array" ref="BU2">INDEX([1]Столбцы!$I$3:$I$104,MATCH(BU$21,[1]Столбцы!$A$3:$A$104,0),)</f>
        <v>0</v>
      </c>
      <c r="BV2" s="3" t="b">
        <f>AND(BV1,BU2)</f>
        <v>0</v>
      </c>
      <c r="BW2" s="3" t="b">
        <f>AND(BW1,BU2)</f>
        <v>0</v>
      </c>
      <c r="BX2" s="2" t="b">
        <f t="array" ref="BX2">INDEX([1]Столбцы!$I$3:$I$104,MATCH(BX$21,[1]Столбцы!$A$3:$A$104,0),)</f>
        <v>0</v>
      </c>
      <c r="BY2" s="2" t="b">
        <f t="array" ref="BY2">INDEX([1]Столбцы!$I$3:$I$104,MATCH(BY$21,[1]Столбцы!$A$3:$A$104,0),)</f>
        <v>0</v>
      </c>
      <c r="BZ2" s="2" t="b">
        <f t="array" ref="BZ2">INDEX([1]Столбцы!$I$3:$I$104,MATCH(BZ$21,[1]Столбцы!$A$3:$A$104,0),)</f>
        <v>0</v>
      </c>
      <c r="CA2" s="3" t="b">
        <f>AND(CA1,BZ2)</f>
        <v>0</v>
      </c>
      <c r="CB2" s="3" t="b">
        <f>AND(CB1,BZ2)</f>
        <v>0</v>
      </c>
      <c r="CC2" s="2" t="b">
        <f t="array" ref="CC2">INDEX([1]Столбцы!$I$3:$I$104,MATCH(CC$21,[1]Столбцы!$A$3:$A$104,0),)</f>
        <v>0</v>
      </c>
      <c r="CD2" s="3" t="b">
        <f>AND(CD1,CC2)</f>
        <v>0</v>
      </c>
      <c r="CE2" s="3" t="b">
        <f>AND(CE1,CC2)</f>
        <v>0</v>
      </c>
      <c r="CF2" s="2" t="b">
        <f t="array" ref="CF2">INDEX([1]Столбцы!$I$3:$I$104,MATCH(CF$21,[1]Столбцы!$A$3:$A$104,0),)</f>
        <v>0</v>
      </c>
      <c r="CG2" s="2" t="b">
        <f t="array" ref="CG2">INDEX([1]Столбцы!$I$3:$I$104,MATCH(CG$21,[1]Столбцы!$A$3:$A$104,0),)</f>
        <v>0</v>
      </c>
      <c r="CH2" s="2" t="b">
        <f t="array" ref="CH2">INDEX([1]Столбцы!$I$3:$I$104,MATCH(CH$21,[1]Столбцы!$A$3:$A$104,0),)</f>
        <v>0</v>
      </c>
      <c r="CI2" s="3" t="b">
        <f>AND(CI1,CH2)</f>
        <v>0</v>
      </c>
      <c r="CJ2" s="3" t="b">
        <f>AND(CJ1,CH2)</f>
        <v>0</v>
      </c>
      <c r="CK2" s="2" t="b">
        <f t="array" ref="CK2">INDEX([1]Столбцы!$I$3:$I$104,MATCH(CK$21,[1]Столбцы!$A$3:$A$104,0),)</f>
        <v>0</v>
      </c>
      <c r="CL2" s="3" t="b">
        <f>AND(CL1,CK2)</f>
        <v>0</v>
      </c>
      <c r="CM2" s="3" t="b">
        <f>AND(CM1,CK2)</f>
        <v>0</v>
      </c>
      <c r="CN2" s="2" t="b">
        <f t="array" ref="CN2">INDEX([1]Столбцы!$I$3:$I$104,MATCH(CN$21,[1]Столбцы!$A$3:$A$104,0),)</f>
        <v>0</v>
      </c>
      <c r="CO2" s="2" t="b">
        <f t="array" ref="CO2">INDEX([1]Столбцы!$I$3:$I$104,MATCH(CO$21,[1]Столбцы!$A$3:$A$104,0),)</f>
        <v>0</v>
      </c>
      <c r="CP2" s="2" t="b">
        <f t="array" ref="CP2">INDEX([1]Столбцы!$I$3:$I$104,MATCH(CP$21,[1]Столбцы!$A$3:$A$104,0),)</f>
        <v>1</v>
      </c>
      <c r="CQ2" s="2" t="b">
        <f t="array" ref="CQ2">INDEX([1]Столбцы!$I$3:$I$104,MATCH(CQ$21,[1]Столбцы!$A$3:$A$104,0),)</f>
        <v>0</v>
      </c>
      <c r="CR2" s="3" t="b">
        <f t="array" ref="CR2">CQ2</f>
        <v>0</v>
      </c>
      <c r="CS2" s="3" t="b">
        <f t="array" ref="CS2">CR2</f>
        <v>0</v>
      </c>
      <c r="CT2" s="3" t="b">
        <f t="array" ref="CT2">CS2</f>
        <v>0</v>
      </c>
      <c r="CU2" s="3" t="b">
        <f t="array" ref="CU2">CT2</f>
        <v>0</v>
      </c>
      <c r="CV2" s="3" t="b">
        <f t="array" ref="CV2">CU2</f>
        <v>0</v>
      </c>
      <c r="CW2" s="3" t="b">
        <f t="array" ref="CW2">CV2</f>
        <v>0</v>
      </c>
      <c r="CX2" s="3" t="b">
        <f t="array" ref="CX2">CW2</f>
        <v>0</v>
      </c>
      <c r="CY2" s="3" t="b">
        <f t="array" ref="CY2">CX2</f>
        <v>0</v>
      </c>
      <c r="CZ2" s="3" t="b">
        <f t="array" ref="CZ2">CY2</f>
        <v>0</v>
      </c>
      <c r="DA2" s="3" t="b">
        <f t="array" ref="DA2">CZ2</f>
        <v>0</v>
      </c>
      <c r="DB2" s="3" t="b">
        <f t="array" ref="DB2">DA2</f>
        <v>0</v>
      </c>
    </row>
    <row r="3" spans="3:106" ht="11.25" hidden="1" customHeight="1" x14ac:dyDescent="0.25">
      <c r="E3" s="2" t="s">
        <v>0</v>
      </c>
      <c r="F3" s="4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5" t="s">
        <v>6</v>
      </c>
      <c r="L3" s="4" t="s">
        <v>1</v>
      </c>
      <c r="M3" s="6" t="s">
        <v>7</v>
      </c>
      <c r="AD3" s="12"/>
      <c r="AE3" s="12"/>
      <c r="AG3" s="12"/>
      <c r="AH3" s="12"/>
      <c r="AI3" s="12"/>
      <c r="AJ3" s="12"/>
      <c r="AK3" s="12"/>
      <c r="AL3" s="12"/>
      <c r="AM3" s="12"/>
      <c r="AN3" s="12"/>
      <c r="AP3" s="12"/>
      <c r="AQ3" s="12"/>
      <c r="AR3" s="12"/>
      <c r="AS3" s="12"/>
      <c r="AT3" s="12"/>
      <c r="AU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</row>
    <row r="4" spans="3:106" ht="11.25" hidden="1" customHeight="1" x14ac:dyDescent="0.25">
      <c r="AD4" s="12"/>
      <c r="AE4" s="12"/>
      <c r="AG4" s="12"/>
      <c r="AH4" s="12"/>
      <c r="AI4" s="12"/>
      <c r="AJ4" s="12"/>
      <c r="AK4" s="12"/>
      <c r="AL4" s="12"/>
      <c r="AM4" s="12"/>
      <c r="AN4" s="12"/>
      <c r="AP4" s="12"/>
      <c r="AQ4" s="12"/>
      <c r="AR4" s="12"/>
      <c r="AS4" s="12"/>
      <c r="AT4" s="12"/>
      <c r="AU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3:106" ht="11.25" hidden="1" customHeight="1" x14ac:dyDescent="0.25">
      <c r="C5" s="2" t="s">
        <v>8</v>
      </c>
      <c r="AD5" s="2">
        <f t="array" ref="AD5">INDEX(IF(mark="Разметка",[1]Столбцы!$K$3:$N$104,[1]Столбцы!$P$3:$S$104),MATCH(AD$21,[1]Столбцы!$A$3:$A$104,0),MATCH($C5,IF(mark="Разметка",[1]Столбцы!$K$2:$N$2,[1]Столбцы!$P$2:$S$2),0))</f>
        <v>2021</v>
      </c>
      <c r="AE5" s="2">
        <f t="array" ref="AE5">INDEX(IF(mark="Разметка",[1]Столбцы!$K$3:$N$104,[1]Столбцы!$P$3:$S$104),MATCH(AE$21,[1]Столбцы!$A$3:$A$104,0),MATCH($C5,IF(mark="Разметка",[1]Столбцы!$K$2:$N$2,[1]Столбцы!$P$2:$S$2),0))</f>
        <v>2022</v>
      </c>
      <c r="AF5" s="2">
        <f t="array" ref="AF5">INDEX(IF(mark="Разметка",[1]Столбцы!$K$3:$N$104,[1]Столбцы!$P$3:$S$104),MATCH(AF$21,[1]Столбцы!$A$3:$A$104,0),MATCH($C5,IF(mark="Разметка",[1]Столбцы!$K$2:$N$2,[1]Столбцы!$P$2:$S$2),0))</f>
        <v>2023</v>
      </c>
      <c r="AG5" s="2">
        <f t="array" ref="AG5">INDEX(IF(mark="Разметка",[1]Столбцы!$K$3:$N$104,[1]Столбцы!$P$3:$S$104),MATCH(AG$21,[1]Столбцы!$A$3:$A$104,0),MATCH($C5,IF(mark="Разметка",[1]Столбцы!$K$2:$N$2,[1]Столбцы!$P$2:$S$2),0))</f>
        <v>2023</v>
      </c>
      <c r="AH5" s="2">
        <f t="array" ref="AH5">INDEX(IF(mark="Разметка",[1]Столбцы!$K$3:$N$104,[1]Столбцы!$P$3:$S$104),MATCH(AH$21,[1]Столбцы!$A$3:$A$104,0),MATCH($C5,IF(mark="Разметка",[1]Столбцы!$K$2:$N$2,[1]Столбцы!$P$2:$S$2),0))</f>
        <v>2023</v>
      </c>
      <c r="AI5" s="2">
        <f t="array" ref="AI5">INDEX(IF(mark="Разметка",[1]Столбцы!$K$3:$N$104,[1]Столбцы!$P$3:$S$104),MATCH(AI$21,[1]Столбцы!$A$3:$A$104,0),MATCH($C5,IF(mark="Разметка",[1]Столбцы!$K$2:$N$2,[1]Столбцы!$P$2:$S$2),0))</f>
        <v>2023</v>
      </c>
      <c r="AJ5" s="2">
        <f t="array" ref="AJ5">INDEX(IF(mark="Разметка",[1]Столбцы!$K$3:$N$104,[1]Столбцы!$P$3:$S$104),MATCH(AJ$21,[1]Столбцы!$A$3:$A$104,0),MATCH($C5,IF(mark="Разметка",[1]Столбцы!$K$2:$N$2,[1]Столбцы!$P$2:$S$2),0))</f>
        <v>2023</v>
      </c>
      <c r="AK5" s="2">
        <f t="array" ref="AK5">INDEX(IF(mark="Разметка",[1]Столбцы!$K$3:$N$104,[1]Столбцы!$P$3:$S$104),MATCH(AK$21,[1]Столбцы!$A$3:$A$104,0),MATCH($C5,IF(mark="Разметка",[1]Столбцы!$K$2:$N$2,[1]Столбцы!$P$2:$S$2),0))</f>
        <v>2023</v>
      </c>
      <c r="AL5" s="2">
        <f t="array" ref="AL5">INDEX(IF(mark="Разметка",[1]Столбцы!$K$3:$N$104,[1]Столбцы!$P$3:$S$104),MATCH(AL$21,[1]Столбцы!$A$3:$A$104,0),MATCH($C5,IF(mark="Разметка",[1]Столбцы!$K$2:$N$2,[1]Столбцы!$P$2:$S$2),0))</f>
        <v>2023</v>
      </c>
      <c r="AM5" s="2">
        <f t="array" ref="AM5">INDEX(IF(mark="Разметка",[1]Столбцы!$K$3:$N$104,[1]Столбцы!$P$3:$S$104),MATCH(AM$21,[1]Столбцы!$A$3:$A$104,0),MATCH($C5,IF(mark="Разметка",[1]Столбцы!$K$2:$N$2,[1]Столбцы!$P$2:$S$2),0))</f>
        <v>2023</v>
      </c>
      <c r="AN5" s="2">
        <f t="array" ref="AN5">INDEX(IF(mark="Разметка",[1]Столбцы!$K$3:$N$104,[1]Столбцы!$P$3:$S$104),MATCH(AN$21,[1]Столбцы!$A$3:$A$104,0),MATCH($C5,IF(mark="Разметка",[1]Столбцы!$K$2:$N$2,[1]Столбцы!$P$2:$S$2),0))</f>
        <v>2023</v>
      </c>
      <c r="AO5" s="2">
        <f t="array" ref="AO5">INDEX(IF(mark="Разметка",[1]Столбцы!$K$3:$N$104,[1]Столбцы!$P$3:$S$104),MATCH(AO$21,[1]Столбцы!$A$3:$A$104,0),MATCH($C5,IF(mark="Разметка",[1]Столбцы!$K$2:$N$2,[1]Столбцы!$P$2:$S$2),0))</f>
        <v>2024</v>
      </c>
      <c r="AP5" s="2">
        <f t="array" ref="AP5">INDEX(IF(mark="Разметка",[1]Столбцы!$K$3:$N$104,[1]Столбцы!$P$3:$S$104),MATCH(AP$21,[1]Столбцы!$A$3:$A$104,0),MATCH($C5,IF(mark="Разметка",[1]Столбцы!$K$2:$N$2,[1]Столбцы!$P$2:$S$2),0))</f>
        <v>2024</v>
      </c>
      <c r="AQ5" s="2">
        <f t="array" ref="AQ5">INDEX(IF(mark="Разметка",[1]Столбцы!$K$3:$N$104,[1]Столбцы!$P$3:$S$104),MATCH(AQ$21,[1]Столбцы!$A$3:$A$104,0),MATCH($C5,IF(mark="Разметка",[1]Столбцы!$K$2:$N$2,[1]Столбцы!$P$2:$S$2),0))</f>
        <v>2024</v>
      </c>
      <c r="AR5" s="2">
        <f t="array" ref="AR5">INDEX(IF(mark="Разметка",[1]Столбцы!$K$3:$N$104,[1]Столбцы!$P$3:$S$104),MATCH(AR$21,[1]Столбцы!$A$3:$A$104,0),MATCH($C5,IF(mark="Разметка",[1]Столбцы!$K$2:$N$2,[1]Столбцы!$P$2:$S$2),0))</f>
        <v>2024</v>
      </c>
      <c r="AS5" s="2">
        <f t="array" ref="AS5">INDEX(IF(mark="Разметка",[1]Столбцы!$K$3:$N$104,[1]Столбцы!$P$3:$S$104),MATCH(AS$21,[1]Столбцы!$A$3:$A$104,0),MATCH($C5,IF(mark="Разметка",[1]Столбцы!$K$2:$N$2,[1]Столбцы!$P$2:$S$2),0))</f>
        <v>2024</v>
      </c>
      <c r="AT5" s="2">
        <f t="array" ref="AT5">INDEX(IF(mark="Разметка",[1]Столбцы!$K$3:$N$104,[1]Столбцы!$P$3:$S$104),MATCH(AT$21,[1]Столбцы!$A$3:$A$104,0),MATCH($C5,IF(mark="Разметка",[1]Столбцы!$K$2:$N$2,[1]Столбцы!$P$2:$S$2),0))</f>
        <v>2024</v>
      </c>
      <c r="AU5" s="2">
        <f t="array" ref="AU5">INDEX(IF(mark="Разметка",[1]Столбцы!$K$3:$N$104,[1]Столбцы!$P$3:$S$104),MATCH(AU$21,[1]Столбцы!$A$3:$A$104,0),MATCH($C5,IF(mark="Разметка",[1]Столбцы!$K$2:$N$2,[1]Столбцы!$P$2:$S$2),0))</f>
        <v>2024</v>
      </c>
      <c r="AV5" s="2">
        <f t="array" ref="AV5">INDEX(IF(mark="Разметка",[1]Столбцы!$K$3:$N$104,[1]Столбцы!$P$3:$S$104),MATCH(AV$21,[1]Столбцы!$A$3:$A$104,0),MATCH($C5,IF(mark="Разметка",[1]Столбцы!$K$2:$N$2,[1]Столбцы!$P$2:$S$2),0))</f>
        <v>2025</v>
      </c>
      <c r="AW5" s="2">
        <f t="array" ref="AW5">INDEX(IF(mark="Разметка",[1]Столбцы!$K$3:$N$104,[1]Столбцы!$P$3:$S$104),MATCH(AW$21,[1]Столбцы!$A$3:$A$104,0),MATCH($C5,IF(mark="Разметка",[1]Столбцы!$K$2:$N$2,[1]Столбцы!$P$2:$S$2),0))</f>
        <v>2025</v>
      </c>
      <c r="AX5" s="2">
        <f t="array" ref="AX5">INDEX(IF(mark="Разметка",[1]Столбцы!$K$3:$N$104,[1]Столбцы!$P$3:$S$104),MATCH(AX$21,[1]Столбцы!$A$3:$A$104,0),MATCH($C5,IF(mark="Разметка",[1]Столбцы!$K$2:$N$2,[1]Столбцы!$P$2:$S$2),0))</f>
        <v>2025</v>
      </c>
      <c r="AY5" s="2">
        <f t="array" ref="AY5">INDEX(IF(mark="Разметка",[1]Столбцы!$K$3:$N$104,[1]Столбцы!$P$3:$S$104),MATCH(AY$21,[1]Столбцы!$A$3:$A$104,0),MATCH($C5,IF(mark="Разметка",[1]Столбцы!$K$2:$N$2,[1]Столбцы!$P$2:$S$2),0))</f>
        <v>2025</v>
      </c>
      <c r="AZ5" s="2">
        <f t="array" ref="AZ5">INDEX(IF(mark="Разметка",[1]Столбцы!$K$3:$N$104,[1]Столбцы!$P$3:$S$104),MATCH(AZ$21,[1]Столбцы!$A$3:$A$104,0),MATCH($C5,IF(mark="Разметка",[1]Столбцы!$K$2:$N$2,[1]Столбцы!$P$2:$S$2),0))</f>
        <v>2025</v>
      </c>
      <c r="BA5" s="2">
        <f t="array" ref="BA5">INDEX(IF(mark="Разметка",[1]Столбцы!$K$3:$N$104,[1]Столбцы!$P$3:$S$104),MATCH(BA$21,[1]Столбцы!$A$3:$A$104,0),MATCH($C5,IF(mark="Разметка",[1]Столбцы!$K$2:$N$2,[1]Столбцы!$P$2:$S$2),0))</f>
        <v>2025</v>
      </c>
      <c r="BB5" s="2">
        <f t="array" ref="BB5">INDEX(IF(mark="Разметка",[1]Столбцы!$K$3:$N$104,[1]Столбцы!$P$3:$S$104),MATCH(BB$21,[1]Столбцы!$A$3:$A$104,0),MATCH($C5,IF(mark="Разметка",[1]Столбцы!$K$2:$N$2,[1]Столбцы!$P$2:$S$2),0))</f>
        <v>2025</v>
      </c>
      <c r="BC5" s="2">
        <f t="array" ref="BC5">INDEX(IF(mark="Разметка",[1]Столбцы!$K$3:$N$104,[1]Столбцы!$P$3:$S$104),MATCH(BC$21,[1]Столбцы!$A$3:$A$104,0),MATCH($C5,IF(mark="Разметка",[1]Столбцы!$K$2:$N$2,[1]Столбцы!$P$2:$S$2),0))</f>
        <v>2025</v>
      </c>
      <c r="BD5" s="2">
        <f t="array" ref="BD5">INDEX(IF(mark="Разметка",[1]Столбцы!$K$3:$N$104,[1]Столбцы!$P$3:$S$104),MATCH(BD$21,[1]Столбцы!$A$3:$A$104,0),MATCH($C5,IF(mark="Разметка",[1]Столбцы!$K$2:$N$2,[1]Столбцы!$P$2:$S$2),0))</f>
        <v>2025</v>
      </c>
      <c r="BE5" s="2">
        <f t="array" ref="BE5">INDEX(IF(mark="Разметка",[1]Столбцы!$K$3:$N$104,[1]Столбцы!$P$3:$S$104),MATCH(BE$21,[1]Столбцы!$A$3:$A$104,0),MATCH($C5,IF(mark="Разметка",[1]Столбцы!$K$2:$N$2,[1]Столбцы!$P$2:$S$2),0))</f>
        <v>2025</v>
      </c>
      <c r="BF5" s="2">
        <f t="array" ref="BF5">INDEX(IF(mark="Разметка",[1]Столбцы!$K$3:$N$104,[1]Столбцы!$P$3:$S$104),MATCH(BF$21,[1]Столбцы!$A$3:$A$104,0),MATCH($C5,IF(mark="Разметка",[1]Столбцы!$K$2:$N$2,[1]Столбцы!$P$2:$S$2),0))</f>
        <v>2025</v>
      </c>
      <c r="BG5" s="3">
        <f t="array" ref="BG5">BD5</f>
        <v>2025</v>
      </c>
      <c r="BH5" s="3">
        <f t="array" ref="BH5">BG5</f>
        <v>2025</v>
      </c>
      <c r="BI5" s="3">
        <f t="array" ref="BI5">BH5</f>
        <v>2025</v>
      </c>
      <c r="BJ5" s="2">
        <f t="array" ref="BJ5">INDEX(IF(mark="Разметка",[1]Столбцы!$K$3:$N$104,[1]Столбцы!$P$3:$S$104),MATCH(BJ$21,[1]Столбцы!$A$3:$A$104,0),MATCH($C5,IF(mark="Разметка",[1]Столбцы!$K$2:$N$2,[1]Столбцы!$P$2:$S$2),0))</f>
        <v>2026</v>
      </c>
      <c r="BK5" s="2">
        <f t="array" ref="BK5">INDEX(IF(mark="Разметка",[1]Столбцы!$K$3:$N$104,[1]Столбцы!$P$3:$S$104),MATCH(BK$21,[1]Столбцы!$A$3:$A$104,0),MATCH($C5,IF(mark="Разметка",[1]Столбцы!$K$2:$N$2,[1]Столбцы!$P$2:$S$2),0))</f>
        <v>2026</v>
      </c>
      <c r="BL5" s="2">
        <f t="array" ref="BL5">INDEX(IF(mark="Разметка",[1]Столбцы!$K$3:$N$104,[1]Столбцы!$P$3:$S$104),MATCH(BL$21,[1]Столбцы!$A$3:$A$104,0),MATCH($C5,IF(mark="Разметка",[1]Столбцы!$K$2:$N$2,[1]Столбцы!$P$2:$S$2),0))</f>
        <v>2026</v>
      </c>
      <c r="BM5" s="2">
        <f t="array" ref="BM5">INDEX(IF(mark="Разметка",[1]Столбцы!$K$3:$N$104,[1]Столбцы!$P$3:$S$104),MATCH(BM$21,[1]Столбцы!$A$3:$A$104,0),MATCH($C5,IF(mark="Разметка",[1]Столбцы!$K$2:$N$2,[1]Столбцы!$P$2:$S$2),0))</f>
        <v>2026</v>
      </c>
      <c r="BN5" s="2">
        <f t="array" ref="BN5">INDEX(IF(mark="Разметка",[1]Столбцы!$K$3:$N$104,[1]Столбцы!$P$3:$S$104),MATCH(BN$21,[1]Столбцы!$A$3:$A$104,0),MATCH($C5,IF(mark="Разметка",[1]Столбцы!$K$2:$N$2,[1]Столбцы!$P$2:$S$2),0))</f>
        <v>2026</v>
      </c>
      <c r="BO5" s="2">
        <f t="array" ref="BO5">INDEX(IF(mark="Разметка",[1]Столбцы!$K$3:$N$104,[1]Столбцы!$P$3:$S$104),MATCH(BO$21,[1]Столбцы!$A$3:$A$104,0),MATCH($C5,IF(mark="Разметка",[1]Столбцы!$K$2:$N$2,[1]Столбцы!$P$2:$S$2),0))</f>
        <v>2026</v>
      </c>
      <c r="BP5" s="3">
        <f t="array" ref="BP5">BM5</f>
        <v>2026</v>
      </c>
      <c r="BQ5" s="3">
        <f t="array" ref="BQ5">BP5</f>
        <v>2026</v>
      </c>
      <c r="BR5" s="2">
        <f t="array" ref="BR5">INDEX(IF(mark="Разметка",[1]Столбцы!$K$3:$N$104,[1]Столбцы!$P$3:$S$104),MATCH(BR$21,[1]Столбцы!$A$3:$A$104,0),MATCH($C5,IF(mark="Разметка",[1]Столбцы!$K$2:$N$2,[1]Столбцы!$P$2:$S$2),0))</f>
        <v>2027</v>
      </c>
      <c r="BS5" s="2">
        <f t="array" ref="BS5">INDEX(IF(mark="Разметка",[1]Столбцы!$K$3:$N$104,[1]Столбцы!$P$3:$S$104),MATCH(BS$21,[1]Столбцы!$A$3:$A$104,0),MATCH($C5,IF(mark="Разметка",[1]Столбцы!$K$2:$N$2,[1]Столбцы!$P$2:$S$2),0))</f>
        <v>2027</v>
      </c>
      <c r="BT5" s="2">
        <f t="array" ref="BT5">INDEX(IF(mark="Разметка",[1]Столбцы!$K$3:$N$104,[1]Столбцы!$P$3:$S$104),MATCH(BT$21,[1]Столбцы!$A$3:$A$104,0),MATCH($C5,IF(mark="Разметка",[1]Столбцы!$K$2:$N$2,[1]Столбцы!$P$2:$S$2),0))</f>
        <v>2027</v>
      </c>
      <c r="BU5" s="2">
        <f t="array" ref="BU5">INDEX(IF(mark="Разметка",[1]Столбцы!$K$3:$N$104,[1]Столбцы!$P$3:$S$104),MATCH(BU$21,[1]Столбцы!$A$3:$A$104,0),MATCH($C5,IF(mark="Разметка",[1]Столбцы!$K$2:$N$2,[1]Столбцы!$P$2:$S$2),0))</f>
        <v>2027</v>
      </c>
      <c r="BV5" s="2">
        <f t="array" ref="BV5">INDEX(IF(mark="Разметка",[1]Столбцы!$K$3:$N$104,[1]Столбцы!$P$3:$S$104),MATCH(BV$21,[1]Столбцы!$A$3:$A$104,0),MATCH($C5,IF(mark="Разметка",[1]Столбцы!$K$2:$N$2,[1]Столбцы!$P$2:$S$2),0))</f>
        <v>2027</v>
      </c>
      <c r="BW5" s="2">
        <f t="array" ref="BW5">INDEX(IF(mark="Разметка",[1]Столбцы!$K$3:$N$104,[1]Столбцы!$P$3:$S$104),MATCH(BW$21,[1]Столбцы!$A$3:$A$104,0),MATCH($C5,IF(mark="Разметка",[1]Столбцы!$K$2:$N$2,[1]Столбцы!$P$2:$S$2),0))</f>
        <v>2027</v>
      </c>
      <c r="BX5" s="3">
        <f t="array" ref="BX5">BU5</f>
        <v>2027</v>
      </c>
      <c r="BY5" s="3">
        <f t="array" ref="BY5">BX5</f>
        <v>2027</v>
      </c>
      <c r="BZ5" s="2">
        <f t="array" ref="BZ5">INDEX(IF(mark="Разметка",[1]Столбцы!$K$3:$N$104,[1]Столбцы!$P$3:$S$104),MATCH(BZ$21,[1]Столбцы!$A$3:$A$104,0),MATCH($C5,IF(mark="Разметка",[1]Столбцы!$K$2:$N$2,[1]Столбцы!$P$2:$S$2),0))</f>
        <v>2028</v>
      </c>
      <c r="CA5" s="2">
        <f t="array" ref="CA5">INDEX(IF(mark="Разметка",[1]Столбцы!$K$3:$N$104,[1]Столбцы!$P$3:$S$104),MATCH(CA$21,[1]Столбцы!$A$3:$A$104,0),MATCH($C5,IF(mark="Разметка",[1]Столбцы!$K$2:$N$2,[1]Столбцы!$P$2:$S$2),0))</f>
        <v>2028</v>
      </c>
      <c r="CB5" s="2">
        <f t="array" ref="CB5">INDEX(IF(mark="Разметка",[1]Столбцы!$K$3:$N$104,[1]Столбцы!$P$3:$S$104),MATCH(CB$21,[1]Столбцы!$A$3:$A$104,0),MATCH($C5,IF(mark="Разметка",[1]Столбцы!$K$2:$N$2,[1]Столбцы!$P$2:$S$2),0))</f>
        <v>2028</v>
      </c>
      <c r="CC5" s="2">
        <f t="array" ref="CC5">INDEX(IF(mark="Разметка",[1]Столбцы!$K$3:$N$104,[1]Столбцы!$P$3:$S$104),MATCH(CC$21,[1]Столбцы!$A$3:$A$104,0),MATCH($C5,IF(mark="Разметка",[1]Столбцы!$K$2:$N$2,[1]Столбцы!$P$2:$S$2),0))</f>
        <v>2028</v>
      </c>
      <c r="CD5" s="2">
        <f t="array" ref="CD5">INDEX(IF(mark="Разметка",[1]Столбцы!$K$3:$N$104,[1]Столбцы!$P$3:$S$104),MATCH(CD$21,[1]Столбцы!$A$3:$A$104,0),MATCH($C5,IF(mark="Разметка",[1]Столбцы!$K$2:$N$2,[1]Столбцы!$P$2:$S$2),0))</f>
        <v>2028</v>
      </c>
      <c r="CE5" s="2">
        <f t="array" ref="CE5">INDEX(IF(mark="Разметка",[1]Столбцы!$K$3:$N$104,[1]Столбцы!$P$3:$S$104),MATCH(CE$21,[1]Столбцы!$A$3:$A$104,0),MATCH($C5,IF(mark="Разметка",[1]Столбцы!$K$2:$N$2,[1]Столбцы!$P$2:$S$2),0))</f>
        <v>2028</v>
      </c>
      <c r="CF5" s="3">
        <f t="array" ref="CF5">CC5</f>
        <v>2028</v>
      </c>
      <c r="CG5" s="3">
        <f t="array" ref="CG5">CF5</f>
        <v>2028</v>
      </c>
      <c r="CH5" s="2">
        <f t="array" ref="CH5">INDEX(IF(mark="Разметка",[1]Столбцы!$K$3:$N$104,[1]Столбцы!$P$3:$S$104),MATCH(CH$21,[1]Столбцы!$A$3:$A$104,0),MATCH($C5,IF(mark="Разметка",[1]Столбцы!$K$2:$N$2,[1]Столбцы!$P$2:$S$2),0))</f>
        <v>2029</v>
      </c>
      <c r="CI5" s="2">
        <f t="array" ref="CI5">INDEX(IF(mark="Разметка",[1]Столбцы!$K$3:$N$104,[1]Столбцы!$P$3:$S$104),MATCH(CI$21,[1]Столбцы!$A$3:$A$104,0),MATCH($C5,IF(mark="Разметка",[1]Столбцы!$K$2:$N$2,[1]Столбцы!$P$2:$S$2),0))</f>
        <v>2029</v>
      </c>
      <c r="CJ5" s="2">
        <f t="array" ref="CJ5">INDEX(IF(mark="Разметка",[1]Столбцы!$K$3:$N$104,[1]Столбцы!$P$3:$S$104),MATCH(CJ$21,[1]Столбцы!$A$3:$A$104,0),MATCH($C5,IF(mark="Разметка",[1]Столбцы!$K$2:$N$2,[1]Столбцы!$P$2:$S$2),0))</f>
        <v>2029</v>
      </c>
      <c r="CK5" s="2">
        <f t="array" ref="CK5">INDEX(IF(mark="Разметка",[1]Столбцы!$K$3:$N$104,[1]Столбцы!$P$3:$S$104),MATCH(CK$21,[1]Столбцы!$A$3:$A$104,0),MATCH($C5,IF(mark="Разметка",[1]Столбцы!$K$2:$N$2,[1]Столбцы!$P$2:$S$2),0))</f>
        <v>2029</v>
      </c>
      <c r="CL5" s="2">
        <f t="array" ref="CL5">INDEX(IF(mark="Разметка",[1]Столбцы!$K$3:$N$104,[1]Столбцы!$P$3:$S$104),MATCH(CL$21,[1]Столбцы!$A$3:$A$104,0),MATCH($C5,IF(mark="Разметка",[1]Столбцы!$K$2:$N$2,[1]Столбцы!$P$2:$S$2),0))</f>
        <v>2029</v>
      </c>
      <c r="CM5" s="2">
        <f t="array" ref="CM5">INDEX(IF(mark="Разметка",[1]Столбцы!$K$3:$N$104,[1]Столбцы!$P$3:$S$104),MATCH(CM$21,[1]Столбцы!$A$3:$A$104,0),MATCH($C5,IF(mark="Разметка",[1]Столбцы!$K$2:$N$2,[1]Столбцы!$P$2:$S$2),0))</f>
        <v>2029</v>
      </c>
      <c r="CN5" s="3">
        <f t="array" ref="CN5">CK5</f>
        <v>2029</v>
      </c>
      <c r="CO5" s="3">
        <f t="array" ref="CO5">CN5</f>
        <v>2029</v>
      </c>
      <c r="CP5" s="2" t="str">
        <f t="array" ref="CP5">INDEX([1]Столбцы!$K$3:$N$104,MATCH(CP$21,[1]Столбцы!$B$3:$B$104,0),MATCH($C5,[1]Столбцы!$K$2:$N$2,0))</f>
        <v>Не определено</v>
      </c>
      <c r="CQ5" s="2" t="str">
        <f t="array" ref="CQ5">INDEX([1]Столбцы!$K$3:$N$104,MATCH(CQ$21,[1]Столбцы!$B$3:$B$104,0),MATCH($C5,[1]Столбцы!$K$2:$N$2,0))</f>
        <v>Не определено</v>
      </c>
      <c r="CR5" s="3" t="str">
        <f t="array" ref="CR5">CQ5</f>
        <v>Не определено</v>
      </c>
      <c r="CS5" s="3" t="str">
        <f t="array" ref="CS5">CR5</f>
        <v>Не определено</v>
      </c>
      <c r="CT5" s="12"/>
      <c r="CU5" s="12"/>
      <c r="CV5" s="12"/>
      <c r="CW5" s="12"/>
      <c r="CX5" s="12"/>
      <c r="CY5" s="12"/>
      <c r="CZ5" s="12"/>
      <c r="DA5" s="12"/>
      <c r="DB5" s="12"/>
    </row>
    <row r="6" spans="3:106" ht="11.25" hidden="1" customHeight="1" x14ac:dyDescent="0.25">
      <c r="C6" s="2" t="s">
        <v>9</v>
      </c>
      <c r="AD6" s="2" t="str">
        <f t="array" ref="AD6">INDEX(IF(mark="Разметка",[1]Столбцы!$K$3:$N$104,[1]Столбцы!$P$3:$S$104),MATCH(AD$21,[1]Столбцы!$A$3:$A$104,0),MATCH($C6,IF(mark="Разметка",[1]Столбцы!$K$2:$N$2,[1]Столбцы!$P$2:$S$2),0))</f>
        <v>План</v>
      </c>
      <c r="AE6" s="2" t="str">
        <f t="array" ref="AE6">INDEX(IF(mark="Разметка",[1]Столбцы!$K$3:$N$104,[1]Столбцы!$P$3:$S$104),MATCH(AE$21,[1]Столбцы!$A$3:$A$104,0),MATCH($C6,IF(mark="Разметка",[1]Столбцы!$K$2:$N$2,[1]Столбцы!$P$2:$S$2),0))</f>
        <v>План</v>
      </c>
      <c r="AF6" s="2" t="str">
        <f t="array" ref="AF6">INDEX(IF(mark="Разметка",[1]Столбцы!$K$3:$N$104,[1]Столбцы!$P$3:$S$104),MATCH(AF$21,[1]Столбцы!$A$3:$A$104,0),MATCH($C6,IF(mark="Разметка",[1]Столбцы!$K$2:$N$2,[1]Столбцы!$P$2:$S$2),0))</f>
        <v>План</v>
      </c>
      <c r="AG6" s="2" t="str">
        <f t="array" ref="AG6">INDEX(IF(mark="Разметка",[1]Столбцы!$K$3:$N$104,[1]Столбцы!$P$3:$S$104),MATCH(AG$21,[1]Столбцы!$A$3:$A$104,0),MATCH($C6,IF(mark="Разметка",[1]Столбцы!$K$2:$N$2,[1]Столбцы!$P$2:$S$2),0))</f>
        <v>План</v>
      </c>
      <c r="AH6" s="2" t="str">
        <f t="array" ref="AH6">INDEX(IF(mark="Разметка",[1]Столбцы!$K$3:$N$104,[1]Столбцы!$P$3:$S$104),MATCH(AH$21,[1]Столбцы!$A$3:$A$104,0),MATCH($C6,IF(mark="Разметка",[1]Столбцы!$K$2:$N$2,[1]Столбцы!$P$2:$S$2),0))</f>
        <v>План</v>
      </c>
      <c r="AI6" s="2" t="str">
        <f t="array" ref="AI6">INDEX(IF(mark="Разметка",[1]Столбцы!$K$3:$N$104,[1]Столбцы!$P$3:$S$104),MATCH(AI$21,[1]Столбцы!$A$3:$A$104,0),MATCH($C6,IF(mark="Разметка",[1]Столбцы!$K$2:$N$2,[1]Столбцы!$P$2:$S$2),0))</f>
        <v>План</v>
      </c>
      <c r="AJ6" s="2" t="str">
        <f t="array" ref="AJ6">INDEX(IF(mark="Разметка",[1]Столбцы!$K$3:$N$104,[1]Столбцы!$P$3:$S$104),MATCH(AJ$21,[1]Столбцы!$A$3:$A$104,0),MATCH($C6,IF(mark="Разметка",[1]Столбцы!$K$2:$N$2,[1]Столбцы!$P$2:$S$2),0))</f>
        <v>План</v>
      </c>
      <c r="AK6" s="2" t="str">
        <f t="array" ref="AK6">INDEX(IF(mark="Разметка",[1]Столбцы!$K$3:$N$104,[1]Столбцы!$P$3:$S$104),MATCH(AK$21,[1]Столбцы!$A$3:$A$104,0),MATCH($C6,IF(mark="Разметка",[1]Столбцы!$K$2:$N$2,[1]Столбцы!$P$2:$S$2),0))</f>
        <v>План</v>
      </c>
      <c r="AL6" s="2" t="str">
        <f t="array" ref="AL6">INDEX(IF(mark="Разметка",[1]Столбцы!$K$3:$N$104,[1]Столбцы!$P$3:$S$104),MATCH(AL$21,[1]Столбцы!$A$3:$A$104,0),MATCH($C6,IF(mark="Разметка",[1]Столбцы!$K$2:$N$2,[1]Столбцы!$P$2:$S$2),0))</f>
        <v>Факт</v>
      </c>
      <c r="AM6" s="2" t="str">
        <f t="array" ref="AM6">INDEX(IF(mark="Разметка",[1]Столбцы!$K$3:$N$104,[1]Столбцы!$P$3:$S$104),MATCH(AM$21,[1]Столбцы!$A$3:$A$104,0),MATCH($C6,IF(mark="Разметка",[1]Столбцы!$K$2:$N$2,[1]Столбцы!$P$2:$S$2),0))</f>
        <v>Факт</v>
      </c>
      <c r="AN6" s="2" t="str">
        <f t="array" ref="AN6">INDEX(IF(mark="Разметка",[1]Столбцы!$K$3:$N$104,[1]Столбцы!$P$3:$S$104),MATCH(AN$21,[1]Столбцы!$A$3:$A$104,0),MATCH($C6,IF(mark="Разметка",[1]Столбцы!$K$2:$N$2,[1]Столбцы!$P$2:$S$2),0))</f>
        <v>Факт</v>
      </c>
      <c r="AO6" s="2" t="str">
        <f t="array" ref="AO6">INDEX(IF(mark="Разметка",[1]Столбцы!$K$3:$N$104,[1]Столбцы!$P$3:$S$104),MATCH(AO$21,[1]Столбцы!$A$3:$A$104,0),MATCH($C6,IF(mark="Разметка",[1]Столбцы!$K$2:$N$2,[1]Столбцы!$P$2:$S$2),0))</f>
        <v>План</v>
      </c>
      <c r="AP6" s="2" t="str">
        <f t="array" ref="AP6">INDEX(IF(mark="Разметка",[1]Столбцы!$K$3:$N$104,[1]Столбцы!$P$3:$S$104),MATCH(AP$21,[1]Столбцы!$A$3:$A$104,0),MATCH($C6,IF(mark="Разметка",[1]Столбцы!$K$2:$N$2,[1]Столбцы!$P$2:$S$2),0))</f>
        <v>План</v>
      </c>
      <c r="AQ6" s="2" t="str">
        <f t="array" ref="AQ6">INDEX(IF(mark="Разметка",[1]Столбцы!$K$3:$N$104,[1]Столбцы!$P$3:$S$104),MATCH(AQ$21,[1]Столбцы!$A$3:$A$104,0),MATCH($C6,IF(mark="Разметка",[1]Столбцы!$K$2:$N$2,[1]Столбцы!$P$2:$S$2),0))</f>
        <v>План</v>
      </c>
      <c r="AR6" s="2" t="str">
        <f t="array" ref="AR6">INDEX(IF(mark="Разметка",[1]Столбцы!$K$3:$N$104,[1]Столбцы!$P$3:$S$104),MATCH(AR$21,[1]Столбцы!$A$3:$A$104,0),MATCH($C6,IF(mark="Разметка",[1]Столбцы!$K$2:$N$2,[1]Столбцы!$P$2:$S$2),0))</f>
        <v>План</v>
      </c>
      <c r="AS6" s="2" t="str">
        <f t="array" ref="AS6">INDEX(IF(mark="Разметка",[1]Столбцы!$K$3:$N$104,[1]Столбцы!$P$3:$S$104),MATCH(AS$21,[1]Столбцы!$A$3:$A$104,0),MATCH($C6,IF(mark="Разметка",[1]Столбцы!$K$2:$N$2,[1]Столбцы!$P$2:$S$2),0))</f>
        <v>План</v>
      </c>
      <c r="AT6" s="2" t="str">
        <f t="array" ref="AT6">INDEX(IF(mark="Разметка",[1]Столбцы!$K$3:$N$104,[1]Столбцы!$P$3:$S$104),MATCH(AT$21,[1]Столбцы!$A$3:$A$104,0),MATCH($C6,IF(mark="Разметка",[1]Столбцы!$K$2:$N$2,[1]Столбцы!$P$2:$S$2),0))</f>
        <v>План</v>
      </c>
      <c r="AU6" s="2" t="str">
        <f t="array" ref="AU6">INDEX(IF(mark="Разметка",[1]Столбцы!$K$3:$N$104,[1]Столбцы!$P$3:$S$104),MATCH(AU$21,[1]Столбцы!$A$3:$A$104,0),MATCH($C6,IF(mark="Разметка",[1]Столбцы!$K$2:$N$2,[1]Столбцы!$P$2:$S$2),0))</f>
        <v>Ожидаемо</v>
      </c>
      <c r="AV6" s="2" t="str">
        <f t="array" ref="AV6">INDEX(IF(mark="Разметка",[1]Столбцы!$K$3:$N$104,[1]Столбцы!$P$3:$S$104),MATCH(AV$21,[1]Столбцы!$A$3:$A$104,0),MATCH($C6,IF(mark="Разметка",[1]Столбцы!$K$2:$N$2,[1]Столбцы!$P$2:$S$2),0))</f>
        <v>Утверждено</v>
      </c>
      <c r="AW6" s="2" t="str">
        <f t="array" ref="AW6">INDEX(IF(mark="Разметка",[1]Столбцы!$K$3:$N$104,[1]Столбцы!$P$3:$S$104),MATCH(AW$21,[1]Столбцы!$A$3:$A$104,0),MATCH($C6,IF(mark="Разметка",[1]Столбцы!$K$2:$N$2,[1]Столбцы!$P$2:$S$2),0))</f>
        <v>Утверждено</v>
      </c>
      <c r="AX6" s="2" t="str">
        <f t="array" ref="AX6">INDEX(IF(mark="Разметка",[1]Столбцы!$K$3:$N$104,[1]Столбцы!$P$3:$S$104),MATCH(AX$21,[1]Столбцы!$A$3:$A$104,0),MATCH($C6,IF(mark="Разметка",[1]Столбцы!$K$2:$N$2,[1]Столбцы!$P$2:$S$2),0))</f>
        <v>Утверждено</v>
      </c>
      <c r="AY6" s="2" t="str">
        <f t="array" ref="AY6">INDEX(IF(mark="Разметка",[1]Столбцы!$K$3:$N$104,[1]Столбцы!$P$3:$S$104),MATCH(AY$21,[1]Столбцы!$A$3:$A$104,0),MATCH($C6,IF(mark="Разметка",[1]Столбцы!$K$2:$N$2,[1]Столбцы!$P$2:$S$2),0))</f>
        <v>Утверждено</v>
      </c>
      <c r="AZ6" s="2" t="str">
        <f t="array" ref="AZ6">INDEX(IF(mark="Разметка",[1]Столбцы!$K$3:$N$104,[1]Столбцы!$P$3:$S$104),MATCH(AZ$21,[1]Столбцы!$A$3:$A$104,0),MATCH($C6,IF(mark="Разметка",[1]Столбцы!$K$2:$N$2,[1]Столбцы!$P$2:$S$2),0))</f>
        <v>Утверждено</v>
      </c>
      <c r="BA6" s="2" t="str">
        <f t="array" ref="BA6">INDEX(IF(mark="Разметка",[1]Столбцы!$K$3:$N$104,[1]Столбцы!$P$3:$S$104),MATCH(BA$21,[1]Столбцы!$A$3:$A$104,0),MATCH($C6,IF(mark="Разметка",[1]Столбцы!$K$2:$N$2,[1]Столбцы!$P$2:$S$2),0))</f>
        <v>Утверждено</v>
      </c>
      <c r="BB6" s="2" t="str">
        <f t="array" ref="BB6">INDEX(IF(mark="Разметка",[1]Столбцы!$K$3:$N$104,[1]Столбцы!$P$3:$S$104),MATCH(BB$21,[1]Столбцы!$A$3:$A$104,0),MATCH($C6,IF(mark="Разметка",[1]Столбцы!$K$2:$N$2,[1]Столбцы!$P$2:$S$2),0))</f>
        <v>План</v>
      </c>
      <c r="BC6" s="2" t="str">
        <f t="array" ref="BC6">INDEX(IF(mark="Разметка",[1]Столбцы!$K$3:$N$104,[1]Столбцы!$P$3:$S$104),MATCH(BC$21,[1]Столбцы!$A$3:$A$104,0),MATCH($C6,IF(mark="Разметка",[1]Столбцы!$K$2:$N$2,[1]Столбцы!$P$2:$S$2),0))</f>
        <v>План</v>
      </c>
      <c r="BD6" s="2" t="str">
        <f t="array" ref="BD6">INDEX(IF(mark="Разметка",[1]Столбцы!$K$3:$N$104,[1]Столбцы!$P$3:$S$104),MATCH(BD$21,[1]Столбцы!$A$3:$A$104,0),MATCH($C6,IF(mark="Разметка",[1]Столбцы!$K$2:$N$2,[1]Столбцы!$P$2:$S$2),0))</f>
        <v>План</v>
      </c>
      <c r="BE6" s="2" t="str">
        <f t="array" ref="BE6">INDEX(IF(mark="Разметка",[1]Столбцы!$K$3:$N$104,[1]Столбцы!$P$3:$S$104),MATCH(BE$21,[1]Столбцы!$A$3:$A$104,0),MATCH($C6,IF(mark="Разметка",[1]Столбцы!$K$2:$N$2,[1]Столбцы!$P$2:$S$2),0))</f>
        <v>План</v>
      </c>
      <c r="BF6" s="2" t="str">
        <f t="array" ref="BF6">INDEX(IF(mark="Разметка",[1]Столбцы!$K$3:$N$104,[1]Столбцы!$P$3:$S$104),MATCH(BF$21,[1]Столбцы!$A$3:$A$104,0),MATCH($C6,IF(mark="Разметка",[1]Столбцы!$K$2:$N$2,[1]Столбцы!$P$2:$S$2),0))</f>
        <v>План</v>
      </c>
      <c r="BG6" s="3" t="str">
        <f t="array" ref="BG6">BD6</f>
        <v>План</v>
      </c>
      <c r="BH6" s="3" t="str">
        <f t="array" ref="BH6">BG6</f>
        <v>План</v>
      </c>
      <c r="BI6" s="3" t="str">
        <f t="array" ref="BI6">BH6</f>
        <v>План</v>
      </c>
      <c r="BJ6" s="2" t="str">
        <f t="array" ref="BJ6">INDEX(IF(mark="Разметка",[1]Столбцы!$K$3:$N$104,[1]Столбцы!$P$3:$S$104),MATCH(BJ$21,[1]Столбцы!$A$3:$A$104,0),MATCH($C6,IF(mark="Разметка",[1]Столбцы!$K$2:$N$2,[1]Столбцы!$P$2:$S$2),0))</f>
        <v>План</v>
      </c>
      <c r="BK6" s="2" t="str">
        <f t="array" ref="BK6">INDEX(IF(mark="Разметка",[1]Столбцы!$K$3:$N$104,[1]Столбцы!$P$3:$S$104),MATCH(BK$21,[1]Столбцы!$A$3:$A$104,0),MATCH($C6,IF(mark="Разметка",[1]Столбцы!$K$2:$N$2,[1]Столбцы!$P$2:$S$2),0))</f>
        <v>План</v>
      </c>
      <c r="BL6" s="2" t="str">
        <f t="array" ref="BL6">INDEX(IF(mark="Разметка",[1]Столбцы!$K$3:$N$104,[1]Столбцы!$P$3:$S$104),MATCH(BL$21,[1]Столбцы!$A$3:$A$104,0),MATCH($C6,IF(mark="Разметка",[1]Столбцы!$K$2:$N$2,[1]Столбцы!$P$2:$S$2),0))</f>
        <v>План</v>
      </c>
      <c r="BM6" s="2" t="str">
        <f t="array" ref="BM6">INDEX(IF(mark="Разметка",[1]Столбцы!$K$3:$N$104,[1]Столбцы!$P$3:$S$104),MATCH(BM$21,[1]Столбцы!$A$3:$A$104,0),MATCH($C6,IF(mark="Разметка",[1]Столбцы!$K$2:$N$2,[1]Столбцы!$P$2:$S$2),0))</f>
        <v>План</v>
      </c>
      <c r="BN6" s="2" t="str">
        <f t="array" ref="BN6">INDEX(IF(mark="Разметка",[1]Столбцы!$K$3:$N$104,[1]Столбцы!$P$3:$S$104),MATCH(BN$21,[1]Столбцы!$A$3:$A$104,0),MATCH($C6,IF(mark="Разметка",[1]Столбцы!$K$2:$N$2,[1]Столбцы!$P$2:$S$2),0))</f>
        <v>План</v>
      </c>
      <c r="BO6" s="2" t="str">
        <f t="array" ref="BO6">INDEX(IF(mark="Разметка",[1]Столбцы!$K$3:$N$104,[1]Столбцы!$P$3:$S$104),MATCH(BO$21,[1]Столбцы!$A$3:$A$104,0),MATCH($C6,IF(mark="Разметка",[1]Столбцы!$K$2:$N$2,[1]Столбцы!$P$2:$S$2),0))</f>
        <v>План</v>
      </c>
      <c r="BP6" s="3" t="str">
        <f t="array" ref="BP6">BM6</f>
        <v>План</v>
      </c>
      <c r="BQ6" s="3" t="str">
        <f t="array" ref="BQ6">BP6</f>
        <v>План</v>
      </c>
      <c r="BR6" s="2" t="str">
        <f t="array" ref="BR6">INDEX(IF(mark="Разметка",[1]Столбцы!$K$3:$N$104,[1]Столбцы!$P$3:$S$104),MATCH(BR$21,[1]Столбцы!$A$3:$A$104,0),MATCH($C6,IF(mark="Разметка",[1]Столбцы!$K$2:$N$2,[1]Столбцы!$P$2:$S$2),0))</f>
        <v>План</v>
      </c>
      <c r="BS6" s="2" t="str">
        <f t="array" ref="BS6">INDEX(IF(mark="Разметка",[1]Столбцы!$K$3:$N$104,[1]Столбцы!$P$3:$S$104),MATCH(BS$21,[1]Столбцы!$A$3:$A$104,0),MATCH($C6,IF(mark="Разметка",[1]Столбцы!$K$2:$N$2,[1]Столбцы!$P$2:$S$2),0))</f>
        <v>План</v>
      </c>
      <c r="BT6" s="2" t="str">
        <f t="array" ref="BT6">INDEX(IF(mark="Разметка",[1]Столбцы!$K$3:$N$104,[1]Столбцы!$P$3:$S$104),MATCH(BT$21,[1]Столбцы!$A$3:$A$104,0),MATCH($C6,IF(mark="Разметка",[1]Столбцы!$K$2:$N$2,[1]Столбцы!$P$2:$S$2),0))</f>
        <v>План</v>
      </c>
      <c r="BU6" s="2" t="str">
        <f t="array" ref="BU6">INDEX(IF(mark="Разметка",[1]Столбцы!$K$3:$N$104,[1]Столбцы!$P$3:$S$104),MATCH(BU$21,[1]Столбцы!$A$3:$A$104,0),MATCH($C6,IF(mark="Разметка",[1]Столбцы!$K$2:$N$2,[1]Столбцы!$P$2:$S$2),0))</f>
        <v>План</v>
      </c>
      <c r="BV6" s="2" t="str">
        <f t="array" ref="BV6">INDEX(IF(mark="Разметка",[1]Столбцы!$K$3:$N$104,[1]Столбцы!$P$3:$S$104),MATCH(BV$21,[1]Столбцы!$A$3:$A$104,0),MATCH($C6,IF(mark="Разметка",[1]Столбцы!$K$2:$N$2,[1]Столбцы!$P$2:$S$2),0))</f>
        <v>План</v>
      </c>
      <c r="BW6" s="2" t="str">
        <f t="array" ref="BW6">INDEX(IF(mark="Разметка",[1]Столбцы!$K$3:$N$104,[1]Столбцы!$P$3:$S$104),MATCH(BW$21,[1]Столбцы!$A$3:$A$104,0),MATCH($C6,IF(mark="Разметка",[1]Столбцы!$K$2:$N$2,[1]Столбцы!$P$2:$S$2),0))</f>
        <v>План</v>
      </c>
      <c r="BX6" s="3" t="str">
        <f t="array" ref="BX6">BU6</f>
        <v>План</v>
      </c>
      <c r="BY6" s="3" t="str">
        <f t="array" ref="BY6">BX6</f>
        <v>План</v>
      </c>
      <c r="BZ6" s="2" t="str">
        <f t="array" ref="BZ6">INDEX(IF(mark="Разметка",[1]Столбцы!$K$3:$N$104,[1]Столбцы!$P$3:$S$104),MATCH(BZ$21,[1]Столбцы!$A$3:$A$104,0),MATCH($C6,IF(mark="Разметка",[1]Столбцы!$K$2:$N$2,[1]Столбцы!$P$2:$S$2),0))</f>
        <v>План</v>
      </c>
      <c r="CA6" s="2" t="str">
        <f t="array" ref="CA6">INDEX(IF(mark="Разметка",[1]Столбцы!$K$3:$N$104,[1]Столбцы!$P$3:$S$104),MATCH(CA$21,[1]Столбцы!$A$3:$A$104,0),MATCH($C6,IF(mark="Разметка",[1]Столбцы!$K$2:$N$2,[1]Столбцы!$P$2:$S$2),0))</f>
        <v>План</v>
      </c>
      <c r="CB6" s="2" t="str">
        <f t="array" ref="CB6">INDEX(IF(mark="Разметка",[1]Столбцы!$K$3:$N$104,[1]Столбцы!$P$3:$S$104),MATCH(CB$21,[1]Столбцы!$A$3:$A$104,0),MATCH($C6,IF(mark="Разметка",[1]Столбцы!$K$2:$N$2,[1]Столбцы!$P$2:$S$2),0))</f>
        <v>План</v>
      </c>
      <c r="CC6" s="2" t="str">
        <f t="array" ref="CC6">INDEX(IF(mark="Разметка",[1]Столбцы!$K$3:$N$104,[1]Столбцы!$P$3:$S$104),MATCH(CC$21,[1]Столбцы!$A$3:$A$104,0),MATCH($C6,IF(mark="Разметка",[1]Столбцы!$K$2:$N$2,[1]Столбцы!$P$2:$S$2),0))</f>
        <v>План</v>
      </c>
      <c r="CD6" s="2" t="str">
        <f t="array" ref="CD6">INDEX(IF(mark="Разметка",[1]Столбцы!$K$3:$N$104,[1]Столбцы!$P$3:$S$104),MATCH(CD$21,[1]Столбцы!$A$3:$A$104,0),MATCH($C6,IF(mark="Разметка",[1]Столбцы!$K$2:$N$2,[1]Столбцы!$P$2:$S$2),0))</f>
        <v>План</v>
      </c>
      <c r="CE6" s="2" t="str">
        <f t="array" ref="CE6">INDEX(IF(mark="Разметка",[1]Столбцы!$K$3:$N$104,[1]Столбцы!$P$3:$S$104),MATCH(CE$21,[1]Столбцы!$A$3:$A$104,0),MATCH($C6,IF(mark="Разметка",[1]Столбцы!$K$2:$N$2,[1]Столбцы!$P$2:$S$2),0))</f>
        <v>План</v>
      </c>
      <c r="CF6" s="3" t="str">
        <f t="array" ref="CF6">CC6</f>
        <v>План</v>
      </c>
      <c r="CG6" s="3" t="str">
        <f t="array" ref="CG6">CF6</f>
        <v>План</v>
      </c>
      <c r="CH6" s="2" t="str">
        <f t="array" ref="CH6">INDEX(IF(mark="Разметка",[1]Столбцы!$K$3:$N$104,[1]Столбцы!$P$3:$S$104),MATCH(CH$21,[1]Столбцы!$A$3:$A$104,0),MATCH($C6,IF(mark="Разметка",[1]Столбцы!$K$2:$N$2,[1]Столбцы!$P$2:$S$2),0))</f>
        <v>План</v>
      </c>
      <c r="CI6" s="2" t="str">
        <f t="array" ref="CI6">INDEX(IF(mark="Разметка",[1]Столбцы!$K$3:$N$104,[1]Столбцы!$P$3:$S$104),MATCH(CI$21,[1]Столбцы!$A$3:$A$104,0),MATCH($C6,IF(mark="Разметка",[1]Столбцы!$K$2:$N$2,[1]Столбцы!$P$2:$S$2),0))</f>
        <v>План</v>
      </c>
      <c r="CJ6" s="2" t="str">
        <f t="array" ref="CJ6">INDEX(IF(mark="Разметка",[1]Столбцы!$K$3:$N$104,[1]Столбцы!$P$3:$S$104),MATCH(CJ$21,[1]Столбцы!$A$3:$A$104,0),MATCH($C6,IF(mark="Разметка",[1]Столбцы!$K$2:$N$2,[1]Столбцы!$P$2:$S$2),0))</f>
        <v>План</v>
      </c>
      <c r="CK6" s="2" t="str">
        <f t="array" ref="CK6">INDEX(IF(mark="Разметка",[1]Столбцы!$K$3:$N$104,[1]Столбцы!$P$3:$S$104),MATCH(CK$21,[1]Столбцы!$A$3:$A$104,0),MATCH($C6,IF(mark="Разметка",[1]Столбцы!$K$2:$N$2,[1]Столбцы!$P$2:$S$2),0))</f>
        <v>План</v>
      </c>
      <c r="CL6" s="2" t="str">
        <f t="array" ref="CL6">INDEX(IF(mark="Разметка",[1]Столбцы!$K$3:$N$104,[1]Столбцы!$P$3:$S$104),MATCH(CL$21,[1]Столбцы!$A$3:$A$104,0),MATCH($C6,IF(mark="Разметка",[1]Столбцы!$K$2:$N$2,[1]Столбцы!$P$2:$S$2),0))</f>
        <v>План</v>
      </c>
      <c r="CM6" s="2" t="str">
        <f t="array" ref="CM6">INDEX(IF(mark="Разметка",[1]Столбцы!$K$3:$N$104,[1]Столбцы!$P$3:$S$104),MATCH(CM$21,[1]Столбцы!$A$3:$A$104,0),MATCH($C6,IF(mark="Разметка",[1]Столбцы!$K$2:$N$2,[1]Столбцы!$P$2:$S$2),0))</f>
        <v>План</v>
      </c>
      <c r="CN6" s="3" t="str">
        <f t="array" ref="CN6">CK6</f>
        <v>План</v>
      </c>
      <c r="CO6" s="3" t="str">
        <f t="array" ref="CO6">CN6</f>
        <v>План</v>
      </c>
      <c r="CP6" s="2" t="str">
        <f t="array" ref="CP6">INDEX([1]Столбцы!$K$3:$N$104,MATCH(CP$21,[1]Столбцы!$B$3:$B$104,0),MATCH($C6,[1]Столбцы!$K$2:$N$2,0))</f>
        <v>Не определено</v>
      </c>
      <c r="CQ6" s="2" t="str">
        <f t="array" ref="CQ6">INDEX([1]Столбцы!$K$3:$N$104,MATCH(CQ$21,[1]Столбцы!$B$3:$B$104,0),MATCH($C6,[1]Столбцы!$K$2:$N$2,0))</f>
        <v>Не определено</v>
      </c>
      <c r="CR6" s="3" t="str">
        <f t="array" ref="CR6">CQ6</f>
        <v>Не определено</v>
      </c>
      <c r="CS6" s="3" t="str">
        <f t="array" ref="CS6">CR6</f>
        <v>Не определено</v>
      </c>
      <c r="CT6" s="12"/>
      <c r="CU6" s="12"/>
      <c r="CV6" s="12"/>
      <c r="CW6" s="12"/>
      <c r="CX6" s="12"/>
      <c r="CY6" s="12"/>
      <c r="CZ6" s="12"/>
      <c r="DA6" s="12"/>
      <c r="DB6" s="12"/>
    </row>
    <row r="7" spans="3:106" ht="11.25" hidden="1" customHeight="1" x14ac:dyDescent="0.25">
      <c r="C7" s="2" t="s">
        <v>10</v>
      </c>
      <c r="AD7" s="3" t="s">
        <v>11</v>
      </c>
      <c r="AE7" s="3" t="s">
        <v>11</v>
      </c>
      <c r="AF7" s="3" t="s">
        <v>11</v>
      </c>
      <c r="AG7" s="3" t="s">
        <v>11</v>
      </c>
      <c r="AH7" s="3" t="s">
        <v>11</v>
      </c>
      <c r="AI7" s="3" t="s">
        <v>11</v>
      </c>
      <c r="AJ7" s="3" t="s">
        <v>11</v>
      </c>
      <c r="AK7" s="3" t="s">
        <v>11</v>
      </c>
      <c r="AL7" s="3" t="s">
        <v>11</v>
      </c>
      <c r="AM7" s="3" t="s">
        <v>11</v>
      </c>
      <c r="AN7" s="3" t="s">
        <v>11</v>
      </c>
      <c r="AO7" s="3" t="s">
        <v>11</v>
      </c>
      <c r="AP7" s="3" t="s">
        <v>11</v>
      </c>
      <c r="AQ7" s="3" t="s">
        <v>11</v>
      </c>
      <c r="AR7" s="3" t="s">
        <v>11</v>
      </c>
      <c r="AS7" s="3" t="s">
        <v>11</v>
      </c>
      <c r="AT7" s="3" t="s">
        <v>11</v>
      </c>
      <c r="AU7" s="3" t="s">
        <v>11</v>
      </c>
      <c r="AV7" s="3" t="s">
        <v>11</v>
      </c>
      <c r="AW7" s="3" t="s">
        <v>11</v>
      </c>
      <c r="AX7" s="3" t="s">
        <v>11</v>
      </c>
      <c r="AY7" s="3" t="s">
        <v>11</v>
      </c>
      <c r="AZ7" s="3" t="s">
        <v>11</v>
      </c>
      <c r="BA7" s="3" t="s">
        <v>11</v>
      </c>
      <c r="BB7" s="3" t="s">
        <v>11</v>
      </c>
      <c r="BC7" s="3" t="s">
        <v>11</v>
      </c>
      <c r="BD7" s="3" t="s">
        <v>11</v>
      </c>
      <c r="BE7" s="3" t="s">
        <v>11</v>
      </c>
      <c r="BF7" s="3" t="s">
        <v>11</v>
      </c>
      <c r="BG7" s="3" t="s">
        <v>543</v>
      </c>
      <c r="BH7" s="3" t="s">
        <v>544</v>
      </c>
      <c r="BI7" s="3" t="s">
        <v>545</v>
      </c>
      <c r="BJ7" s="3" t="s">
        <v>11</v>
      </c>
      <c r="BK7" s="3" t="s">
        <v>11</v>
      </c>
      <c r="BL7" s="3" t="s">
        <v>11</v>
      </c>
      <c r="BM7" s="3" t="s">
        <v>11</v>
      </c>
      <c r="BN7" s="3" t="s">
        <v>11</v>
      </c>
      <c r="BO7" s="3" t="s">
        <v>11</v>
      </c>
      <c r="BP7" s="3" t="s">
        <v>543</v>
      </c>
      <c r="BQ7" s="3" t="s">
        <v>74</v>
      </c>
      <c r="BR7" s="3" t="s">
        <v>11</v>
      </c>
      <c r="BS7" s="3" t="s">
        <v>11</v>
      </c>
      <c r="BT7" s="3" t="s">
        <v>11</v>
      </c>
      <c r="BU7" s="3" t="s">
        <v>11</v>
      </c>
      <c r="BV7" s="3" t="s">
        <v>11</v>
      </c>
      <c r="BW7" s="3" t="s">
        <v>11</v>
      </c>
      <c r="BX7" s="3" t="s">
        <v>543</v>
      </c>
      <c r="BY7" s="3" t="s">
        <v>74</v>
      </c>
      <c r="BZ7" s="3" t="s">
        <v>11</v>
      </c>
      <c r="CA7" s="3" t="s">
        <v>11</v>
      </c>
      <c r="CB7" s="3" t="s">
        <v>11</v>
      </c>
      <c r="CC7" s="3" t="s">
        <v>11</v>
      </c>
      <c r="CD7" s="3" t="s">
        <v>11</v>
      </c>
      <c r="CE7" s="3" t="s">
        <v>11</v>
      </c>
      <c r="CF7" s="3" t="s">
        <v>543</v>
      </c>
      <c r="CG7" s="3" t="s">
        <v>74</v>
      </c>
      <c r="CH7" s="3" t="s">
        <v>11</v>
      </c>
      <c r="CI7" s="3" t="s">
        <v>11</v>
      </c>
      <c r="CJ7" s="3" t="s">
        <v>11</v>
      </c>
      <c r="CK7" s="3" t="s">
        <v>11</v>
      </c>
      <c r="CL7" s="3" t="s">
        <v>11</v>
      </c>
      <c r="CM7" s="3" t="s">
        <v>11</v>
      </c>
      <c r="CN7" s="3" t="s">
        <v>543</v>
      </c>
      <c r="CO7" s="3" t="s">
        <v>74</v>
      </c>
      <c r="CP7" s="3" t="s">
        <v>74</v>
      </c>
      <c r="CQ7" s="3" t="s">
        <v>12</v>
      </c>
      <c r="CR7" s="3" t="s">
        <v>13</v>
      </c>
      <c r="CS7" s="3" t="s">
        <v>14</v>
      </c>
      <c r="CT7" s="12"/>
      <c r="CU7" s="12"/>
      <c r="CV7" s="12"/>
      <c r="CW7" s="12"/>
      <c r="CX7" s="12"/>
      <c r="CY7" s="12"/>
      <c r="CZ7" s="12"/>
      <c r="DA7" s="12"/>
      <c r="DB7" s="12"/>
    </row>
    <row r="8" spans="3:106" ht="11.25" hidden="1" customHeight="1" x14ac:dyDescent="0.25">
      <c r="C8" s="2" t="s">
        <v>15</v>
      </c>
      <c r="AD8" s="2" t="str">
        <f t="array" ref="AD8">INDEX(IF(mark="Разметка",[1]Столбцы!$K$3:$N$104,[1]Столбцы!$P$3:$S$104),MATCH(AD$21,[1]Столбцы!$A$3:$A$104,0),MATCH($C8,IF(mark="Разметка",[1]Столбцы!$K$2:$N$2,[1]Столбцы!$P$2:$S$2),0))</f>
        <v>Версия организации</v>
      </c>
      <c r="AE8" s="2" t="str">
        <f t="array" ref="AE8">INDEX(IF(mark="Разметка",[1]Столбцы!$K$3:$N$104,[1]Столбцы!$P$3:$S$104),MATCH(AE$21,[1]Столбцы!$A$3:$A$104,0),MATCH($C8,IF(mark="Разметка",[1]Столбцы!$K$2:$N$2,[1]Столбцы!$P$2:$S$2),0))</f>
        <v>Версия организации</v>
      </c>
      <c r="AF8" s="2" t="str">
        <f t="array" ref="AF8">INDEX(IF(mark="Разметка",[1]Столбцы!$K$3:$N$104,[1]Столбцы!$P$3:$S$104),MATCH(AF$21,[1]Столбцы!$A$3:$A$104,0),MATCH($C8,IF(mark="Разметка",[1]Столбцы!$K$2:$N$2,[1]Столбцы!$P$2:$S$2),0))</f>
        <v>Версия организации</v>
      </c>
      <c r="AG8" s="2" t="str">
        <f t="array" ref="AG8">INDEX(IF(mark="Разметка",[1]Столбцы!$K$3:$N$104,[1]Столбцы!$P$3:$S$104),MATCH(AG$21,[1]Столбцы!$A$3:$A$104,0),MATCH($C8,IF(mark="Разметка",[1]Столбцы!$K$2:$N$2,[1]Столбцы!$P$2:$S$2),0))</f>
        <v>Версия организации</v>
      </c>
      <c r="AH8" s="2" t="str">
        <f t="array" ref="AH8">INDEX(IF(mark="Разметка",[1]Столбцы!$K$3:$N$104,[1]Столбцы!$P$3:$S$104),MATCH(AH$21,[1]Столбцы!$A$3:$A$104,0),MATCH($C8,IF(mark="Разметка",[1]Столбцы!$K$2:$N$2,[1]Столбцы!$P$2:$S$2),0))</f>
        <v>Версия организации</v>
      </c>
      <c r="AI8" s="2" t="str">
        <f t="array" ref="AI8">INDEX(IF(mark="Разметка",[1]Столбцы!$K$3:$N$104,[1]Столбцы!$P$3:$S$104),MATCH(AI$21,[1]Столбцы!$A$3:$A$104,0),MATCH($C8,IF(mark="Разметка",[1]Столбцы!$K$2:$N$2,[1]Столбцы!$P$2:$S$2),0))</f>
        <v>Версия регулятора</v>
      </c>
      <c r="AJ8" s="2" t="str">
        <f t="array" ref="AJ8">INDEX(IF(mark="Разметка",[1]Столбцы!$K$3:$N$104,[1]Столбцы!$P$3:$S$104),MATCH(AJ$21,[1]Столбцы!$A$3:$A$104,0),MATCH($C8,IF(mark="Разметка",[1]Столбцы!$K$2:$N$2,[1]Столбцы!$P$2:$S$2),0))</f>
        <v>Версия регулятора</v>
      </c>
      <c r="AK8" s="2" t="str">
        <f t="array" ref="AK8">INDEX(IF(mark="Разметка",[1]Столбцы!$K$3:$N$104,[1]Столбцы!$P$3:$S$104),MATCH(AK$21,[1]Столбцы!$A$3:$A$104,0),MATCH($C8,IF(mark="Разметка",[1]Столбцы!$K$2:$N$2,[1]Столбцы!$P$2:$S$2),0))</f>
        <v>Версия регулятора</v>
      </c>
      <c r="AL8" s="2" t="str">
        <f t="array" ref="AL8">INDEX(IF(mark="Разметка",[1]Столбцы!$K$3:$N$104,[1]Столбцы!$P$3:$S$104),MATCH(AL$21,[1]Столбцы!$A$3:$A$104,0),MATCH($C8,IF(mark="Разметка",[1]Столбцы!$K$2:$N$2,[1]Столбцы!$P$2:$S$2),0))</f>
        <v>Версия организации</v>
      </c>
      <c r="AM8" s="2" t="str">
        <f t="array" ref="AM8">INDEX(IF(mark="Разметка",[1]Столбцы!$K$3:$N$104,[1]Столбцы!$P$3:$S$104),MATCH(AM$21,[1]Столбцы!$A$3:$A$104,0),MATCH($C8,IF(mark="Разметка",[1]Столбцы!$K$2:$N$2,[1]Столбцы!$P$2:$S$2),0))</f>
        <v>Версия организации</v>
      </c>
      <c r="AN8" s="2" t="str">
        <f t="array" ref="AN8">INDEX(IF(mark="Разметка",[1]Столбцы!$K$3:$N$104,[1]Столбцы!$P$3:$S$104),MATCH(AN$21,[1]Столбцы!$A$3:$A$104,0),MATCH($C8,IF(mark="Разметка",[1]Столбцы!$K$2:$N$2,[1]Столбцы!$P$2:$S$2),0))</f>
        <v>Версия регулятора</v>
      </c>
      <c r="AO8" s="2" t="str">
        <f t="array" ref="AO8">INDEX(IF(mark="Разметка",[1]Столбцы!$K$3:$N$104,[1]Столбцы!$P$3:$S$104),MATCH(AO$21,[1]Столбцы!$A$3:$A$104,0),MATCH($C8,IF(mark="Разметка",[1]Столбцы!$K$2:$N$2,[1]Столбцы!$P$2:$S$2),0))</f>
        <v>Версия организации</v>
      </c>
      <c r="AP8" s="2" t="str">
        <f t="array" ref="AP8">INDEX(IF(mark="Разметка",[1]Столбцы!$K$3:$N$104,[1]Столбцы!$P$3:$S$104),MATCH(AP$21,[1]Столбцы!$A$3:$A$104,0),MATCH($C8,IF(mark="Разметка",[1]Столбцы!$K$2:$N$2,[1]Столбцы!$P$2:$S$2),0))</f>
        <v>Версия организации</v>
      </c>
      <c r="AQ8" s="2" t="str">
        <f t="array" ref="AQ8">INDEX(IF(mark="Разметка",[1]Столбцы!$K$3:$N$104,[1]Столбцы!$P$3:$S$104),MATCH(AQ$21,[1]Столбцы!$A$3:$A$104,0),MATCH($C8,IF(mark="Разметка",[1]Столбцы!$K$2:$N$2,[1]Столбцы!$P$2:$S$2),0))</f>
        <v>Версия организации</v>
      </c>
      <c r="AR8" s="2" t="str">
        <f t="array" ref="AR8">INDEX(IF(mark="Разметка",[1]Столбцы!$K$3:$N$104,[1]Столбцы!$P$3:$S$104),MATCH(AR$21,[1]Столбцы!$A$3:$A$104,0),MATCH($C8,IF(mark="Разметка",[1]Столбцы!$K$2:$N$2,[1]Столбцы!$P$2:$S$2),0))</f>
        <v>Версия регулятора</v>
      </c>
      <c r="AS8" s="2" t="str">
        <f t="array" ref="AS8">INDEX(IF(mark="Разметка",[1]Столбцы!$K$3:$N$104,[1]Столбцы!$P$3:$S$104),MATCH(AS$21,[1]Столбцы!$A$3:$A$104,0),MATCH($C8,IF(mark="Разметка",[1]Столбцы!$K$2:$N$2,[1]Столбцы!$P$2:$S$2),0))</f>
        <v>Версия регулятора</v>
      </c>
      <c r="AT8" s="2" t="str">
        <f t="array" ref="AT8">INDEX(IF(mark="Разметка",[1]Столбцы!$K$3:$N$104,[1]Столбцы!$P$3:$S$104),MATCH(AT$21,[1]Столбцы!$A$3:$A$104,0),MATCH($C8,IF(mark="Разметка",[1]Столбцы!$K$2:$N$2,[1]Столбцы!$P$2:$S$2),0))</f>
        <v>Версия регулятора</v>
      </c>
      <c r="AU8" s="2" t="str">
        <f t="array" ref="AU8">INDEX(IF(mark="Разметка",[1]Столбцы!$K$3:$N$104,[1]Столбцы!$P$3:$S$104),MATCH(AU$21,[1]Столбцы!$A$3:$A$104,0),MATCH($C8,IF(mark="Разметка",[1]Столбцы!$K$2:$N$2,[1]Столбцы!$P$2:$S$2),0))</f>
        <v>Версия регулятора</v>
      </c>
      <c r="AV8" s="2" t="str">
        <f t="array" ref="AV8">INDEX(IF(mark="Разметка",[1]Столбцы!$K$3:$N$104,[1]Столбцы!$P$3:$S$104),MATCH(AV$21,[1]Столбцы!$A$3:$A$104,0),MATCH($C8,IF(mark="Разметка",[1]Столбцы!$K$2:$N$2,[1]Столбцы!$P$2:$S$2),0))</f>
        <v>Версия организации</v>
      </c>
      <c r="AW8" s="2" t="str">
        <f t="array" ref="AW8">INDEX(IF(mark="Разметка",[1]Столбцы!$K$3:$N$104,[1]Столбцы!$P$3:$S$104),MATCH(AW$21,[1]Столбцы!$A$3:$A$104,0),MATCH($C8,IF(mark="Разметка",[1]Столбцы!$K$2:$N$2,[1]Столбцы!$P$2:$S$2),0))</f>
        <v>Версия организации</v>
      </c>
      <c r="AX8" s="2" t="str">
        <f t="array" ref="AX8">INDEX(IF(mark="Разметка",[1]Столбцы!$K$3:$N$104,[1]Столбцы!$P$3:$S$104),MATCH(AX$21,[1]Столбцы!$A$3:$A$104,0),MATCH($C8,IF(mark="Разметка",[1]Столбцы!$K$2:$N$2,[1]Столбцы!$P$2:$S$2),0))</f>
        <v>Версия организации</v>
      </c>
      <c r="AY8" s="2" t="str">
        <f t="array" ref="AY8">INDEX(IF(mark="Разметка",[1]Столбцы!$K$3:$N$104,[1]Столбцы!$P$3:$S$104),MATCH(AY$21,[1]Столбцы!$A$3:$A$104,0),MATCH($C8,IF(mark="Разметка",[1]Столбцы!$K$2:$N$2,[1]Столбцы!$P$2:$S$2),0))</f>
        <v>Версия регулятора</v>
      </c>
      <c r="AZ8" s="2" t="str">
        <f t="array" ref="AZ8">INDEX(IF(mark="Разметка",[1]Столбцы!$K$3:$N$104,[1]Столбцы!$P$3:$S$104),MATCH(AZ$21,[1]Столбцы!$A$3:$A$104,0),MATCH($C8,IF(mark="Разметка",[1]Столбцы!$K$2:$N$2,[1]Столбцы!$P$2:$S$2),0))</f>
        <v>Версия регулятора</v>
      </c>
      <c r="BA8" s="2" t="str">
        <f t="array" ref="BA8">INDEX(IF(mark="Разметка",[1]Столбцы!$K$3:$N$104,[1]Столбцы!$P$3:$S$104),MATCH(BA$21,[1]Столбцы!$A$3:$A$104,0),MATCH($C8,IF(mark="Разметка",[1]Столбцы!$K$2:$N$2,[1]Столбцы!$P$2:$S$2),0))</f>
        <v>Версия регулятора</v>
      </c>
      <c r="BB8" s="2" t="str">
        <f t="array" ref="BB8">INDEX(IF(mark="Разметка",[1]Столбцы!$K$3:$N$104,[1]Столбцы!$P$3:$S$104),MATCH(BB$21,[1]Столбцы!$A$3:$A$104,0),MATCH($C8,IF(mark="Разметка",[1]Столбцы!$K$2:$N$2,[1]Столбцы!$P$2:$S$2),0))</f>
        <v>Версия организации</v>
      </c>
      <c r="BC8" s="2" t="str">
        <f t="array" ref="BC8">INDEX(IF(mark="Разметка",[1]Столбцы!$K$3:$N$104,[1]Столбцы!$P$3:$S$104),MATCH(BC$21,[1]Столбцы!$A$3:$A$104,0),MATCH($C8,IF(mark="Разметка",[1]Столбцы!$K$2:$N$2,[1]Столбцы!$P$2:$S$2),0))</f>
        <v>Версия организации</v>
      </c>
      <c r="BD8" s="2" t="str">
        <f t="array" ref="BD8">INDEX(IF(mark="Разметка",[1]Столбцы!$K$3:$N$104,[1]Столбцы!$P$3:$S$104),MATCH(BD$21,[1]Столбцы!$A$3:$A$104,0),MATCH($C8,IF(mark="Разметка",[1]Столбцы!$K$2:$N$2,[1]Столбцы!$P$2:$S$2),0))</f>
        <v>Версия регулятора</v>
      </c>
      <c r="BE8" s="2" t="str">
        <f t="array" ref="BE8">INDEX(IF(mark="Разметка",[1]Столбцы!$K$3:$N$104,[1]Столбцы!$P$3:$S$104),MATCH(BE$21,[1]Столбцы!$A$3:$A$104,0),MATCH($C8,IF(mark="Разметка",[1]Столбцы!$K$2:$N$2,[1]Столбцы!$P$2:$S$2),0))</f>
        <v>Версия регулятора</v>
      </c>
      <c r="BF8" s="2" t="str">
        <f t="array" ref="BF8">INDEX(IF(mark="Разметка",[1]Столбцы!$K$3:$N$104,[1]Столбцы!$P$3:$S$104),MATCH(BF$21,[1]Столбцы!$A$3:$A$104,0),MATCH($C8,IF(mark="Разметка",[1]Столбцы!$K$2:$N$2,[1]Столбцы!$P$2:$S$2),0))</f>
        <v>Версия регулятора</v>
      </c>
      <c r="BG8" s="3" t="str">
        <f t="array" ref="BG8">BD8</f>
        <v>Версия регулятора</v>
      </c>
      <c r="BH8" s="3" t="str">
        <f t="array" ref="BH8">BG8</f>
        <v>Версия регулятора</v>
      </c>
      <c r="BI8" s="3" t="str">
        <f t="array" ref="BI8">BH8</f>
        <v>Версия регулятора</v>
      </c>
      <c r="BJ8" s="2" t="str">
        <f t="array" ref="BJ8">INDEX(IF(mark="Разметка",[1]Столбцы!$K$3:$N$104,[1]Столбцы!$P$3:$S$104),MATCH(BJ$21,[1]Столбцы!$A$3:$A$104,0),MATCH($C8,IF(mark="Разметка",[1]Столбцы!$K$2:$N$2,[1]Столбцы!$P$2:$S$2),0))</f>
        <v>Версия организации</v>
      </c>
      <c r="BK8" s="2" t="str">
        <f t="array" ref="BK8">INDEX(IF(mark="Разметка",[1]Столбцы!$K$3:$N$104,[1]Столбцы!$P$3:$S$104),MATCH(BK$21,[1]Столбцы!$A$3:$A$104,0),MATCH($C8,IF(mark="Разметка",[1]Столбцы!$K$2:$N$2,[1]Столбцы!$P$2:$S$2),0))</f>
        <v>Версия организации</v>
      </c>
      <c r="BL8" s="2" t="str">
        <f t="array" ref="BL8">INDEX(IF(mark="Разметка",[1]Столбцы!$K$3:$N$104,[1]Столбцы!$P$3:$S$104),MATCH(BL$21,[1]Столбцы!$A$3:$A$104,0),MATCH($C8,IF(mark="Разметка",[1]Столбцы!$K$2:$N$2,[1]Столбцы!$P$2:$S$2),0))</f>
        <v>Версия организации</v>
      </c>
      <c r="BM8" s="2" t="str">
        <f t="array" ref="BM8">INDEX(IF(mark="Разметка",[1]Столбцы!$K$3:$N$104,[1]Столбцы!$P$3:$S$104),MATCH(BM$21,[1]Столбцы!$A$3:$A$104,0),MATCH($C8,IF(mark="Разметка",[1]Столбцы!$K$2:$N$2,[1]Столбцы!$P$2:$S$2),0))</f>
        <v>Версия регулятора</v>
      </c>
      <c r="BN8" s="2" t="str">
        <f t="array" ref="BN8">INDEX(IF(mark="Разметка",[1]Столбцы!$K$3:$N$104,[1]Столбцы!$P$3:$S$104),MATCH(BN$21,[1]Столбцы!$A$3:$A$104,0),MATCH($C8,IF(mark="Разметка",[1]Столбцы!$K$2:$N$2,[1]Столбцы!$P$2:$S$2),0))</f>
        <v>Версия регулятора</v>
      </c>
      <c r="BO8" s="2" t="str">
        <f t="array" ref="BO8">INDEX(IF(mark="Разметка",[1]Столбцы!$K$3:$N$104,[1]Столбцы!$P$3:$S$104),MATCH(BO$21,[1]Столбцы!$A$3:$A$104,0),MATCH($C8,IF(mark="Разметка",[1]Столбцы!$K$2:$N$2,[1]Столбцы!$P$2:$S$2),0))</f>
        <v>Версия регулятора</v>
      </c>
      <c r="BP8" s="3" t="str">
        <f t="array" ref="BP8">BM8</f>
        <v>Версия регулятора</v>
      </c>
      <c r="BQ8" s="3" t="str">
        <f t="array" ref="BQ8">BP8</f>
        <v>Версия регулятора</v>
      </c>
      <c r="BR8" s="2" t="str">
        <f t="array" ref="BR8">INDEX(IF(mark="Разметка",[1]Столбцы!$K$3:$N$104,[1]Столбцы!$P$3:$S$104),MATCH(BR$21,[1]Столбцы!$A$3:$A$104,0),MATCH($C8,IF(mark="Разметка",[1]Столбцы!$K$2:$N$2,[1]Столбцы!$P$2:$S$2),0))</f>
        <v>Версия организации</v>
      </c>
      <c r="BS8" s="2" t="str">
        <f t="array" ref="BS8">INDEX(IF(mark="Разметка",[1]Столбцы!$K$3:$N$104,[1]Столбцы!$P$3:$S$104),MATCH(BS$21,[1]Столбцы!$A$3:$A$104,0),MATCH($C8,IF(mark="Разметка",[1]Столбцы!$K$2:$N$2,[1]Столбцы!$P$2:$S$2),0))</f>
        <v>Версия организации</v>
      </c>
      <c r="BT8" s="2" t="str">
        <f t="array" ref="BT8">INDEX(IF(mark="Разметка",[1]Столбцы!$K$3:$N$104,[1]Столбцы!$P$3:$S$104),MATCH(BT$21,[1]Столбцы!$A$3:$A$104,0),MATCH($C8,IF(mark="Разметка",[1]Столбцы!$K$2:$N$2,[1]Столбцы!$P$2:$S$2),0))</f>
        <v>Версия организации</v>
      </c>
      <c r="BU8" s="2" t="str">
        <f t="array" ref="BU8">INDEX(IF(mark="Разметка",[1]Столбцы!$K$3:$N$104,[1]Столбцы!$P$3:$S$104),MATCH(BU$21,[1]Столбцы!$A$3:$A$104,0),MATCH($C8,IF(mark="Разметка",[1]Столбцы!$K$2:$N$2,[1]Столбцы!$P$2:$S$2),0))</f>
        <v>Версия регулятора</v>
      </c>
      <c r="BV8" s="2" t="str">
        <f t="array" ref="BV8">INDEX(IF(mark="Разметка",[1]Столбцы!$K$3:$N$104,[1]Столбцы!$P$3:$S$104),MATCH(BV$21,[1]Столбцы!$A$3:$A$104,0),MATCH($C8,IF(mark="Разметка",[1]Столбцы!$K$2:$N$2,[1]Столбцы!$P$2:$S$2),0))</f>
        <v>Версия регулятора</v>
      </c>
      <c r="BW8" s="2" t="str">
        <f t="array" ref="BW8">INDEX(IF(mark="Разметка",[1]Столбцы!$K$3:$N$104,[1]Столбцы!$P$3:$S$104),MATCH(BW$21,[1]Столбцы!$A$3:$A$104,0),MATCH($C8,IF(mark="Разметка",[1]Столбцы!$K$2:$N$2,[1]Столбцы!$P$2:$S$2),0))</f>
        <v>Версия регулятора</v>
      </c>
      <c r="BX8" s="3" t="str">
        <f t="array" ref="BX8">BU8</f>
        <v>Версия регулятора</v>
      </c>
      <c r="BY8" s="3" t="str">
        <f t="array" ref="BY8">BX8</f>
        <v>Версия регулятора</v>
      </c>
      <c r="BZ8" s="2" t="str">
        <f t="array" ref="BZ8">INDEX(IF(mark="Разметка",[1]Столбцы!$K$3:$N$104,[1]Столбцы!$P$3:$S$104),MATCH(BZ$21,[1]Столбцы!$A$3:$A$104,0),MATCH($C8,IF(mark="Разметка",[1]Столбцы!$K$2:$N$2,[1]Столбцы!$P$2:$S$2),0))</f>
        <v>Версия организации</v>
      </c>
      <c r="CA8" s="2" t="str">
        <f t="array" ref="CA8">INDEX(IF(mark="Разметка",[1]Столбцы!$K$3:$N$104,[1]Столбцы!$P$3:$S$104),MATCH(CA$21,[1]Столбцы!$A$3:$A$104,0),MATCH($C8,IF(mark="Разметка",[1]Столбцы!$K$2:$N$2,[1]Столбцы!$P$2:$S$2),0))</f>
        <v>Версия организации</v>
      </c>
      <c r="CB8" s="2" t="str">
        <f t="array" ref="CB8">INDEX(IF(mark="Разметка",[1]Столбцы!$K$3:$N$104,[1]Столбцы!$P$3:$S$104),MATCH(CB$21,[1]Столбцы!$A$3:$A$104,0),MATCH($C8,IF(mark="Разметка",[1]Столбцы!$K$2:$N$2,[1]Столбцы!$P$2:$S$2),0))</f>
        <v>Версия организации</v>
      </c>
      <c r="CC8" s="2" t="str">
        <f t="array" ref="CC8">INDEX(IF(mark="Разметка",[1]Столбцы!$K$3:$N$104,[1]Столбцы!$P$3:$S$104),MATCH(CC$21,[1]Столбцы!$A$3:$A$104,0),MATCH($C8,IF(mark="Разметка",[1]Столбцы!$K$2:$N$2,[1]Столбцы!$P$2:$S$2),0))</f>
        <v>Версия регулятора</v>
      </c>
      <c r="CD8" s="2" t="str">
        <f t="array" ref="CD8">INDEX(IF(mark="Разметка",[1]Столбцы!$K$3:$N$104,[1]Столбцы!$P$3:$S$104),MATCH(CD$21,[1]Столбцы!$A$3:$A$104,0),MATCH($C8,IF(mark="Разметка",[1]Столбцы!$K$2:$N$2,[1]Столбцы!$P$2:$S$2),0))</f>
        <v>Версия регулятора</v>
      </c>
      <c r="CE8" s="2" t="str">
        <f t="array" ref="CE8">INDEX(IF(mark="Разметка",[1]Столбцы!$K$3:$N$104,[1]Столбцы!$P$3:$S$104),MATCH(CE$21,[1]Столбцы!$A$3:$A$104,0),MATCH($C8,IF(mark="Разметка",[1]Столбцы!$K$2:$N$2,[1]Столбцы!$P$2:$S$2),0))</f>
        <v>Версия регулятора</v>
      </c>
      <c r="CF8" s="3" t="str">
        <f t="array" ref="CF8">CC8</f>
        <v>Версия регулятора</v>
      </c>
      <c r="CG8" s="3" t="str">
        <f t="array" ref="CG8">CF8</f>
        <v>Версия регулятора</v>
      </c>
      <c r="CH8" s="2" t="str">
        <f t="array" ref="CH8">INDEX(IF(mark="Разметка",[1]Столбцы!$K$3:$N$104,[1]Столбцы!$P$3:$S$104),MATCH(CH$21,[1]Столбцы!$A$3:$A$104,0),MATCH($C8,IF(mark="Разметка",[1]Столбцы!$K$2:$N$2,[1]Столбцы!$P$2:$S$2),0))</f>
        <v>Версия организации</v>
      </c>
      <c r="CI8" s="2" t="str">
        <f t="array" ref="CI8">INDEX(IF(mark="Разметка",[1]Столбцы!$K$3:$N$104,[1]Столбцы!$P$3:$S$104),MATCH(CI$21,[1]Столбцы!$A$3:$A$104,0),MATCH($C8,IF(mark="Разметка",[1]Столбцы!$K$2:$N$2,[1]Столбцы!$P$2:$S$2),0))</f>
        <v>Версия организации</v>
      </c>
      <c r="CJ8" s="2" t="str">
        <f t="array" ref="CJ8">INDEX(IF(mark="Разметка",[1]Столбцы!$K$3:$N$104,[1]Столбцы!$P$3:$S$104),MATCH(CJ$21,[1]Столбцы!$A$3:$A$104,0),MATCH($C8,IF(mark="Разметка",[1]Столбцы!$K$2:$N$2,[1]Столбцы!$P$2:$S$2),0))</f>
        <v>Версия организации</v>
      </c>
      <c r="CK8" s="2" t="str">
        <f t="array" ref="CK8">INDEX(IF(mark="Разметка",[1]Столбцы!$K$3:$N$104,[1]Столбцы!$P$3:$S$104),MATCH(CK$21,[1]Столбцы!$A$3:$A$104,0),MATCH($C8,IF(mark="Разметка",[1]Столбцы!$K$2:$N$2,[1]Столбцы!$P$2:$S$2),0))</f>
        <v>Версия регулятора</v>
      </c>
      <c r="CL8" s="2" t="str">
        <f t="array" ref="CL8">INDEX(IF(mark="Разметка",[1]Столбцы!$K$3:$N$104,[1]Столбцы!$P$3:$S$104),MATCH(CL$21,[1]Столбцы!$A$3:$A$104,0),MATCH($C8,IF(mark="Разметка",[1]Столбцы!$K$2:$N$2,[1]Столбцы!$P$2:$S$2),0))</f>
        <v>Версия регулятора</v>
      </c>
      <c r="CM8" s="2" t="str">
        <f t="array" ref="CM8">INDEX(IF(mark="Разметка",[1]Столбцы!$K$3:$N$104,[1]Столбцы!$P$3:$S$104),MATCH(CM$21,[1]Столбцы!$A$3:$A$104,0),MATCH($C8,IF(mark="Разметка",[1]Столбцы!$K$2:$N$2,[1]Столбцы!$P$2:$S$2),0))</f>
        <v>Версия регулятора</v>
      </c>
      <c r="CN8" s="3" t="str">
        <f t="array" ref="CN8">CK8</f>
        <v>Версия регулятора</v>
      </c>
      <c r="CO8" s="3" t="str">
        <f t="array" ref="CO8">CN8</f>
        <v>Версия регулятора</v>
      </c>
      <c r="CP8" s="2" t="str">
        <f t="array" ref="CP8">INDEX([1]Столбцы!$K$3:$N$104,MATCH(CP$21,[1]Столбцы!$B$3:$B$104,0),MATCH($C8,[1]Столбцы!$K$2:$N$2,0))</f>
        <v>Версия организации</v>
      </c>
      <c r="CQ8" s="2" t="str">
        <f t="array" ref="CQ8">INDEX([1]Столбцы!$K$3:$N$104,MATCH(CQ$21,[1]Столбцы!$B$3:$B$104,0),MATCH($C8,[1]Столбцы!$K$2:$N$2,0))</f>
        <v>Версия регулятора</v>
      </c>
      <c r="CR8" s="3" t="str">
        <f t="array" ref="CR8">CQ8</f>
        <v>Версия регулятора</v>
      </c>
      <c r="CS8" s="3" t="str">
        <f t="array" ref="CS8">CR8</f>
        <v>Версия регулятора</v>
      </c>
      <c r="CT8" s="12"/>
      <c r="CU8" s="12"/>
      <c r="CV8" s="12"/>
      <c r="CW8" s="12"/>
      <c r="CX8" s="12"/>
      <c r="CY8" s="12"/>
      <c r="CZ8" s="12"/>
      <c r="DA8" s="12"/>
      <c r="DB8" s="12"/>
    </row>
    <row r="9" spans="3:106" ht="14.25" hidden="1" customHeight="1" x14ac:dyDescent="0.25">
      <c r="C9" s="2" t="s">
        <v>16</v>
      </c>
      <c r="AD9" s="2" t="str">
        <f t="array" ref="AD9">INDEX(IF(mark="Разметка",[1]Столбцы!$K$3:$N$104,[1]Столбцы!$P$3:$S$104),MATCH(AD$21,[1]Столбцы!$A$3:$A$104,0),MATCH($C9,IF(mark="Разметка",[1]Столбцы!$K$2:$N$2,[1]Столбцы!$P$2:$S$2),0))</f>
        <v>Год</v>
      </c>
      <c r="AE9" s="2" t="str">
        <f t="array" ref="AE9">INDEX(IF(mark="Разметка",[1]Столбцы!$K$3:$N$104,[1]Столбцы!$P$3:$S$104),MATCH(AE$21,[1]Столбцы!$A$3:$A$104,0),MATCH($C9,IF(mark="Разметка",[1]Столбцы!$K$2:$N$2,[1]Столбцы!$P$2:$S$2),0))</f>
        <v>Год</v>
      </c>
      <c r="AF9" s="2" t="str">
        <f t="array" ref="AF9">INDEX(IF(mark="Разметка",[1]Столбцы!$K$3:$N$104,[1]Столбцы!$P$3:$S$104),MATCH(AF$21,[1]Столбцы!$A$3:$A$104,0),MATCH($C9,IF(mark="Разметка",[1]Столбцы!$K$2:$N$2,[1]Столбцы!$P$2:$S$2),0))</f>
        <v>Год</v>
      </c>
      <c r="AG9" s="2" t="str">
        <f t="array" ref="AG9">INDEX(IF(mark="Разметка",[1]Столбцы!$K$3:$N$104,[1]Столбцы!$P$3:$S$104),MATCH(AG$21,[1]Столбцы!$A$3:$A$104,0),MATCH($C9,IF(mark="Разметка",[1]Столбцы!$K$2:$N$2,[1]Столбцы!$P$2:$S$2),0))</f>
        <v>I</v>
      </c>
      <c r="AH9" s="2" t="str">
        <f t="array" ref="AH9">INDEX(IF(mark="Разметка",[1]Столбцы!$K$3:$N$104,[1]Столбцы!$P$3:$S$104),MATCH(AH$21,[1]Столбцы!$A$3:$A$104,0),MATCH($C9,IF(mark="Разметка",[1]Столбцы!$K$2:$N$2,[1]Столбцы!$P$2:$S$2),0))</f>
        <v>II</v>
      </c>
      <c r="AI9" s="2" t="str">
        <f t="array" ref="AI9">INDEX(IF(mark="Разметка",[1]Столбцы!$K$3:$N$104,[1]Столбцы!$P$3:$S$104),MATCH(AI$21,[1]Столбцы!$A$3:$A$104,0),MATCH($C9,IF(mark="Разметка",[1]Столбцы!$K$2:$N$2,[1]Столбцы!$P$2:$S$2),0))</f>
        <v>Год</v>
      </c>
      <c r="AJ9" s="2" t="str">
        <f t="array" ref="AJ9">INDEX(IF(mark="Разметка",[1]Столбцы!$K$3:$N$104,[1]Столбцы!$P$3:$S$104),MATCH(AJ$21,[1]Столбцы!$A$3:$A$104,0),MATCH($C9,IF(mark="Разметка",[1]Столбцы!$K$2:$N$2,[1]Столбцы!$P$2:$S$2),0))</f>
        <v>I</v>
      </c>
      <c r="AK9" s="2" t="str">
        <f t="array" ref="AK9">INDEX(IF(mark="Разметка",[1]Столбцы!$K$3:$N$104,[1]Столбцы!$P$3:$S$104),MATCH(AK$21,[1]Столбцы!$A$3:$A$104,0),MATCH($C9,IF(mark="Разметка",[1]Столбцы!$K$2:$N$2,[1]Столбцы!$P$2:$S$2),0))</f>
        <v>II</v>
      </c>
      <c r="AL9" s="2" t="str">
        <f t="array" ref="AL9">INDEX(IF(mark="Разметка",[1]Столбцы!$K$3:$N$104,[1]Столбцы!$P$3:$S$104),MATCH(AL$21,[1]Столбцы!$A$3:$A$104,0),MATCH($C9,IF(mark="Разметка",[1]Столбцы!$K$2:$N$2,[1]Столбцы!$P$2:$S$2),0))</f>
        <v>I</v>
      </c>
      <c r="AM9" s="2" t="str">
        <f t="array" ref="AM9">INDEX(IF(mark="Разметка",[1]Столбцы!$K$3:$N$104,[1]Столбцы!$P$3:$S$104),MATCH(AM$21,[1]Столбцы!$A$3:$A$104,0),MATCH($C9,IF(mark="Разметка",[1]Столбцы!$K$2:$N$2,[1]Столбцы!$P$2:$S$2),0))</f>
        <v>II</v>
      </c>
      <c r="AN9" s="2" t="str">
        <f t="array" ref="AN9">INDEX(IF(mark="Разметка",[1]Столбцы!$K$3:$N$104,[1]Столбцы!$P$3:$S$104),MATCH(AN$21,[1]Столбцы!$A$3:$A$104,0),MATCH($C9,IF(mark="Разметка",[1]Столбцы!$K$2:$N$2,[1]Столбцы!$P$2:$S$2),0))</f>
        <v>Год</v>
      </c>
      <c r="AO9" s="2" t="str">
        <f t="array" ref="AO9">INDEX(IF(mark="Разметка",[1]Столбцы!$K$3:$N$104,[1]Столбцы!$P$3:$S$104),MATCH(AO$21,[1]Столбцы!$A$3:$A$104,0),MATCH($C9,IF(mark="Разметка",[1]Столбцы!$K$2:$N$2,[1]Столбцы!$P$2:$S$2),0))</f>
        <v>Год</v>
      </c>
      <c r="AP9" s="2" t="str">
        <f t="array" ref="AP9">INDEX(IF(mark="Разметка",[1]Столбцы!$K$3:$N$104,[1]Столбцы!$P$3:$S$104),MATCH(AP$21,[1]Столбцы!$A$3:$A$104,0),MATCH($C9,IF(mark="Разметка",[1]Столбцы!$K$2:$N$2,[1]Столбцы!$P$2:$S$2),0))</f>
        <v>I</v>
      </c>
      <c r="AQ9" s="2" t="str">
        <f t="array" ref="AQ9">INDEX(IF(mark="Разметка",[1]Столбцы!$K$3:$N$104,[1]Столбцы!$P$3:$S$104),MATCH(AQ$21,[1]Столбцы!$A$3:$A$104,0),MATCH($C9,IF(mark="Разметка",[1]Столбцы!$K$2:$N$2,[1]Столбцы!$P$2:$S$2),0))</f>
        <v>II</v>
      </c>
      <c r="AR9" s="2" t="str">
        <f t="array" ref="AR9">INDEX(IF(mark="Разметка",[1]Столбцы!$K$3:$N$104,[1]Столбцы!$P$3:$S$104),MATCH(AR$21,[1]Столбцы!$A$3:$A$104,0),MATCH($C9,IF(mark="Разметка",[1]Столбцы!$K$2:$N$2,[1]Столбцы!$P$2:$S$2),0))</f>
        <v>Год</v>
      </c>
      <c r="AS9" s="2" t="str">
        <f t="array" ref="AS9">INDEX(IF(mark="Разметка",[1]Столбцы!$K$3:$N$104,[1]Столбцы!$P$3:$S$104),MATCH(AS$21,[1]Столбцы!$A$3:$A$104,0),MATCH($C9,IF(mark="Разметка",[1]Столбцы!$K$2:$N$2,[1]Столбцы!$P$2:$S$2),0))</f>
        <v>I</v>
      </c>
      <c r="AT9" s="2" t="str">
        <f t="array" ref="AT9">INDEX(IF(mark="Разметка",[1]Столбцы!$K$3:$N$104,[1]Столбцы!$P$3:$S$104),MATCH(AT$21,[1]Столбцы!$A$3:$A$104,0),MATCH($C9,IF(mark="Разметка",[1]Столбцы!$K$2:$N$2,[1]Столбцы!$P$2:$S$2),0))</f>
        <v>II</v>
      </c>
      <c r="AU9" s="2" t="str">
        <f t="array" ref="AU9">INDEX(IF(mark="Разметка",[1]Столбцы!$K$3:$N$104,[1]Столбцы!$P$3:$S$104),MATCH(AU$21,[1]Столбцы!$A$3:$A$104,0),MATCH($C9,IF(mark="Разметка",[1]Столбцы!$K$2:$N$2,[1]Столбцы!$P$2:$S$2),0))</f>
        <v>Год</v>
      </c>
      <c r="AV9" s="2" t="str">
        <f t="array" ref="AV9">INDEX(IF(mark="Разметка",[1]Столбцы!$K$3:$N$104,[1]Столбцы!$P$3:$S$104),MATCH(AV$21,[1]Столбцы!$A$3:$A$104,0),MATCH($C9,IF(mark="Разметка",[1]Столбцы!$K$2:$N$2,[1]Столбцы!$P$2:$S$2),0))</f>
        <v>Год</v>
      </c>
      <c r="AW9" s="2" t="str">
        <f t="array" ref="AW9">INDEX(IF(mark="Разметка",[1]Столбцы!$K$3:$N$104,[1]Столбцы!$P$3:$S$104),MATCH(AW$21,[1]Столбцы!$A$3:$A$104,0),MATCH($C9,IF(mark="Разметка",[1]Столбцы!$K$2:$N$2,[1]Столбцы!$P$2:$S$2),0))</f>
        <v>I</v>
      </c>
      <c r="AX9" s="2" t="str">
        <f t="array" ref="AX9">INDEX(IF(mark="Разметка",[1]Столбцы!$K$3:$N$104,[1]Столбцы!$P$3:$S$104),MATCH(AX$21,[1]Столбцы!$A$3:$A$104,0),MATCH($C9,IF(mark="Разметка",[1]Столбцы!$K$2:$N$2,[1]Столбцы!$P$2:$S$2),0))</f>
        <v>II</v>
      </c>
      <c r="AY9" s="2" t="str">
        <f t="array" ref="AY9">INDEX(IF(mark="Разметка",[1]Столбцы!$K$3:$N$104,[1]Столбцы!$P$3:$S$104),MATCH(AY$21,[1]Столбцы!$A$3:$A$104,0),MATCH($C9,IF(mark="Разметка",[1]Столбцы!$K$2:$N$2,[1]Столбцы!$P$2:$S$2),0))</f>
        <v>Год</v>
      </c>
      <c r="AZ9" s="2" t="str">
        <f t="array" ref="AZ9">INDEX(IF(mark="Разметка",[1]Столбцы!$K$3:$N$104,[1]Столбцы!$P$3:$S$104),MATCH(AZ$21,[1]Столбцы!$A$3:$A$104,0),MATCH($C9,IF(mark="Разметка",[1]Столбцы!$K$2:$N$2,[1]Столбцы!$P$2:$S$2),0))</f>
        <v>I</v>
      </c>
      <c r="BA9" s="2" t="str">
        <f t="array" ref="BA9">INDEX(IF(mark="Разметка",[1]Столбцы!$K$3:$N$104,[1]Столбцы!$P$3:$S$104),MATCH(BA$21,[1]Столбцы!$A$3:$A$104,0),MATCH($C9,IF(mark="Разметка",[1]Столбцы!$K$2:$N$2,[1]Столбцы!$P$2:$S$2),0))</f>
        <v>II</v>
      </c>
      <c r="BB9" s="2" t="str">
        <f t="array" ref="BB9">INDEX(IF(mark="Разметка",[1]Столбцы!$K$3:$N$104,[1]Столбцы!$P$3:$S$104),MATCH(BB$21,[1]Столбцы!$A$3:$A$104,0),MATCH($C9,IF(mark="Разметка",[1]Столбцы!$K$2:$N$2,[1]Столбцы!$P$2:$S$2),0))</f>
        <v>I</v>
      </c>
      <c r="BC9" s="2" t="str">
        <f t="array" ref="BC9">INDEX(IF(mark="Разметка",[1]Столбцы!$K$3:$N$104,[1]Столбцы!$P$3:$S$104),MATCH(BC$21,[1]Столбцы!$A$3:$A$104,0),MATCH($C9,IF(mark="Разметка",[1]Столбцы!$K$2:$N$2,[1]Столбцы!$P$2:$S$2),0))</f>
        <v>II</v>
      </c>
      <c r="BD9" s="2" t="str">
        <f t="array" ref="BD9">INDEX(IF(mark="Разметка",[1]Столбцы!$K$3:$N$104,[1]Столбцы!$P$3:$S$104),MATCH(BD$21,[1]Столбцы!$A$3:$A$104,0),MATCH($C9,IF(mark="Разметка",[1]Столбцы!$K$2:$N$2,[1]Столбцы!$P$2:$S$2),0))</f>
        <v>Год</v>
      </c>
      <c r="BE9" s="2" t="str">
        <f t="array" ref="BE9">INDEX(IF(mark="Разметка",[1]Столбцы!$K$3:$N$104,[1]Столбцы!$P$3:$S$104),MATCH(BE$21,[1]Столбцы!$A$3:$A$104,0),MATCH($C9,IF(mark="Разметка",[1]Столбцы!$K$2:$N$2,[1]Столбцы!$P$2:$S$2),0))</f>
        <v>I</v>
      </c>
      <c r="BF9" s="2" t="str">
        <f t="array" ref="BF9">INDEX(IF(mark="Разметка",[1]Столбцы!$K$3:$N$104,[1]Столбцы!$P$3:$S$104),MATCH(BF$21,[1]Столбцы!$A$3:$A$104,0),MATCH($C9,IF(mark="Разметка",[1]Столбцы!$K$2:$N$2,[1]Столбцы!$P$2:$S$2),0))</f>
        <v>II</v>
      </c>
      <c r="BG9" s="2" t="str">
        <f t="array" ref="BG9">INDEX(IF(mark="Разметка",[1]Столбцы!$K$3:$N$104,[1]Столбцы!$P$3:$S$104),MATCH(BG$21,[1]Столбцы!$A$3:$A$104,0),MATCH($C9,IF(mark="Разметка",[1]Столбцы!$K$2:$N$2,[1]Столбцы!$P$2:$S$2),0))</f>
        <v>Год</v>
      </c>
      <c r="BH9" s="2" t="str">
        <f t="array" ref="BH9">INDEX(IF(mark="Разметка",[1]Столбцы!$K$3:$N$104,[1]Столбцы!$P$3:$S$104),MATCH(BH$21,[1]Столбцы!$A$3:$A$104,0),MATCH($C9,IF(mark="Разметка",[1]Столбцы!$K$2:$N$2,[1]Столбцы!$P$2:$S$2),0))</f>
        <v>Год</v>
      </c>
      <c r="BI9" s="2" t="str">
        <f t="array" ref="BI9">INDEX(IF(mark="Разметка",[1]Столбцы!$K$3:$N$104,[1]Столбцы!$P$3:$S$104),MATCH(BI$21,[1]Столбцы!$A$3:$A$104,0),MATCH($C9,IF(mark="Разметка",[1]Столбцы!$K$2:$N$2,[1]Столбцы!$P$2:$S$2),0))</f>
        <v>Год</v>
      </c>
      <c r="BJ9" s="2" t="str">
        <f t="array" ref="BJ9">INDEX(IF(mark="Разметка",[1]Столбцы!$K$3:$N$104,[1]Столбцы!$P$3:$S$104),MATCH(BJ$21,[1]Столбцы!$A$3:$A$104,0),MATCH($C9,IF(mark="Разметка",[1]Столбцы!$K$2:$N$2,[1]Столбцы!$P$2:$S$2),0))</f>
        <v>Год</v>
      </c>
      <c r="BK9" s="2" t="str">
        <f t="array" ref="BK9">INDEX(IF(mark="Разметка",[1]Столбцы!$K$3:$N$104,[1]Столбцы!$P$3:$S$104),MATCH(BK$21,[1]Столбцы!$A$3:$A$104,0),MATCH($C9,IF(mark="Разметка",[1]Столбцы!$K$2:$N$2,[1]Столбцы!$P$2:$S$2),0))</f>
        <v>I</v>
      </c>
      <c r="BL9" s="2" t="str">
        <f t="array" ref="BL9">INDEX(IF(mark="Разметка",[1]Столбцы!$K$3:$N$104,[1]Столбцы!$P$3:$S$104),MATCH(BL$21,[1]Столбцы!$A$3:$A$104,0),MATCH($C9,IF(mark="Разметка",[1]Столбцы!$K$2:$N$2,[1]Столбцы!$P$2:$S$2),0))</f>
        <v>II</v>
      </c>
      <c r="BM9" s="2" t="str">
        <f t="array" ref="BM9">INDEX(IF(mark="Разметка",[1]Столбцы!$K$3:$N$104,[1]Столбцы!$P$3:$S$104),MATCH(BM$21,[1]Столбцы!$A$3:$A$104,0),MATCH($C9,IF(mark="Разметка",[1]Столбцы!$K$2:$N$2,[1]Столбцы!$P$2:$S$2),0))</f>
        <v>Год</v>
      </c>
      <c r="BN9" s="2" t="str">
        <f t="array" ref="BN9">INDEX(IF(mark="Разметка",[1]Столбцы!$K$3:$N$104,[1]Столбцы!$P$3:$S$104),MATCH(BN$21,[1]Столбцы!$A$3:$A$104,0),MATCH($C9,IF(mark="Разметка",[1]Столбцы!$K$2:$N$2,[1]Столбцы!$P$2:$S$2),0))</f>
        <v>I</v>
      </c>
      <c r="BO9" s="2" t="str">
        <f t="array" ref="BO9">INDEX(IF(mark="Разметка",[1]Столбцы!$K$3:$N$104,[1]Столбцы!$P$3:$S$104),MATCH(BO$21,[1]Столбцы!$A$3:$A$104,0),MATCH($C9,IF(mark="Разметка",[1]Столбцы!$K$2:$N$2,[1]Столбцы!$P$2:$S$2),0))</f>
        <v>II</v>
      </c>
      <c r="BP9" s="2" t="str">
        <f t="array" ref="BP9">INDEX(IF(mark="Разметка",[1]Столбцы!$K$3:$N$104,[1]Столбцы!$P$3:$S$104),MATCH(BP$21,[1]Столбцы!$A$3:$A$104,0),MATCH($C9,IF(mark="Разметка",[1]Столбцы!$K$2:$N$2,[1]Столбцы!$P$2:$S$2),0))</f>
        <v>Год</v>
      </c>
      <c r="BQ9" s="2" t="str">
        <f t="array" ref="BQ9">INDEX(IF(mark="Разметка",[1]Столбцы!$K$3:$N$104,[1]Столбцы!$P$3:$S$104),MATCH(BQ$21,[1]Столбцы!$A$3:$A$104,0),MATCH($C9,IF(mark="Разметка",[1]Столбцы!$K$2:$N$2,[1]Столбцы!$P$2:$S$2),0))</f>
        <v>Год</v>
      </c>
      <c r="BR9" s="2" t="str">
        <f t="array" ref="BR9">INDEX(IF(mark="Разметка",[1]Столбцы!$K$3:$N$104,[1]Столбцы!$P$3:$S$104),MATCH(BR$21,[1]Столбцы!$A$3:$A$104,0),MATCH($C9,IF(mark="Разметка",[1]Столбцы!$K$2:$N$2,[1]Столбцы!$P$2:$S$2),0))</f>
        <v>Год</v>
      </c>
      <c r="BS9" s="2" t="str">
        <f t="array" ref="BS9">INDEX(IF(mark="Разметка",[1]Столбцы!$K$3:$N$104,[1]Столбцы!$P$3:$S$104),MATCH(BS$21,[1]Столбцы!$A$3:$A$104,0),MATCH($C9,IF(mark="Разметка",[1]Столбцы!$K$2:$N$2,[1]Столбцы!$P$2:$S$2),0))</f>
        <v>I</v>
      </c>
      <c r="BT9" s="2" t="str">
        <f t="array" ref="BT9">INDEX(IF(mark="Разметка",[1]Столбцы!$K$3:$N$104,[1]Столбцы!$P$3:$S$104),MATCH(BT$21,[1]Столбцы!$A$3:$A$104,0),MATCH($C9,IF(mark="Разметка",[1]Столбцы!$K$2:$N$2,[1]Столбцы!$P$2:$S$2),0))</f>
        <v>II</v>
      </c>
      <c r="BU9" s="2" t="str">
        <f t="array" ref="BU9">INDEX(IF(mark="Разметка",[1]Столбцы!$K$3:$N$104,[1]Столбцы!$P$3:$S$104),MATCH(BU$21,[1]Столбцы!$A$3:$A$104,0),MATCH($C9,IF(mark="Разметка",[1]Столбцы!$K$2:$N$2,[1]Столбцы!$P$2:$S$2),0))</f>
        <v>Год</v>
      </c>
      <c r="BV9" s="2" t="str">
        <f t="array" ref="BV9">INDEX(IF(mark="Разметка",[1]Столбцы!$K$3:$N$104,[1]Столбцы!$P$3:$S$104),MATCH(BV$21,[1]Столбцы!$A$3:$A$104,0),MATCH($C9,IF(mark="Разметка",[1]Столбцы!$K$2:$N$2,[1]Столбцы!$P$2:$S$2),0))</f>
        <v>I</v>
      </c>
      <c r="BW9" s="2" t="str">
        <f t="array" ref="BW9">INDEX(IF(mark="Разметка",[1]Столбцы!$K$3:$N$104,[1]Столбцы!$P$3:$S$104),MATCH(BW$21,[1]Столбцы!$A$3:$A$104,0),MATCH($C9,IF(mark="Разметка",[1]Столбцы!$K$2:$N$2,[1]Столбцы!$P$2:$S$2),0))</f>
        <v>II</v>
      </c>
      <c r="BX9" s="2" t="str">
        <f t="array" ref="BX9">INDEX(IF(mark="Разметка",[1]Столбцы!$K$3:$N$104,[1]Столбцы!$P$3:$S$104),MATCH(BX$21,[1]Столбцы!$A$3:$A$104,0),MATCH($C9,IF(mark="Разметка",[1]Столбцы!$K$2:$N$2,[1]Столбцы!$P$2:$S$2),0))</f>
        <v>Год</v>
      </c>
      <c r="BY9" s="2" t="str">
        <f t="array" ref="BY9">INDEX(IF(mark="Разметка",[1]Столбцы!$K$3:$N$104,[1]Столбцы!$P$3:$S$104),MATCH(BY$21,[1]Столбцы!$A$3:$A$104,0),MATCH($C9,IF(mark="Разметка",[1]Столбцы!$K$2:$N$2,[1]Столбцы!$P$2:$S$2),0))</f>
        <v>Год</v>
      </c>
      <c r="BZ9" s="2" t="str">
        <f t="array" ref="BZ9">INDEX(IF(mark="Разметка",[1]Столбцы!$K$3:$N$104,[1]Столбцы!$P$3:$S$104),MATCH(BZ$21,[1]Столбцы!$A$3:$A$104,0),MATCH($C9,IF(mark="Разметка",[1]Столбцы!$K$2:$N$2,[1]Столбцы!$P$2:$S$2),0))</f>
        <v>Год</v>
      </c>
      <c r="CA9" s="2" t="str">
        <f t="array" ref="CA9">INDEX(IF(mark="Разметка",[1]Столбцы!$K$3:$N$104,[1]Столбцы!$P$3:$S$104),MATCH(CA$21,[1]Столбцы!$A$3:$A$104,0),MATCH($C9,IF(mark="Разметка",[1]Столбцы!$K$2:$N$2,[1]Столбцы!$P$2:$S$2),0))</f>
        <v>I</v>
      </c>
      <c r="CB9" s="2" t="str">
        <f t="array" ref="CB9">INDEX(IF(mark="Разметка",[1]Столбцы!$K$3:$N$104,[1]Столбцы!$P$3:$S$104),MATCH(CB$21,[1]Столбцы!$A$3:$A$104,0),MATCH($C9,IF(mark="Разметка",[1]Столбцы!$K$2:$N$2,[1]Столбцы!$P$2:$S$2),0))</f>
        <v>II</v>
      </c>
      <c r="CC9" s="2" t="str">
        <f t="array" ref="CC9">INDEX(IF(mark="Разметка",[1]Столбцы!$K$3:$N$104,[1]Столбцы!$P$3:$S$104),MATCH(CC$21,[1]Столбцы!$A$3:$A$104,0),MATCH($C9,IF(mark="Разметка",[1]Столбцы!$K$2:$N$2,[1]Столбцы!$P$2:$S$2),0))</f>
        <v>Год</v>
      </c>
      <c r="CD9" s="2" t="str">
        <f t="array" ref="CD9">INDEX(IF(mark="Разметка",[1]Столбцы!$K$3:$N$104,[1]Столбцы!$P$3:$S$104),MATCH(CD$21,[1]Столбцы!$A$3:$A$104,0),MATCH($C9,IF(mark="Разметка",[1]Столбцы!$K$2:$N$2,[1]Столбцы!$P$2:$S$2),0))</f>
        <v>I</v>
      </c>
      <c r="CE9" s="2" t="str">
        <f t="array" ref="CE9">INDEX(IF(mark="Разметка",[1]Столбцы!$K$3:$N$104,[1]Столбцы!$P$3:$S$104),MATCH(CE$21,[1]Столбцы!$A$3:$A$104,0),MATCH($C9,IF(mark="Разметка",[1]Столбцы!$K$2:$N$2,[1]Столбцы!$P$2:$S$2),0))</f>
        <v>II</v>
      </c>
      <c r="CF9" s="2" t="str">
        <f t="array" ref="CF9">INDEX(IF(mark="Разметка",[1]Столбцы!$K$3:$N$104,[1]Столбцы!$P$3:$S$104),MATCH(CF$21,[1]Столбцы!$A$3:$A$104,0),MATCH($C9,IF(mark="Разметка",[1]Столбцы!$K$2:$N$2,[1]Столбцы!$P$2:$S$2),0))</f>
        <v>Год</v>
      </c>
      <c r="CG9" s="2" t="str">
        <f t="array" ref="CG9">INDEX(IF(mark="Разметка",[1]Столбцы!$K$3:$N$104,[1]Столбцы!$P$3:$S$104),MATCH(CG$21,[1]Столбцы!$A$3:$A$104,0),MATCH($C9,IF(mark="Разметка",[1]Столбцы!$K$2:$N$2,[1]Столбцы!$P$2:$S$2),0))</f>
        <v>Год</v>
      </c>
      <c r="CH9" s="2" t="str">
        <f t="array" ref="CH9">INDEX(IF(mark="Разметка",[1]Столбцы!$K$3:$N$104,[1]Столбцы!$P$3:$S$104),MATCH(CH$21,[1]Столбцы!$A$3:$A$104,0),MATCH($C9,IF(mark="Разметка",[1]Столбцы!$K$2:$N$2,[1]Столбцы!$P$2:$S$2),0))</f>
        <v>Год</v>
      </c>
      <c r="CI9" s="2" t="str">
        <f t="array" ref="CI9">INDEX(IF(mark="Разметка",[1]Столбцы!$K$3:$N$104,[1]Столбцы!$P$3:$S$104),MATCH(CI$21,[1]Столбцы!$A$3:$A$104,0),MATCH($C9,IF(mark="Разметка",[1]Столбцы!$K$2:$N$2,[1]Столбцы!$P$2:$S$2),0))</f>
        <v>I</v>
      </c>
      <c r="CJ9" s="2" t="str">
        <f t="array" ref="CJ9">INDEX(IF(mark="Разметка",[1]Столбцы!$K$3:$N$104,[1]Столбцы!$P$3:$S$104),MATCH(CJ$21,[1]Столбцы!$A$3:$A$104,0),MATCH($C9,IF(mark="Разметка",[1]Столбцы!$K$2:$N$2,[1]Столбцы!$P$2:$S$2),0))</f>
        <v>II</v>
      </c>
      <c r="CK9" s="2" t="str">
        <f t="array" ref="CK9">INDEX(IF(mark="Разметка",[1]Столбцы!$K$3:$N$104,[1]Столбцы!$P$3:$S$104),MATCH(CK$21,[1]Столбцы!$A$3:$A$104,0),MATCH($C9,IF(mark="Разметка",[1]Столбцы!$K$2:$N$2,[1]Столбцы!$P$2:$S$2),0))</f>
        <v>Год</v>
      </c>
      <c r="CL9" s="2" t="str">
        <f t="array" ref="CL9">INDEX(IF(mark="Разметка",[1]Столбцы!$K$3:$N$104,[1]Столбцы!$P$3:$S$104),MATCH(CL$21,[1]Столбцы!$A$3:$A$104,0),MATCH($C9,IF(mark="Разметка",[1]Столбцы!$K$2:$N$2,[1]Столбцы!$P$2:$S$2),0))</f>
        <v>I</v>
      </c>
      <c r="CM9" s="2" t="str">
        <f t="array" ref="CM9">INDEX(IF(mark="Разметка",[1]Столбцы!$K$3:$N$104,[1]Столбцы!$P$3:$S$104),MATCH(CM$21,[1]Столбцы!$A$3:$A$104,0),MATCH($C9,IF(mark="Разметка",[1]Столбцы!$K$2:$N$2,[1]Столбцы!$P$2:$S$2),0))</f>
        <v>II</v>
      </c>
      <c r="CN9" s="2" t="str">
        <f t="array" ref="CN9">INDEX(IF(mark="Разметка",[1]Столбцы!$K$3:$N$104,[1]Столбцы!$P$3:$S$104),MATCH(CN$21,[1]Столбцы!$A$3:$A$104,0),MATCH($C9,IF(mark="Разметка",[1]Столбцы!$K$2:$N$2,[1]Столбцы!$P$2:$S$2),0))</f>
        <v>Год</v>
      </c>
      <c r="CO9" s="2" t="str">
        <f t="array" ref="CO9">INDEX(IF(mark="Разметка",[1]Столбцы!$K$3:$N$104,[1]Столбцы!$P$3:$S$104),MATCH(CO$21,[1]Столбцы!$A$3:$A$104,0),MATCH($C9,IF(mark="Разметка",[1]Столбцы!$K$2:$N$2,[1]Столбцы!$P$2:$S$2),0))</f>
        <v>Год</v>
      </c>
      <c r="CP9" s="2" t="str">
        <f t="array" ref="CP9">INDEX(IF(mark="Разметка",[1]Столбцы!$K$3:$N$104,[1]Столбцы!$P$3:$S$104),MATCH(CP$21,[1]Столбцы!$A$3:$A$104,0),MATCH($C9,IF(mark="Разметка",[1]Столбцы!$K$2:$N$2,[1]Столбцы!$P$2:$S$2),0))</f>
        <v>Не определено</v>
      </c>
      <c r="CQ9" s="2" t="str">
        <f t="array" ref="CQ9">INDEX(IF(mark="Разметка",[1]Столбцы!$K$3:$N$104,[1]Столбцы!$P$3:$S$104),MATCH(CQ$21,[1]Столбцы!$A$3:$A$104,0),MATCH($C9,IF(mark="Разметка",[1]Столбцы!$K$2:$N$2,[1]Столбцы!$P$2:$S$2),0))</f>
        <v>Не определено</v>
      </c>
      <c r="CR9" s="3" t="str">
        <f t="array" ref="CR9">CQ9</f>
        <v>Не определено</v>
      </c>
      <c r="CS9" s="3" t="str">
        <f t="array" ref="CS9">CR9</f>
        <v>Не определено</v>
      </c>
      <c r="CT9" s="12"/>
      <c r="CU9" s="12"/>
      <c r="CV9" s="12"/>
      <c r="CW9" s="12"/>
      <c r="CX9" s="12"/>
      <c r="CY9" s="12"/>
      <c r="CZ9" s="12"/>
      <c r="DA9" s="12"/>
      <c r="DB9" s="12"/>
    </row>
    <row r="10" spans="3:106" ht="14.25" hidden="1" customHeight="1" x14ac:dyDescent="0.25">
      <c r="AD10" s="12"/>
      <c r="AE10" s="12"/>
      <c r="AG10" s="12"/>
      <c r="AH10" s="12"/>
      <c r="AI10" s="12"/>
      <c r="AJ10" s="12"/>
      <c r="AK10" s="12"/>
      <c r="AL10" s="12"/>
      <c r="AM10" s="12"/>
      <c r="AN10" s="12"/>
      <c r="AP10" s="12"/>
      <c r="AQ10" s="12"/>
      <c r="AR10" s="12"/>
      <c r="AS10" s="12"/>
      <c r="AT10" s="12"/>
      <c r="AU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</row>
    <row r="11" spans="3:106" ht="14.25" hidden="1" customHeight="1" x14ac:dyDescent="0.25">
      <c r="AD11" s="12"/>
      <c r="AE11" s="12"/>
      <c r="AG11" s="12"/>
      <c r="AH11" s="12"/>
      <c r="AI11" s="12"/>
      <c r="AJ11" s="12"/>
      <c r="AK11" s="12"/>
      <c r="AL11" s="12"/>
      <c r="AM11" s="12"/>
      <c r="AN11" s="12"/>
      <c r="AP11" s="12"/>
      <c r="AQ11" s="12"/>
      <c r="AR11" s="12"/>
      <c r="AS11" s="12"/>
      <c r="AT11" s="12"/>
      <c r="AU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</row>
    <row r="12" spans="3:106" ht="14.25" hidden="1" customHeight="1" x14ac:dyDescent="0.25">
      <c r="AD12" s="12"/>
      <c r="AE12" s="12"/>
      <c r="AG12" s="12"/>
      <c r="AH12" s="12"/>
      <c r="AI12" s="12"/>
      <c r="AJ12" s="12"/>
      <c r="AK12" s="12"/>
      <c r="AL12" s="12"/>
      <c r="AM12" s="12"/>
      <c r="AN12" s="12"/>
      <c r="AP12" s="12"/>
      <c r="AQ12" s="12"/>
      <c r="AR12" s="12"/>
      <c r="AS12" s="12"/>
      <c r="AT12" s="12"/>
      <c r="AU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</row>
    <row r="13" spans="3:106" ht="14.25" hidden="1" customHeight="1" x14ac:dyDescent="0.25">
      <c r="AD13" s="12"/>
      <c r="AE13" s="12"/>
      <c r="AG13" s="12"/>
      <c r="AH13" s="12"/>
      <c r="AI13" s="12"/>
      <c r="AJ13" s="12"/>
      <c r="AK13" s="12"/>
      <c r="AL13" s="12"/>
      <c r="AM13" s="12"/>
      <c r="AN13" s="12"/>
      <c r="AP13" s="12"/>
      <c r="AQ13" s="12"/>
      <c r="AR13" s="12"/>
      <c r="AS13" s="12"/>
      <c r="AT13" s="12"/>
      <c r="AU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</row>
    <row r="14" spans="3:106" ht="14.25" hidden="1" customHeight="1" x14ac:dyDescent="0.25">
      <c r="AD14" s="12"/>
      <c r="AE14" s="12"/>
      <c r="AG14" s="12"/>
      <c r="AH14" s="12"/>
      <c r="AI14" s="12"/>
      <c r="AJ14" s="12"/>
      <c r="AK14" s="12"/>
      <c r="AL14" s="12"/>
      <c r="AM14" s="12"/>
      <c r="AN14" s="12"/>
      <c r="AP14" s="12"/>
      <c r="AQ14" s="12"/>
      <c r="AR14" s="12"/>
      <c r="AS14" s="12"/>
      <c r="AT14" s="12"/>
      <c r="AU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</row>
    <row r="15" spans="3:106" ht="14.25" hidden="1" customHeight="1" x14ac:dyDescent="0.25">
      <c r="AD15" s="12"/>
      <c r="AE15" s="12"/>
      <c r="AG15" s="12"/>
      <c r="AH15" s="12"/>
      <c r="AI15" s="12"/>
      <c r="AJ15" s="12"/>
      <c r="AK15" s="12"/>
      <c r="AL15" s="12"/>
      <c r="AM15" s="12"/>
      <c r="AN15" s="12"/>
      <c r="AP15" s="12"/>
      <c r="AQ15" s="12"/>
      <c r="AR15" s="12"/>
      <c r="AS15" s="12"/>
      <c r="AT15" s="12"/>
      <c r="AU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</row>
    <row r="16" spans="3:106" ht="14.25" hidden="1" customHeight="1" x14ac:dyDescent="0.25">
      <c r="AD16" s="12"/>
      <c r="AE16" s="12"/>
      <c r="AG16" s="12"/>
      <c r="AH16" s="12"/>
      <c r="AI16" s="12"/>
      <c r="AJ16" s="12"/>
      <c r="AK16" s="12"/>
      <c r="AL16" s="12"/>
      <c r="AM16" s="12"/>
      <c r="AN16" s="12"/>
      <c r="AP16" s="12"/>
      <c r="AQ16" s="12"/>
      <c r="AR16" s="12"/>
      <c r="AS16" s="12"/>
      <c r="AT16" s="12"/>
      <c r="AU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</row>
    <row r="17" spans="28:106" ht="14.25" hidden="1" customHeight="1" x14ac:dyDescent="0.25">
      <c r="AD17" s="12"/>
      <c r="AE17" s="12"/>
      <c r="AG17" s="12"/>
      <c r="AH17" s="12"/>
      <c r="AI17" s="12"/>
      <c r="AJ17" s="12"/>
      <c r="AK17" s="12"/>
      <c r="AL17" s="12"/>
      <c r="AM17" s="12"/>
      <c r="AN17" s="12"/>
      <c r="AP17" s="12"/>
      <c r="AQ17" s="12"/>
      <c r="AR17" s="12"/>
      <c r="AS17" s="12"/>
      <c r="AT17" s="12"/>
      <c r="AU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</row>
    <row r="18" spans="28:106" ht="14.25" hidden="1" customHeight="1" x14ac:dyDescent="0.25">
      <c r="AD18" s="12"/>
      <c r="AE18" s="12"/>
      <c r="AG18" s="12"/>
      <c r="AH18" s="12"/>
      <c r="AI18" s="12"/>
      <c r="AJ18" s="12"/>
      <c r="AK18" s="12"/>
      <c r="AL18" s="12"/>
      <c r="AM18" s="12"/>
      <c r="AN18" s="12"/>
      <c r="AP18" s="12"/>
      <c r="AQ18" s="12"/>
      <c r="AR18" s="12"/>
      <c r="AS18" s="12"/>
      <c r="AT18" s="12"/>
      <c r="AU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</row>
    <row r="19" spans="28:106" ht="14.25" hidden="1" customHeight="1" x14ac:dyDescent="0.25">
      <c r="AD19" s="12"/>
      <c r="AE19" s="12"/>
      <c r="AG19" s="12"/>
      <c r="AH19" s="12"/>
      <c r="AI19" s="12"/>
      <c r="AJ19" s="12"/>
      <c r="AK19" s="12"/>
      <c r="AL19" s="12"/>
      <c r="AM19" s="12"/>
      <c r="AN19" s="12"/>
      <c r="AP19" s="12"/>
      <c r="AQ19" s="12"/>
      <c r="AR19" s="12"/>
      <c r="AS19" s="12"/>
      <c r="AT19" s="12"/>
      <c r="AU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</row>
    <row r="20" spans="28:106" ht="14.25" hidden="1" customHeight="1" x14ac:dyDescent="0.25">
      <c r="AD20" s="12"/>
      <c r="AE20" s="12"/>
      <c r="AG20" s="12"/>
      <c r="AH20" s="12"/>
      <c r="AI20" s="12"/>
      <c r="AJ20" s="12"/>
      <c r="AK20" s="12"/>
      <c r="AL20" s="12"/>
      <c r="AM20" s="12"/>
      <c r="AN20" s="12"/>
      <c r="AP20" s="12"/>
      <c r="AQ20" s="12"/>
      <c r="AR20" s="12"/>
      <c r="AS20" s="12"/>
      <c r="AT20" s="12"/>
      <c r="AU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</row>
    <row r="21" spans="28:106" ht="11.25" hidden="1" customHeight="1" x14ac:dyDescent="0.25">
      <c r="AD21" s="2" t="str">
        <f t="array" ref="AD21">[1]Столбцы!A9</f>
        <v>Версия организации2021план Органа регулированиягод</v>
      </c>
      <c r="AE21" s="2" t="str">
        <f t="array" ref="AE21">[1]Столбцы!A21</f>
        <v>Версия организации2022план Органа регулированиягод</v>
      </c>
      <c r="AF21" s="2" t="str">
        <f t="array" ref="AF21">[1]Столбцы!A33</f>
        <v>Версия организации2023план Органа регулированиягод</v>
      </c>
      <c r="AG21" s="2" t="str">
        <f t="array" ref="AG21">[1]Столбцы!A34</f>
        <v>Версия организации2023план Органа регулированияI полугодие</v>
      </c>
      <c r="AH21" s="2" t="str">
        <f t="array" ref="AH21">[1]Столбцы!A35</f>
        <v>Версия организации2023план Органа регулированияII полугодие</v>
      </c>
      <c r="AI21" s="2" t="str">
        <f t="array" ref="AI21">[1]Столбцы!A36</f>
        <v>Версия регулятора2023план Органа регулированиягод</v>
      </c>
      <c r="AJ21" s="2" t="str">
        <f t="array" ref="AJ21">[1]Столбцы!A37</f>
        <v>Версия регулятора2023план Органа регулированияI полугодие</v>
      </c>
      <c r="AK21" s="2" t="str">
        <f t="array" ref="AK21">[1]Столбцы!A38</f>
        <v>Версия регулятора2023план Органа регулированияII полугодие</v>
      </c>
      <c r="AL21" s="2" t="str">
        <f t="array" ref="AL21">[1]Столбцы!A40</f>
        <v>Версия организации2023фактI полугодие</v>
      </c>
      <c r="AM21" s="2" t="str">
        <f t="array" ref="AM21">[1]Столбцы!A41</f>
        <v>Версия организации2023фактII полугодие</v>
      </c>
      <c r="AN21" s="2" t="str">
        <f t="array" ref="AN21">[1]Столбцы!A42</f>
        <v>Версия регулятора2023фактгод</v>
      </c>
      <c r="AO21" s="2" t="str">
        <f t="array" ref="AO21">[1]Столбцы!A45</f>
        <v>Версия организации2024план Органа регулированиягод</v>
      </c>
      <c r="AP21" s="2" t="str">
        <f t="array" ref="AP21">[1]Столбцы!A46</f>
        <v>Версия организации2024план Органа регулированияI полугодие</v>
      </c>
      <c r="AQ21" s="2" t="str">
        <f t="array" ref="AQ21">[1]Столбцы!A47</f>
        <v>Версия организации2024план Органа регулированияII полугодие</v>
      </c>
      <c r="AR21" s="2" t="str">
        <f t="array" ref="AR21">[1]Столбцы!A48</f>
        <v>Версия регулятора2024план Органа регулированиягод</v>
      </c>
      <c r="AS21" s="2" t="str">
        <f t="array" ref="AS21">[1]Столбцы!A49</f>
        <v>Версия регулятора2024план Органа регулированияI полугодие</v>
      </c>
      <c r="AT21" s="2" t="str">
        <f t="array" ref="AT21">[1]Столбцы!A50</f>
        <v>Версия регулятора2024план Органа регулированияII полугодие</v>
      </c>
      <c r="AU21" s="2" t="str">
        <f t="array" ref="AU21">[1]Столбцы!A55</f>
        <v>Версия регулятора2024ожидаемоегод</v>
      </c>
      <c r="AV21" s="2" t="str">
        <f t="array" ref="AV21">[1]Столбцы!A58</f>
        <v>Версия организации2025утвержденный план Органа регулированиягод</v>
      </c>
      <c r="AW21" s="2" t="str">
        <f t="array" ref="AW21">[1]Столбцы!A59</f>
        <v>Версия организации2025утвержденный план Органа регулированияI полугодие</v>
      </c>
      <c r="AX21" s="2" t="str">
        <f t="array" ref="AX21">[1]Столбцы!A60</f>
        <v>Версия организации2025утвержденный план Органа регулированияII полугодие</v>
      </c>
      <c r="AY21" s="2" t="str">
        <f t="array" ref="AY21">[1]Столбцы!A61</f>
        <v>Версия регулятора2025утвержденный план Органа регулированиягод</v>
      </c>
      <c r="AZ21" s="2" t="str">
        <f t="array" ref="AZ21">[1]Столбцы!A62</f>
        <v>Версия регулятора2025утвержденный план Органа регулированияI полугодие</v>
      </c>
      <c r="BA21" s="2" t="str">
        <f t="array" ref="BA21">[1]Столбцы!A63</f>
        <v>Версия регулятора2025утвержденный план Органа регулированияII полугодие</v>
      </c>
      <c r="BB21" s="8" t="str">
        <f t="array" ref="BB21">[1]Столбцы!A65</f>
        <v>Версия организации2025план организации (корректировка)I полугодие</v>
      </c>
      <c r="BC21" s="8" t="str">
        <f t="array" ref="BC21">[1]Столбцы!A66</f>
        <v>Версия организации2025план организации (корректировка)II полугодие</v>
      </c>
      <c r="BD21" s="2" t="str">
        <f t="array" ref="BD21">[1]Столбцы!A80</f>
        <v>Версия регулятора2025план Органа регулирования (корректировка)год</v>
      </c>
      <c r="BE21" s="8" t="str">
        <f t="array" ref="BE21">[1]Столбцы!A81</f>
        <v>Версия регулятора2025план Органа регулирования (корректировка)I полугодие</v>
      </c>
      <c r="BF21" s="8" t="str">
        <f t="array" ref="BF21">[1]Столбцы!A82</f>
        <v>Версия регулятора2025план Органа регулирования (корректировка)II полугодие</v>
      </c>
      <c r="BG21" s="3" t="str">
        <f t="array" ref="BG21">BD21</f>
        <v>Версия регулятора2025план Органа регулирования (корректировка)год</v>
      </c>
      <c r="BH21" s="3" t="str">
        <f t="array" ref="BH21">BG21</f>
        <v>Версия регулятора2025план Органа регулирования (корректировка)год</v>
      </c>
      <c r="BI21" s="3" t="str">
        <f t="array" ref="BI21">AY21</f>
        <v>Версия регулятора2025утвержденный план Органа регулированиягод</v>
      </c>
      <c r="BJ21" s="2" t="str">
        <f t="array" ref="BJ21">[1]Столбцы!A67</f>
        <v>Версия организации2026план организации (корректировка)год</v>
      </c>
      <c r="BK21" s="8" t="str">
        <f t="array" ref="BK21">[1]Столбцы!A68</f>
        <v>Версия организации2026план организации (корректировка)I полугодие</v>
      </c>
      <c r="BL21" s="8" t="str">
        <f t="array" ref="BL21">[1]Столбцы!A69</f>
        <v>Версия организации2026план организации (корректировка)II полугодие</v>
      </c>
      <c r="BM21" s="2" t="str">
        <f t="array" ref="BM21">[1]Столбцы!A83</f>
        <v>Версия регулятора2026план Органа регулирования (корректировка)год</v>
      </c>
      <c r="BN21" s="8" t="str">
        <f t="array" ref="BN21">[1]Столбцы!A84</f>
        <v>Версия регулятора2026план Органа регулирования (корректировка)I полугодие</v>
      </c>
      <c r="BO21" s="8" t="str">
        <f t="array" ref="BO21">[1]Столбцы!A85</f>
        <v>Версия регулятора2026план Органа регулирования (корректировка)II полугодие</v>
      </c>
      <c r="BP21" s="3" t="str">
        <f t="array" ref="BP21">BM21</f>
        <v>Версия регулятора2026план Органа регулирования (корректировка)год</v>
      </c>
      <c r="BQ21" s="3" t="str">
        <f t="array" ref="BQ21">BP21</f>
        <v>Версия регулятора2026план Органа регулирования (корректировка)год</v>
      </c>
      <c r="BR21" s="2" t="str">
        <f t="array" ref="BR21">[1]Столбцы!A70</f>
        <v>Версия организации2027план организации (корректировка)год</v>
      </c>
      <c r="BS21" s="8" t="str">
        <f t="array" ref="BS21">[1]Столбцы!A71</f>
        <v>Версия организации2027план организации (корректировка)I полугодие</v>
      </c>
      <c r="BT21" s="8" t="str">
        <f t="array" ref="BT21">[1]Столбцы!A72</f>
        <v>Версия организации2027план организации (корректировка)II полугодие</v>
      </c>
      <c r="BU21" s="2" t="str">
        <f t="array" ref="BU21">[1]Столбцы!A86</f>
        <v>Версия регулятора2027план Органа регулирования (корректировка)год</v>
      </c>
      <c r="BV21" s="8" t="str">
        <f t="array" ref="BV21">[1]Столбцы!A87</f>
        <v>Версия регулятора2027план Органа регулирования (корректировка)I полугодие</v>
      </c>
      <c r="BW21" s="8" t="str">
        <f t="array" ref="BW21">[1]Столбцы!A88</f>
        <v>Версия регулятора2027план Органа регулирования (корректировка)II полугодие</v>
      </c>
      <c r="BX21" s="3" t="str">
        <f t="array" ref="BX21">BU21</f>
        <v>Версия регулятора2027план Органа регулирования (корректировка)год</v>
      </c>
      <c r="BY21" s="3" t="str">
        <f t="array" ref="BY21">BX21</f>
        <v>Версия регулятора2027план Органа регулирования (корректировка)год</v>
      </c>
      <c r="BZ21" s="2" t="str">
        <f t="array" ref="BZ21">[1]Столбцы!A73</f>
        <v>Версия организации2028план организации (корректировка)год</v>
      </c>
      <c r="CA21" s="8" t="str">
        <f t="array" ref="CA21">[1]Столбцы!A74</f>
        <v>Версия организации2028план организации (корректировка)I полугодие</v>
      </c>
      <c r="CB21" s="8" t="str">
        <f t="array" ref="CB21">[1]Столбцы!A75</f>
        <v>Версия организации2028план организации (корректировка)II полугодие</v>
      </c>
      <c r="CC21" s="2" t="str">
        <f t="array" ref="CC21">[1]Столбцы!A89</f>
        <v>Версия регулятора2028план Органа регулирования (корректировка)год</v>
      </c>
      <c r="CD21" s="8" t="str">
        <f t="array" ref="CD21">[1]Столбцы!A90</f>
        <v>Версия регулятора2028план Органа регулирования (корректировка)I полугодие</v>
      </c>
      <c r="CE21" s="8" t="str">
        <f t="array" ref="CE21">[1]Столбцы!A91</f>
        <v>Версия регулятора2028план Органа регулирования (корректировка)II полугодие</v>
      </c>
      <c r="CF21" s="3" t="str">
        <f t="array" ref="CF21">CC21</f>
        <v>Версия регулятора2028план Органа регулирования (корректировка)год</v>
      </c>
      <c r="CG21" s="3" t="str">
        <f t="array" ref="CG21">CF21</f>
        <v>Версия регулятора2028план Органа регулирования (корректировка)год</v>
      </c>
      <c r="CH21" s="2" t="str">
        <f t="array" ref="CH21">[1]Столбцы!A76</f>
        <v>Версия организации2029план организации (корректировка)год</v>
      </c>
      <c r="CI21" s="8" t="str">
        <f t="array" ref="CI21">[1]Столбцы!A77</f>
        <v>Версия организации2029план организации (корректировка)I полугодие</v>
      </c>
      <c r="CJ21" s="8" t="str">
        <f t="array" ref="CJ21">[1]Столбцы!A78</f>
        <v>Версия организации2029план организации (корректировка)II полугодие</v>
      </c>
      <c r="CK21" s="2" t="str">
        <f t="array" ref="CK21">[1]Столбцы!A92</f>
        <v>Версия регулятора2029план Органа регулирования (корректировка)год</v>
      </c>
      <c r="CL21" s="8" t="str">
        <f t="array" ref="CL21">[1]Столбцы!A93</f>
        <v>Версия регулятора2029план Органа регулирования (корректировка)I полугодие</v>
      </c>
      <c r="CM21" s="8" t="str">
        <f t="array" ref="CM21">[1]Столбцы!A94</f>
        <v>Версия регулятора2029план Органа регулирования (корректировка)II полугодие</v>
      </c>
      <c r="CN21" s="3" t="str">
        <f t="array" ref="CN21">CK21</f>
        <v>Версия регулятора2029план Органа регулирования (корректировка)год</v>
      </c>
      <c r="CO21" s="3" t="str">
        <f t="array" ref="CO21">CN21</f>
        <v>Версия регулятора2029план Органа регулирования (корректировка)год</v>
      </c>
      <c r="CP21" s="2" t="str">
        <f t="array" ref="CP21">[1]Столбцы!A79</f>
        <v>Комментарий</v>
      </c>
      <c r="CQ21" s="8" t="str">
        <f t="array" ref="CQ21">[1]Столбцы!A95</f>
        <v>Обоснование причины отклонения (комментарий регулятора)</v>
      </c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</row>
    <row r="22" spans="28:106" ht="11.25" hidden="1" customHeight="1" x14ac:dyDescent="0.25">
      <c r="AB22" s="2" t="s">
        <v>17</v>
      </c>
      <c r="AC22" s="2" t="b">
        <f t="array" ref="AC22">'[1]Список листов'!$A$26</f>
        <v>1</v>
      </c>
      <c r="AD22" s="12"/>
      <c r="AE22" s="12"/>
      <c r="AG22" s="12"/>
      <c r="AH22" s="12"/>
      <c r="AI22" s="12"/>
      <c r="AJ22" s="12"/>
      <c r="AK22" s="12"/>
      <c r="AL22" s="12"/>
      <c r="AM22" s="12"/>
      <c r="AN22" s="12"/>
      <c r="AP22" s="12"/>
      <c r="AQ22" s="12"/>
      <c r="AR22" s="12"/>
      <c r="AS22" s="12"/>
      <c r="AT22" s="12"/>
      <c r="AU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</row>
    <row r="23" spans="28:106" ht="11.25" hidden="1" customHeight="1" x14ac:dyDescent="0.25">
      <c r="AB23" s="2" t="s">
        <v>18</v>
      </c>
      <c r="AC23" s="2" t="str">
        <f>IF(AND('[1]СиМ (детально)'!$A$151,'[1]СиМ (детально)'!$B$151),"да","нет")</f>
        <v>нет</v>
      </c>
      <c r="AD23" s="12"/>
      <c r="AE23" s="12"/>
      <c r="AG23" s="12"/>
      <c r="AH23" s="12"/>
      <c r="AI23" s="12"/>
      <c r="AJ23" s="12"/>
      <c r="AK23" s="12"/>
      <c r="AL23" s="12"/>
      <c r="AM23" s="12"/>
      <c r="AN23" s="12"/>
      <c r="AP23" s="12"/>
      <c r="AQ23" s="12"/>
      <c r="AR23" s="12"/>
      <c r="AS23" s="12"/>
      <c r="AT23" s="12"/>
      <c r="AU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</row>
    <row r="24" spans="28:106" ht="11.25" hidden="1" customHeight="1" x14ac:dyDescent="0.25">
      <c r="AB24" s="2" t="s">
        <v>19</v>
      </c>
      <c r="AC24" s="9" t="str">
        <f t="array" ref="AC24">'[1]Общие настройки'!$G$80</f>
        <v>нет</v>
      </c>
      <c r="AD24" s="12"/>
      <c r="AE24" s="12"/>
      <c r="AG24" s="12"/>
      <c r="AH24" s="12"/>
      <c r="AI24" s="12"/>
      <c r="AJ24" s="12"/>
      <c r="AK24" s="12"/>
      <c r="AL24" s="12"/>
      <c r="AM24" s="12"/>
      <c r="AN24" s="12"/>
      <c r="AP24" s="12"/>
      <c r="AQ24" s="12"/>
      <c r="AR24" s="12"/>
      <c r="AS24" s="12"/>
      <c r="AT24" s="12"/>
      <c r="AU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</row>
    <row r="25" spans="28:106" ht="11.25" hidden="1" customHeight="1" x14ac:dyDescent="0.25">
      <c r="AB25" s="10" t="s">
        <v>20</v>
      </c>
      <c r="AC25" s="2" t="b">
        <f t="array" ref="AC25">'[1]Список листов'!$A$44</f>
        <v>0</v>
      </c>
      <c r="AD25" s="12"/>
      <c r="AE25" s="12"/>
      <c r="AG25" s="12"/>
      <c r="AH25" s="12"/>
      <c r="AI25" s="12"/>
      <c r="AJ25" s="12"/>
      <c r="AK25" s="12"/>
      <c r="AL25" s="12"/>
      <c r="AM25" s="12"/>
      <c r="AN25" s="12"/>
      <c r="AP25" s="12"/>
      <c r="AQ25" s="12"/>
      <c r="AR25" s="12"/>
      <c r="AS25" s="12"/>
      <c r="AT25" s="12"/>
      <c r="AU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</row>
    <row r="26" spans="28:106" ht="11.25" hidden="1" customHeight="1" x14ac:dyDescent="0.25">
      <c r="AB26" s="10" t="s">
        <v>21</v>
      </c>
      <c r="AC26" s="2" t="b">
        <f t="array" ref="AC26">'[1]Список листов'!$A41</f>
        <v>1</v>
      </c>
      <c r="AD26" s="12"/>
      <c r="AE26" s="12"/>
      <c r="AG26" s="12"/>
      <c r="AH26" s="12"/>
      <c r="AI26" s="12"/>
      <c r="AJ26" s="12"/>
      <c r="AK26" s="12"/>
      <c r="AL26" s="12"/>
      <c r="AM26" s="12"/>
      <c r="AN26" s="12"/>
      <c r="AP26" s="12"/>
      <c r="AQ26" s="12"/>
      <c r="AR26" s="12"/>
      <c r="AS26" s="12"/>
      <c r="AT26" s="12"/>
      <c r="AU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</row>
    <row r="27" spans="28:106" ht="11.25" hidden="1" customHeight="1" x14ac:dyDescent="0.25">
      <c r="AB27" s="10" t="s">
        <v>22</v>
      </c>
      <c r="AC27" s="2" t="b">
        <f t="array" ref="AC27">'[1]Список листов'!$A42</f>
        <v>1</v>
      </c>
      <c r="AD27" s="12"/>
      <c r="AE27" s="12"/>
      <c r="AG27" s="12"/>
      <c r="AH27" s="12"/>
      <c r="AI27" s="12"/>
      <c r="AJ27" s="12"/>
      <c r="AK27" s="12"/>
      <c r="AL27" s="12"/>
      <c r="AM27" s="12"/>
      <c r="AN27" s="12"/>
      <c r="AP27" s="12"/>
      <c r="AQ27" s="12"/>
      <c r="AR27" s="12"/>
      <c r="AS27" s="12"/>
      <c r="AT27" s="12"/>
      <c r="AU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</row>
    <row r="28" spans="28:106" ht="11.25" hidden="1" customHeight="1" x14ac:dyDescent="0.25">
      <c r="AB28" s="10" t="s">
        <v>23</v>
      </c>
      <c r="AC28" s="2" t="b">
        <f t="array" ref="AC28">'[1]Список листов'!$A43</f>
        <v>1</v>
      </c>
      <c r="AD28" s="12"/>
      <c r="AE28" s="12"/>
      <c r="AG28" s="12"/>
      <c r="AH28" s="12"/>
      <c r="AI28" s="12"/>
      <c r="AJ28" s="12"/>
      <c r="AK28" s="12"/>
      <c r="AL28" s="12"/>
      <c r="AM28" s="12"/>
      <c r="AN28" s="12"/>
      <c r="AP28" s="12"/>
      <c r="AQ28" s="12"/>
      <c r="AR28" s="12"/>
      <c r="AS28" s="12"/>
      <c r="AT28" s="12"/>
      <c r="AU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</row>
    <row r="29" spans="28:106" ht="11.25" hidden="1" customHeight="1" x14ac:dyDescent="0.25">
      <c r="AB29" s="10" t="s">
        <v>24</v>
      </c>
      <c r="AC29" s="2" t="b">
        <f t="array" ref="AC29">'[1]Список листов'!$A$47</f>
        <v>1</v>
      </c>
      <c r="AD29" s="12"/>
      <c r="AE29" s="12"/>
      <c r="AG29" s="12"/>
      <c r="AH29" s="12"/>
      <c r="AI29" s="12"/>
      <c r="AJ29" s="12"/>
      <c r="AK29" s="12"/>
      <c r="AL29" s="12"/>
      <c r="AM29" s="12"/>
      <c r="AN29" s="12"/>
      <c r="AP29" s="12"/>
      <c r="AQ29" s="12"/>
      <c r="AR29" s="12"/>
      <c r="AS29" s="12"/>
      <c r="AT29" s="12"/>
      <c r="AU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</row>
    <row r="30" spans="28:106" ht="11.25" hidden="1" customHeight="1" x14ac:dyDescent="0.25">
      <c r="AB30" s="10" t="s">
        <v>25</v>
      </c>
      <c r="AC30" s="2" t="b">
        <f t="array" ref="AC30">'[1]Список листов'!$A$46</f>
        <v>1</v>
      </c>
      <c r="AD30" s="12"/>
      <c r="AE30" s="12"/>
      <c r="AG30" s="12"/>
      <c r="AH30" s="12"/>
      <c r="AI30" s="12"/>
      <c r="AJ30" s="12"/>
      <c r="AK30" s="12"/>
      <c r="AL30" s="12"/>
      <c r="AM30" s="12"/>
      <c r="AN30" s="12"/>
      <c r="AP30" s="12"/>
      <c r="AQ30" s="12"/>
      <c r="AR30" s="12"/>
      <c r="AS30" s="12"/>
      <c r="AT30" s="12"/>
      <c r="AU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</row>
    <row r="31" spans="28:106" ht="11.25" hidden="1" customHeight="1" x14ac:dyDescent="0.25">
      <c r="AB31" s="10" t="s">
        <v>26</v>
      </c>
      <c r="AC31" s="2" t="b">
        <f t="array" ref="AC31">'[1]Список листов'!$A$45</f>
        <v>1</v>
      </c>
      <c r="AD31" s="12"/>
      <c r="AE31" s="12"/>
      <c r="AG31" s="12"/>
      <c r="AH31" s="12"/>
      <c r="AI31" s="12"/>
      <c r="AJ31" s="12"/>
      <c r="AK31" s="12"/>
      <c r="AL31" s="12"/>
      <c r="AM31" s="12"/>
      <c r="AN31" s="12"/>
      <c r="AP31" s="12"/>
      <c r="AQ31" s="12"/>
      <c r="AR31" s="12"/>
      <c r="AS31" s="12"/>
      <c r="AT31" s="12"/>
      <c r="AU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</row>
    <row r="32" spans="28:106" ht="11.25" hidden="1" customHeight="1" x14ac:dyDescent="0.25">
      <c r="AB32" s="10" t="s">
        <v>27</v>
      </c>
      <c r="AC32" s="2" t="b">
        <f t="array" ref="AC32">'[1]Список листов'!$A$51</f>
        <v>1</v>
      </c>
      <c r="AD32" s="12"/>
      <c r="AE32" s="12"/>
      <c r="AG32" s="12"/>
      <c r="AH32" s="12"/>
      <c r="AI32" s="12"/>
      <c r="AJ32" s="12"/>
      <c r="AK32" s="12"/>
      <c r="AL32" s="12"/>
      <c r="AM32" s="12"/>
      <c r="AN32" s="12"/>
      <c r="AP32" s="12"/>
      <c r="AQ32" s="12"/>
      <c r="AR32" s="12"/>
      <c r="AS32" s="12"/>
      <c r="AT32" s="12"/>
      <c r="AU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</row>
    <row r="33" spans="28:106" ht="11.25" hidden="1" customHeight="1" x14ac:dyDescent="0.25">
      <c r="AB33" s="10" t="s">
        <v>28</v>
      </c>
      <c r="AC33" s="2" t="b">
        <f t="array" ref="AC33">'[1]Список листов'!$A$49</f>
        <v>1</v>
      </c>
      <c r="AD33" s="12"/>
      <c r="AE33" s="12"/>
      <c r="AF33" s="373"/>
      <c r="AG33" s="383"/>
      <c r="AH33" s="383"/>
      <c r="AI33" s="383"/>
      <c r="AJ33" s="383"/>
      <c r="AK33" s="383"/>
      <c r="AL33" s="383"/>
      <c r="AM33" s="383"/>
      <c r="AN33" s="383"/>
      <c r="AO33" s="373"/>
      <c r="AP33" s="383"/>
      <c r="AQ33" s="383"/>
      <c r="AR33" s="383"/>
      <c r="AS33" s="383"/>
      <c r="AT33" s="383"/>
      <c r="AU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</row>
    <row r="34" spans="28:106" ht="11.25" hidden="1" customHeight="1" x14ac:dyDescent="0.25">
      <c r="AB34" s="10" t="s">
        <v>29</v>
      </c>
      <c r="AC34" s="2" t="b">
        <f t="array" ref="AC34">'[1]Список листов'!$A$48</f>
        <v>1</v>
      </c>
      <c r="AD34" s="12"/>
      <c r="AE34" s="12"/>
      <c r="AG34" s="12"/>
      <c r="AH34" s="12"/>
      <c r="AI34" s="12"/>
      <c r="AJ34" s="12"/>
      <c r="AK34" s="12"/>
      <c r="AL34" s="12"/>
      <c r="AM34" s="12"/>
      <c r="AN34" s="12"/>
      <c r="AP34" s="12"/>
      <c r="AQ34" s="12"/>
      <c r="AR34" s="12"/>
      <c r="AS34" s="12"/>
      <c r="AT34" s="12"/>
      <c r="AU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</row>
    <row r="35" spans="28:106" ht="11.25" hidden="1" customHeight="1" x14ac:dyDescent="0.25">
      <c r="AB35" s="10" t="s">
        <v>30</v>
      </c>
      <c r="AC35" s="2" t="b">
        <f t="array" ref="AC35">'[1]Список листов'!$A$31</f>
        <v>1</v>
      </c>
      <c r="AD35" s="12"/>
      <c r="AE35" s="12"/>
      <c r="AG35" s="12"/>
      <c r="AH35" s="12"/>
      <c r="AI35" s="12"/>
      <c r="AJ35" s="12"/>
      <c r="AK35" s="12"/>
      <c r="AL35" s="12"/>
      <c r="AM35" s="12"/>
      <c r="AN35" s="12"/>
      <c r="AP35" s="12"/>
      <c r="AQ35" s="12"/>
      <c r="AR35" s="12"/>
      <c r="AS35" s="12"/>
      <c r="AT35" s="12"/>
      <c r="AU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</row>
    <row r="36" spans="28:106" ht="11.25" hidden="1" customHeight="1" x14ac:dyDescent="0.25">
      <c r="AB36" s="10" t="s">
        <v>31</v>
      </c>
      <c r="AC36" s="9" t="str">
        <f t="array" ref="AC36">'[1]Общие настройки'!$G$138</f>
        <v>нет</v>
      </c>
      <c r="AD36" s="12"/>
      <c r="AE36" s="12"/>
      <c r="AG36" s="12"/>
      <c r="AH36" s="12"/>
      <c r="AI36" s="12"/>
      <c r="AJ36" s="12"/>
      <c r="AK36" s="12"/>
      <c r="AL36" s="12"/>
      <c r="AM36" s="12"/>
      <c r="AN36" s="12"/>
      <c r="AP36" s="12"/>
      <c r="AQ36" s="12"/>
      <c r="AR36" s="12"/>
      <c r="AS36" s="12"/>
      <c r="AT36" s="12"/>
      <c r="AU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</row>
    <row r="37" spans="28:106" ht="11.25" hidden="1" customHeight="1" x14ac:dyDescent="0.25">
      <c r="AB37" s="10" t="s">
        <v>32</v>
      </c>
      <c r="AC37" s="9" t="str">
        <f t="array" ref="AC37">'[1]Общие настройки'!$G$127</f>
        <v>да</v>
      </c>
      <c r="AD37" s="12"/>
      <c r="AE37" s="12"/>
      <c r="AG37" s="12"/>
      <c r="AH37" s="12"/>
      <c r="AI37" s="12"/>
      <c r="AJ37" s="12"/>
      <c r="AK37" s="12"/>
      <c r="AL37" s="12"/>
      <c r="AM37" s="12"/>
      <c r="AN37" s="12"/>
      <c r="AP37" s="12"/>
      <c r="AQ37" s="12"/>
      <c r="AR37" s="12"/>
      <c r="AS37" s="12"/>
      <c r="AT37" s="12"/>
      <c r="AU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</row>
    <row r="38" spans="28:106" ht="11.25" hidden="1" customHeight="1" x14ac:dyDescent="0.25">
      <c r="AB38" s="10" t="s">
        <v>33</v>
      </c>
      <c r="AC38" s="2" t="str">
        <f t="array" ref="AC38">'[1]Общие настройки'!G134</f>
        <v>Подано воды в сеть</v>
      </c>
      <c r="AD38" s="12"/>
      <c r="AE38" s="12"/>
      <c r="AG38" s="12"/>
      <c r="AH38" s="12"/>
      <c r="AI38" s="12"/>
      <c r="AJ38" s="12"/>
      <c r="AK38" s="12"/>
      <c r="AL38" s="12"/>
      <c r="AM38" s="12"/>
      <c r="AN38" s="12"/>
      <c r="AP38" s="12"/>
      <c r="AQ38" s="12"/>
      <c r="AR38" s="12"/>
      <c r="AS38" s="12"/>
      <c r="AT38" s="12"/>
      <c r="AU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</row>
    <row r="39" spans="28:106" ht="11.25" hidden="1" customHeight="1" x14ac:dyDescent="0.25">
      <c r="AB39" s="10" t="s">
        <v>34</v>
      </c>
      <c r="AC39" s="2" t="str">
        <f t="array" ref="AC39">'[1]Общие настройки'!G135</f>
        <v>Подано воды в сеть</v>
      </c>
      <c r="AD39" s="12"/>
      <c r="AE39" s="12"/>
      <c r="AG39" s="12"/>
      <c r="AH39" s="12"/>
      <c r="AI39" s="12"/>
      <c r="AJ39" s="12"/>
      <c r="AK39" s="12"/>
      <c r="AL39" s="12"/>
      <c r="AM39" s="12"/>
      <c r="AN39" s="12"/>
      <c r="AP39" s="12"/>
      <c r="AQ39" s="12"/>
      <c r="AR39" s="12"/>
      <c r="AS39" s="12"/>
      <c r="AT39" s="12"/>
      <c r="AU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</row>
    <row r="40" spans="28:106" ht="11.25" hidden="1" customHeight="1" x14ac:dyDescent="0.25">
      <c r="AB40" s="10" t="s">
        <v>35</v>
      </c>
      <c r="AC40" s="2" t="str">
        <f t="array" ref="AC40">'[1]Общие настройки'!G136</f>
        <v>Подано воды в сеть</v>
      </c>
      <c r="AD40" s="12"/>
      <c r="AE40" s="12"/>
      <c r="AG40" s="12"/>
      <c r="AH40" s="12"/>
      <c r="AI40" s="12"/>
      <c r="AJ40" s="12"/>
      <c r="AK40" s="12"/>
      <c r="AL40" s="12"/>
      <c r="AM40" s="12"/>
      <c r="AN40" s="12"/>
      <c r="AP40" s="12"/>
      <c r="AQ40" s="12"/>
      <c r="AR40" s="12"/>
      <c r="AS40" s="12"/>
      <c r="AT40" s="12"/>
      <c r="AU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</row>
    <row r="41" spans="28:106" ht="11.25" hidden="1" customHeight="1" x14ac:dyDescent="0.25">
      <c r="AB41" s="10" t="s">
        <v>36</v>
      </c>
      <c r="AC41" s="2" t="str">
        <f t="array" ref="AC41">SETTING_VIEW_CALC_NALOG</f>
        <v>да</v>
      </c>
      <c r="AD41" s="12"/>
      <c r="AE41" s="12"/>
      <c r="AG41" s="12"/>
      <c r="AH41" s="12"/>
      <c r="AI41" s="12"/>
      <c r="AJ41" s="12"/>
      <c r="AK41" s="12"/>
      <c r="AL41" s="12"/>
      <c r="AM41" s="12"/>
      <c r="AN41" s="12"/>
      <c r="AP41" s="12"/>
      <c r="AQ41" s="12"/>
      <c r="AR41" s="12"/>
      <c r="AS41" s="12"/>
      <c r="AT41" s="12"/>
      <c r="AU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</row>
    <row r="42" spans="28:106" ht="11.25" hidden="1" customHeight="1" x14ac:dyDescent="0.25">
      <c r="AB42" s="2" t="s">
        <v>37</v>
      </c>
      <c r="AC42" s="9" t="str">
        <f t="array" ref="AC42">'[1]Общие настройки'!$G$86</f>
        <v>да</v>
      </c>
      <c r="AD42" s="12"/>
      <c r="AE42" s="12"/>
      <c r="AG42" s="12"/>
      <c r="AH42" s="12"/>
      <c r="AI42" s="12"/>
      <c r="AJ42" s="12"/>
      <c r="AK42" s="12"/>
      <c r="AL42" s="12"/>
      <c r="AM42" s="12"/>
      <c r="AN42" s="12"/>
      <c r="AP42" s="12"/>
      <c r="AQ42" s="12"/>
      <c r="AR42" s="12"/>
      <c r="AS42" s="12"/>
      <c r="AT42" s="12"/>
      <c r="AU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</row>
    <row r="43" spans="28:106" ht="11.25" hidden="1" customHeight="1" x14ac:dyDescent="0.25">
      <c r="AB43" s="2" t="s">
        <v>38</v>
      </c>
      <c r="AC43" s="2" t="str">
        <f t="array" ref="AC43">[1]Амортизация!AF23</f>
        <v>да</v>
      </c>
      <c r="AD43" s="12"/>
      <c r="AE43" s="12"/>
      <c r="AG43" s="12"/>
      <c r="AH43" s="12"/>
      <c r="AI43" s="12"/>
      <c r="AJ43" s="12"/>
      <c r="AK43" s="12"/>
      <c r="AL43" s="12"/>
      <c r="AM43" s="12"/>
      <c r="AN43" s="12"/>
      <c r="AP43" s="12"/>
      <c r="AQ43" s="12"/>
      <c r="AR43" s="12"/>
      <c r="AS43" s="12"/>
      <c r="AT43" s="12"/>
      <c r="AU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</row>
    <row r="44" spans="28:106" ht="11.25" hidden="1" customHeight="1" x14ac:dyDescent="0.25">
      <c r="AB44" s="2" t="s">
        <v>39</v>
      </c>
      <c r="AC44" s="2" t="str">
        <f t="array" ref="AC44">[1]Амортизация!AF24</f>
        <v>да</v>
      </c>
      <c r="AD44" s="12"/>
      <c r="AE44" s="12"/>
      <c r="AG44" s="12"/>
      <c r="AH44" s="12"/>
      <c r="AI44" s="12"/>
      <c r="AJ44" s="12"/>
      <c r="AK44" s="12"/>
      <c r="AL44" s="12"/>
      <c r="AM44" s="12"/>
      <c r="AN44" s="12"/>
      <c r="AP44" s="12"/>
      <c r="AQ44" s="12"/>
      <c r="AR44" s="12"/>
      <c r="AS44" s="12"/>
      <c r="AT44" s="12"/>
      <c r="AU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</row>
    <row r="45" spans="28:106" ht="11.25" hidden="1" customHeight="1" x14ac:dyDescent="0.25">
      <c r="AB45" s="10" t="s">
        <v>40</v>
      </c>
      <c r="AC45" s="13" t="str">
        <f t="array" ref="AC45">'[1]Общие настройки'!$G$43</f>
        <v>да</v>
      </c>
      <c r="AD45" s="12"/>
      <c r="AE45" s="12"/>
      <c r="AG45" s="12"/>
      <c r="AH45" s="12"/>
      <c r="AI45" s="12"/>
      <c r="AJ45" s="12"/>
      <c r="AK45" s="12"/>
      <c r="AL45" s="12"/>
      <c r="AM45" s="12"/>
      <c r="AN45" s="12"/>
      <c r="AP45" s="12"/>
      <c r="AQ45" s="12"/>
      <c r="AR45" s="12"/>
      <c r="AS45" s="12"/>
      <c r="AT45" s="12"/>
      <c r="AU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</row>
    <row r="46" spans="28:106" ht="11.25" hidden="1" customHeight="1" x14ac:dyDescent="0.25">
      <c r="AB46" s="10" t="s">
        <v>41</v>
      </c>
      <c r="AC46" s="13" t="str">
        <f t="array" ref="AC46">'[1]Общие настройки'!$G$130</f>
        <v>нет</v>
      </c>
      <c r="AD46" s="12"/>
      <c r="AE46" s="12"/>
      <c r="AG46" s="12"/>
      <c r="AH46" s="12"/>
      <c r="AI46" s="12"/>
      <c r="AJ46" s="12"/>
      <c r="AK46" s="12"/>
      <c r="AL46" s="12"/>
      <c r="AM46" s="12"/>
      <c r="AN46" s="12"/>
      <c r="AP46" s="12"/>
      <c r="AQ46" s="12"/>
      <c r="AR46" s="12"/>
      <c r="AS46" s="12"/>
      <c r="AT46" s="12"/>
      <c r="AU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</row>
    <row r="47" spans="28:106" ht="11.25" hidden="1" customHeight="1" x14ac:dyDescent="0.25">
      <c r="AB47" s="10" t="s">
        <v>42</v>
      </c>
      <c r="AC47" s="13" t="str">
        <f t="array" ref="AC47">'[1]Общие настройки'!$G$142</f>
        <v>нет</v>
      </c>
      <c r="AD47" s="12"/>
      <c r="AE47" s="12"/>
      <c r="AG47" s="12"/>
      <c r="AH47" s="12"/>
      <c r="AI47" s="12"/>
      <c r="AJ47" s="12"/>
      <c r="AK47" s="12"/>
      <c r="AL47" s="12"/>
      <c r="AM47" s="12"/>
      <c r="AN47" s="12"/>
      <c r="AP47" s="12"/>
      <c r="AQ47" s="12"/>
      <c r="AR47" s="12"/>
      <c r="AS47" s="12"/>
      <c r="AT47" s="12"/>
      <c r="AU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</row>
    <row r="48" spans="28:106" ht="11.25" hidden="1" customHeight="1" x14ac:dyDescent="0.25">
      <c r="AB48" s="10" t="s">
        <v>43</v>
      </c>
      <c r="AC48" s="13" t="str">
        <f t="array" ref="AC48">'[1]Общие настройки'!$G$77</f>
        <v>да</v>
      </c>
      <c r="AD48" s="12"/>
      <c r="AE48" s="12"/>
      <c r="AG48" s="12"/>
      <c r="AH48" s="12"/>
      <c r="AI48" s="12"/>
      <c r="AJ48" s="12"/>
      <c r="AK48" s="12"/>
      <c r="AL48" s="12"/>
      <c r="AM48" s="12"/>
      <c r="AN48" s="12"/>
      <c r="AP48" s="12"/>
      <c r="AQ48" s="12"/>
      <c r="AR48" s="12"/>
      <c r="AS48" s="12"/>
      <c r="AT48" s="12"/>
      <c r="AU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</row>
    <row r="49" spans="28:106" ht="11.25" hidden="1" customHeight="1" x14ac:dyDescent="0.25">
      <c r="AB49" s="10" t="s">
        <v>44</v>
      </c>
      <c r="AC49" s="13" t="str">
        <f t="array" ref="AC49">'[1]Общие настройки'!$G$78</f>
        <v>да</v>
      </c>
      <c r="AD49" s="12"/>
      <c r="AE49" s="12"/>
      <c r="AG49" s="12"/>
      <c r="AH49" s="12"/>
      <c r="AI49" s="12"/>
      <c r="AJ49" s="12"/>
      <c r="AK49" s="12"/>
      <c r="AL49" s="12"/>
      <c r="AM49" s="12"/>
      <c r="AN49" s="12"/>
      <c r="AP49" s="12"/>
      <c r="AQ49" s="12"/>
      <c r="AR49" s="12"/>
      <c r="AS49" s="12"/>
      <c r="AT49" s="12"/>
      <c r="AU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</row>
    <row r="50" spans="28:106" ht="11.25" hidden="1" customHeight="1" x14ac:dyDescent="0.25">
      <c r="AB50" s="10" t="s">
        <v>45</v>
      </c>
      <c r="AC50" s="13" t="str">
        <f t="array" ref="AC50">'[1]Общие настройки'!$G$79</f>
        <v>да</v>
      </c>
      <c r="AD50" s="12"/>
      <c r="AE50" s="12"/>
      <c r="AG50" s="12"/>
      <c r="AH50" s="12"/>
      <c r="AI50" s="12"/>
      <c r="AJ50" s="12"/>
      <c r="AK50" s="12"/>
      <c r="AL50" s="12"/>
      <c r="AM50" s="12"/>
      <c r="AN50" s="12"/>
      <c r="AP50" s="12"/>
      <c r="AQ50" s="12"/>
      <c r="AR50" s="12"/>
      <c r="AS50" s="12"/>
      <c r="AT50" s="12"/>
      <c r="AU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</row>
    <row r="51" spans="28:106" ht="11.25" hidden="1" customHeight="1" x14ac:dyDescent="0.25">
      <c r="AB51" s="2" t="s">
        <v>46</v>
      </c>
      <c r="AC51" s="9" t="str">
        <f t="array" ref="AC51">'[1]Общие настройки'!$G$157</f>
        <v>ФАС</v>
      </c>
      <c r="AD51" s="12"/>
      <c r="AE51" s="12"/>
      <c r="AG51" s="12"/>
      <c r="AH51" s="12"/>
      <c r="AI51" s="12"/>
      <c r="AJ51" s="12"/>
      <c r="AK51" s="12"/>
      <c r="AL51" s="12"/>
      <c r="AM51" s="12"/>
      <c r="AN51" s="12"/>
      <c r="AP51" s="12"/>
      <c r="AQ51" s="12"/>
      <c r="AR51" s="12"/>
      <c r="AS51" s="12"/>
      <c r="AT51" s="12"/>
      <c r="AU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</row>
    <row r="52" spans="28:106" ht="11.25" hidden="1" customHeight="1" x14ac:dyDescent="0.25">
      <c r="AB52" s="10" t="s">
        <v>47</v>
      </c>
      <c r="AC52" s="13" t="str">
        <f t="array" ref="AC52">'[1]Общие настройки'!$G$85</f>
        <v>нет</v>
      </c>
      <c r="AD52" s="12"/>
      <c r="AE52" s="12"/>
      <c r="AG52" s="12"/>
      <c r="AH52" s="12"/>
      <c r="AI52" s="12"/>
      <c r="AJ52" s="12"/>
      <c r="AK52" s="12"/>
      <c r="AL52" s="12"/>
      <c r="AM52" s="12"/>
      <c r="AN52" s="12"/>
      <c r="AP52" s="12"/>
      <c r="AQ52" s="12"/>
      <c r="AR52" s="12"/>
      <c r="AS52" s="12"/>
      <c r="AT52" s="12"/>
      <c r="AU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</row>
    <row r="53" spans="28:106" ht="11.25" hidden="1" customHeight="1" x14ac:dyDescent="0.25">
      <c r="AB53" s="10" t="s">
        <v>48</v>
      </c>
      <c r="AC53" s="13" t="b">
        <f t="array" ref="AC53">'[1]СиМ (детально)'!A151</f>
        <v>0</v>
      </c>
      <c r="AD53" s="12"/>
      <c r="AE53" s="12"/>
      <c r="AG53" s="12"/>
      <c r="AH53" s="12"/>
      <c r="AI53" s="12"/>
      <c r="AJ53" s="12"/>
      <c r="AK53" s="12"/>
      <c r="AL53" s="12"/>
      <c r="AM53" s="12"/>
      <c r="AN53" s="12"/>
      <c r="AP53" s="12"/>
      <c r="AQ53" s="12"/>
      <c r="AR53" s="12"/>
      <c r="AS53" s="12"/>
      <c r="AT53" s="12"/>
      <c r="AU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</row>
    <row r="54" spans="28:106" ht="10.5" hidden="1" customHeight="1" x14ac:dyDescent="0.25">
      <c r="AB54" s="2" t="s">
        <v>49</v>
      </c>
      <c r="AC54" s="2" t="str">
        <f>IF('[1]Общие настройки'!$G$162="нет","нет","да")</f>
        <v>нет</v>
      </c>
      <c r="AD54" s="12"/>
      <c r="AE54" s="12"/>
      <c r="AG54" s="12"/>
      <c r="AH54" s="12"/>
      <c r="AI54" s="12"/>
      <c r="AJ54" s="12"/>
      <c r="AK54" s="12"/>
      <c r="AL54" s="12"/>
      <c r="AM54" s="12"/>
      <c r="AN54" s="12"/>
      <c r="AP54" s="12"/>
      <c r="AQ54" s="12"/>
      <c r="AR54" s="12"/>
      <c r="AS54" s="12"/>
      <c r="AT54" s="12"/>
      <c r="AU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</row>
    <row r="55" spans="28:106" ht="10.5" hidden="1" customHeight="1" x14ac:dyDescent="0.25">
      <c r="AB55" s="14" t="s">
        <v>50</v>
      </c>
      <c r="AC55" s="2" t="str">
        <f>IF(region_name="Белгородская область","да","нет")</f>
        <v>нет</v>
      </c>
      <c r="AD55" s="12"/>
      <c r="AE55" s="12"/>
      <c r="AG55" s="12"/>
      <c r="AH55" s="12"/>
      <c r="AI55" s="12"/>
      <c r="AJ55" s="12"/>
      <c r="AK55" s="12"/>
      <c r="AL55" s="12"/>
      <c r="AM55" s="12"/>
      <c r="AN55" s="12"/>
      <c r="AP55" s="12"/>
      <c r="AQ55" s="12"/>
      <c r="AR55" s="12"/>
      <c r="AS55" s="12"/>
      <c r="AT55" s="12"/>
      <c r="AU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</row>
    <row r="56" spans="28:106" ht="10.5" hidden="1" customHeight="1" x14ac:dyDescent="0.25">
      <c r="AB56" s="10" t="s">
        <v>51</v>
      </c>
      <c r="AC56" s="10" t="str">
        <f t="array" ref="AC56">'[1]Общие настройки'!G65</f>
        <v>нет</v>
      </c>
      <c r="AD56" s="12"/>
      <c r="AE56" s="12"/>
      <c r="AG56" s="12"/>
      <c r="AH56" s="12"/>
      <c r="AI56" s="12"/>
      <c r="AJ56" s="12"/>
      <c r="AK56" s="12"/>
      <c r="AL56" s="12"/>
      <c r="AM56" s="12"/>
      <c r="AN56" s="12"/>
      <c r="AP56" s="12"/>
      <c r="AQ56" s="12"/>
      <c r="AR56" s="12"/>
      <c r="AS56" s="12"/>
      <c r="AT56" s="12"/>
      <c r="AU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</row>
    <row r="57" spans="28:106" ht="14.25" hidden="1" customHeight="1" x14ac:dyDescent="0.25">
      <c r="AB57" s="10"/>
      <c r="AC57" s="13"/>
      <c r="AD57" s="12"/>
      <c r="AE57" s="12"/>
      <c r="AG57" s="12"/>
      <c r="AH57" s="12"/>
      <c r="AI57" s="12"/>
      <c r="AJ57" s="12"/>
      <c r="AK57" s="12"/>
      <c r="AL57" s="12"/>
      <c r="AM57" s="12"/>
      <c r="AN57" s="12"/>
      <c r="AP57" s="12"/>
      <c r="AQ57" s="12"/>
      <c r="AR57" s="12"/>
      <c r="AS57" s="12"/>
      <c r="AT57" s="12"/>
      <c r="AU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</row>
    <row r="58" spans="28:106" ht="14.25" hidden="1" customHeight="1" x14ac:dyDescent="0.25">
      <c r="AB58" s="10"/>
      <c r="AC58" s="13"/>
      <c r="AD58" s="12"/>
      <c r="AE58" s="12"/>
      <c r="AG58" s="12"/>
      <c r="AH58" s="12"/>
      <c r="AI58" s="12"/>
      <c r="AJ58" s="12"/>
      <c r="AK58" s="12"/>
      <c r="AL58" s="12"/>
      <c r="AM58" s="12"/>
      <c r="AN58" s="12"/>
      <c r="AP58" s="12"/>
      <c r="AQ58" s="12"/>
      <c r="AR58" s="12"/>
      <c r="AS58" s="12"/>
      <c r="AT58" s="12"/>
      <c r="AU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</row>
    <row r="59" spans="28:106" ht="14.25" hidden="1" customHeight="1" x14ac:dyDescent="0.25">
      <c r="AB59" s="10"/>
      <c r="AC59" s="13"/>
      <c r="AD59" s="12"/>
      <c r="AE59" s="12"/>
      <c r="AG59" s="12"/>
      <c r="AH59" s="12"/>
      <c r="AI59" s="12"/>
      <c r="AJ59" s="12"/>
      <c r="AK59" s="12"/>
      <c r="AL59" s="12"/>
      <c r="AM59" s="12"/>
      <c r="AN59" s="12"/>
      <c r="AP59" s="12"/>
      <c r="AQ59" s="12"/>
      <c r="AR59" s="12"/>
      <c r="AS59" s="12"/>
      <c r="AT59" s="12"/>
      <c r="AU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</row>
    <row r="60" spans="28:106" ht="14.25" hidden="1" customHeight="1" x14ac:dyDescent="0.25">
      <c r="AB60" s="10"/>
      <c r="AC60" s="13"/>
      <c r="AD60" s="12"/>
      <c r="AE60" s="12"/>
      <c r="AG60" s="12"/>
      <c r="AH60" s="12"/>
      <c r="AI60" s="12"/>
      <c r="AJ60" s="12"/>
      <c r="AK60" s="12"/>
      <c r="AL60" s="12"/>
      <c r="AM60" s="12"/>
      <c r="AN60" s="12"/>
      <c r="AP60" s="12"/>
      <c r="AQ60" s="12"/>
      <c r="AR60" s="12"/>
      <c r="AS60" s="12"/>
      <c r="AT60" s="12"/>
      <c r="AU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</row>
    <row r="61" spans="28:106" ht="14.25" hidden="1" customHeight="1" x14ac:dyDescent="0.25">
      <c r="AB61" s="10"/>
      <c r="AC61" s="13"/>
      <c r="AD61" s="12"/>
      <c r="AE61" s="12"/>
      <c r="AG61" s="12"/>
      <c r="AH61" s="12"/>
      <c r="AI61" s="12"/>
      <c r="AJ61" s="12"/>
      <c r="AK61" s="12"/>
      <c r="AL61" s="12"/>
      <c r="AM61" s="12"/>
      <c r="AN61" s="12"/>
      <c r="AP61" s="12"/>
      <c r="AQ61" s="12"/>
      <c r="AR61" s="12"/>
      <c r="AS61" s="12"/>
      <c r="AT61" s="12"/>
      <c r="AU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</row>
    <row r="62" spans="28:106" ht="14.25" hidden="1" customHeight="1" x14ac:dyDescent="0.25">
      <c r="AB62" s="10"/>
      <c r="AC62" s="13"/>
      <c r="AD62" s="12"/>
      <c r="AE62" s="12"/>
      <c r="AG62" s="12"/>
      <c r="AH62" s="12"/>
      <c r="AI62" s="12"/>
      <c r="AJ62" s="12"/>
      <c r="AK62" s="12"/>
      <c r="AL62" s="12"/>
      <c r="AM62" s="12"/>
      <c r="AN62" s="12"/>
      <c r="AP62" s="12"/>
      <c r="AQ62" s="12"/>
      <c r="AR62" s="12"/>
      <c r="AS62" s="12"/>
      <c r="AT62" s="12"/>
      <c r="AU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</row>
    <row r="63" spans="28:106" ht="14.25" hidden="1" customHeight="1" x14ac:dyDescent="0.25">
      <c r="AB63" s="10"/>
      <c r="AC63" s="13"/>
      <c r="AD63" s="12"/>
      <c r="AE63" s="12"/>
      <c r="AG63" s="12"/>
      <c r="AH63" s="12"/>
      <c r="AI63" s="12"/>
      <c r="AJ63" s="12"/>
      <c r="AK63" s="12"/>
      <c r="AL63" s="12"/>
      <c r="AM63" s="12"/>
      <c r="AN63" s="12"/>
      <c r="AP63" s="12"/>
      <c r="AQ63" s="12"/>
      <c r="AR63" s="12"/>
      <c r="AS63" s="12"/>
      <c r="AT63" s="12"/>
      <c r="AU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</row>
    <row r="64" spans="28:106" ht="14.25" hidden="1" customHeight="1" x14ac:dyDescent="0.25">
      <c r="AB64" s="10"/>
      <c r="AC64" s="13"/>
      <c r="AD64" s="12"/>
      <c r="AE64" s="12"/>
      <c r="AG64" s="12"/>
      <c r="AH64" s="12"/>
      <c r="AI64" s="12"/>
      <c r="AJ64" s="12"/>
      <c r="AK64" s="12"/>
      <c r="AL64" s="12"/>
      <c r="AM64" s="12"/>
      <c r="AN64" s="12"/>
      <c r="AP64" s="12"/>
      <c r="AQ64" s="12"/>
      <c r="AR64" s="12"/>
      <c r="AS64" s="12"/>
      <c r="AT64" s="12"/>
      <c r="AU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</row>
    <row r="65" spans="27:106" ht="14.25" hidden="1" customHeight="1" x14ac:dyDescent="0.25">
      <c r="AB65" s="10"/>
      <c r="AC65" s="13"/>
      <c r="AD65" s="12"/>
      <c r="AE65" s="12"/>
      <c r="AG65" s="12"/>
      <c r="AH65" s="12"/>
      <c r="AI65" s="12"/>
      <c r="AJ65" s="12"/>
      <c r="AK65" s="12"/>
      <c r="AL65" s="12"/>
      <c r="AM65" s="12"/>
      <c r="AN65" s="12"/>
      <c r="AP65" s="12"/>
      <c r="AQ65" s="12"/>
      <c r="AR65" s="12"/>
      <c r="AS65" s="12"/>
      <c r="AT65" s="12"/>
      <c r="AU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</row>
    <row r="66" spans="27:106" ht="14.25" hidden="1" customHeight="1" x14ac:dyDescent="0.25">
      <c r="AB66" s="10"/>
      <c r="AC66" s="13"/>
      <c r="AD66" s="12"/>
      <c r="AE66" s="12"/>
      <c r="AG66" s="12"/>
      <c r="AH66" s="12"/>
      <c r="AI66" s="12"/>
      <c r="AJ66" s="12"/>
      <c r="AK66" s="12"/>
      <c r="AL66" s="12"/>
      <c r="AM66" s="12"/>
      <c r="AN66" s="12"/>
      <c r="AP66" s="12"/>
      <c r="AQ66" s="12"/>
      <c r="AR66" s="12"/>
      <c r="AS66" s="12"/>
      <c r="AT66" s="12"/>
      <c r="AU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</row>
    <row r="67" spans="27:106" ht="14.25" hidden="1" customHeight="1" x14ac:dyDescent="0.25">
      <c r="AB67" s="10"/>
      <c r="AC67" s="13"/>
      <c r="AD67" s="12"/>
      <c r="AE67" s="12"/>
      <c r="AG67" s="12"/>
      <c r="AH67" s="12"/>
      <c r="AI67" s="12"/>
      <c r="AJ67" s="12"/>
      <c r="AK67" s="12"/>
      <c r="AL67" s="12"/>
      <c r="AM67" s="12"/>
      <c r="AN67" s="12"/>
      <c r="AP67" s="12"/>
      <c r="AQ67" s="12"/>
      <c r="AR67" s="12"/>
      <c r="AS67" s="12"/>
      <c r="AT67" s="12"/>
      <c r="AU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</row>
    <row r="68" spans="27:106" ht="14.25" hidden="1" customHeight="1" x14ac:dyDescent="0.25">
      <c r="AB68" s="10"/>
      <c r="AC68" s="13"/>
      <c r="AD68" s="12"/>
      <c r="AE68" s="12"/>
      <c r="AG68" s="12"/>
      <c r="AH68" s="12"/>
      <c r="AI68" s="12"/>
      <c r="AJ68" s="12"/>
      <c r="AK68" s="12"/>
      <c r="AL68" s="12"/>
      <c r="AM68" s="12"/>
      <c r="AN68" s="12"/>
      <c r="AP68" s="12"/>
      <c r="AQ68" s="12"/>
      <c r="AR68" s="12"/>
      <c r="AS68" s="12"/>
      <c r="AT68" s="12"/>
      <c r="AU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</row>
    <row r="69" spans="27:106" ht="14.25" hidden="1" customHeight="1" x14ac:dyDescent="0.25">
      <c r="AB69" s="10"/>
      <c r="AC69" s="13"/>
      <c r="AD69" s="12"/>
      <c r="AE69" s="12"/>
      <c r="AG69" s="12"/>
      <c r="AH69" s="12"/>
      <c r="AI69" s="12"/>
      <c r="AJ69" s="12"/>
      <c r="AK69" s="12"/>
      <c r="AL69" s="12"/>
      <c r="AM69" s="12"/>
      <c r="AN69" s="12"/>
      <c r="AP69" s="12"/>
      <c r="AQ69" s="12"/>
      <c r="AR69" s="12"/>
      <c r="AS69" s="12"/>
      <c r="AT69" s="12"/>
      <c r="AU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</row>
    <row r="70" spans="27:106" ht="14.25" hidden="1" customHeight="1" x14ac:dyDescent="0.25">
      <c r="AB70" s="10"/>
      <c r="AC70" s="13"/>
      <c r="AD70" s="12"/>
      <c r="AE70" s="12"/>
      <c r="AG70" s="12"/>
      <c r="AH70" s="12"/>
      <c r="AI70" s="12"/>
      <c r="AJ70" s="12"/>
      <c r="AK70" s="12"/>
      <c r="AL70" s="12"/>
      <c r="AM70" s="12"/>
      <c r="AN70" s="12"/>
      <c r="AP70" s="12"/>
      <c r="AQ70" s="12"/>
      <c r="AR70" s="12"/>
      <c r="AS70" s="12"/>
      <c r="AT70" s="12"/>
      <c r="AU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</row>
    <row r="71" spans="27:106" ht="12" customHeight="1" x14ac:dyDescent="0.25">
      <c r="AD71" s="12"/>
      <c r="AE71" s="12"/>
      <c r="AG71" s="15"/>
      <c r="AH71" s="15"/>
      <c r="AI71" s="12"/>
      <c r="AJ71" s="15"/>
      <c r="AK71" s="15"/>
      <c r="AL71" s="15"/>
      <c r="AM71" s="15"/>
      <c r="AN71" s="12"/>
      <c r="AP71" s="15"/>
      <c r="AQ71" s="15"/>
      <c r="AR71" s="12"/>
      <c r="AS71" s="15"/>
      <c r="AT71" s="15"/>
      <c r="AU71" s="12"/>
      <c r="AW71" s="15"/>
      <c r="AX71" s="15"/>
      <c r="AY71" s="12"/>
      <c r="AZ71" s="15"/>
      <c r="BA71" s="15"/>
      <c r="BB71" s="15"/>
      <c r="BC71" s="15"/>
      <c r="BD71" s="12"/>
      <c r="BE71" s="15"/>
      <c r="BF71" s="15"/>
      <c r="BG71" s="12"/>
      <c r="BH71" s="12"/>
      <c r="BI71" s="12"/>
      <c r="BJ71" s="12"/>
      <c r="BK71" s="15"/>
      <c r="BL71" s="15"/>
      <c r="BM71" s="12"/>
      <c r="BN71" s="15"/>
      <c r="BO71" s="15"/>
      <c r="BP71" s="12"/>
      <c r="BQ71" s="12"/>
      <c r="BR71" s="12"/>
      <c r="BS71" s="15"/>
      <c r="BT71" s="15"/>
      <c r="BU71" s="12"/>
      <c r="BV71" s="15"/>
      <c r="BW71" s="15"/>
      <c r="BX71" s="12"/>
      <c r="BY71" s="12"/>
      <c r="BZ71" s="12"/>
      <c r="CA71" s="15"/>
      <c r="CB71" s="15"/>
      <c r="CC71" s="12"/>
      <c r="CD71" s="15"/>
      <c r="CE71" s="15"/>
      <c r="CF71" s="12"/>
      <c r="CG71" s="12"/>
      <c r="CH71" s="12"/>
      <c r="CI71" s="15"/>
      <c r="CJ71" s="15"/>
      <c r="CK71" s="12"/>
      <c r="CL71" s="15"/>
      <c r="CM71" s="15"/>
      <c r="CN71" s="12"/>
      <c r="CO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</row>
    <row r="72" spans="27:106" ht="19.5" customHeight="1" x14ac:dyDescent="0.15">
      <c r="AA72" s="16"/>
      <c r="AB72" s="384" t="s">
        <v>52</v>
      </c>
      <c r="AC72" s="384"/>
      <c r="AD72" s="384"/>
      <c r="AE72" s="12"/>
      <c r="AG72" s="15"/>
      <c r="AH72" s="15"/>
      <c r="AI72" s="12"/>
      <c r="AJ72" s="15"/>
      <c r="AK72" s="15"/>
      <c r="AL72" s="15"/>
      <c r="AM72" s="15"/>
      <c r="AN72" s="12"/>
      <c r="AP72" s="15"/>
      <c r="AQ72" s="15"/>
      <c r="AR72" s="12"/>
      <c r="AS72" s="15"/>
      <c r="AT72" s="15"/>
      <c r="AU72" s="12"/>
      <c r="AW72" s="15"/>
      <c r="AX72" s="15"/>
      <c r="AY72" s="12"/>
      <c r="AZ72" s="15"/>
      <c r="BA72" s="15"/>
      <c r="BB72" s="15"/>
      <c r="BC72" s="15"/>
      <c r="BD72" s="12"/>
      <c r="BE72" s="15"/>
      <c r="BF72" s="15"/>
      <c r="BG72" s="12"/>
      <c r="BH72" s="12"/>
      <c r="BI72" s="12"/>
      <c r="BJ72" s="12"/>
      <c r="BK72" s="15"/>
      <c r="BL72" s="15"/>
      <c r="BM72" s="12"/>
      <c r="BN72" s="15"/>
      <c r="BO72" s="15"/>
      <c r="BP72" s="12"/>
      <c r="BQ72" s="12"/>
      <c r="BR72" s="12"/>
      <c r="BS72" s="15"/>
      <c r="BT72" s="15"/>
      <c r="BU72" s="12"/>
      <c r="BV72" s="15"/>
      <c r="BW72" s="15"/>
      <c r="BX72" s="12"/>
      <c r="BY72" s="12"/>
      <c r="BZ72" s="12"/>
      <c r="CA72" s="15"/>
      <c r="CB72" s="15"/>
      <c r="CC72" s="12"/>
      <c r="CD72" s="15"/>
      <c r="CE72" s="15"/>
      <c r="CF72" s="12"/>
      <c r="CG72" s="12"/>
      <c r="CH72" s="12"/>
      <c r="CI72" s="15"/>
      <c r="CJ72" s="15"/>
      <c r="CK72" s="12"/>
      <c r="CL72" s="15"/>
      <c r="CM72" s="15"/>
      <c r="CN72" s="12"/>
      <c r="CO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</row>
    <row r="73" spans="27:106" ht="14.25" hidden="1" customHeight="1" x14ac:dyDescent="0.25">
      <c r="AB73" s="17"/>
      <c r="AC73" s="18"/>
      <c r="AD73" s="12"/>
      <c r="AE73" s="12"/>
      <c r="AG73" s="15"/>
      <c r="AH73" s="15"/>
      <c r="AI73" s="12"/>
      <c r="AJ73" s="15"/>
      <c r="AK73" s="15"/>
      <c r="AL73" s="15"/>
      <c r="AM73" s="15"/>
      <c r="AN73" s="12"/>
      <c r="AP73" s="15"/>
      <c r="AQ73" s="15"/>
      <c r="AR73" s="12"/>
      <c r="AS73" s="15"/>
      <c r="AT73" s="15"/>
      <c r="AU73" s="12"/>
      <c r="AW73" s="15"/>
      <c r="AX73" s="15"/>
      <c r="AY73" s="12"/>
      <c r="AZ73" s="15"/>
      <c r="BA73" s="15"/>
      <c r="BB73" s="15"/>
      <c r="BC73" s="15"/>
      <c r="BD73" s="12"/>
      <c r="BE73" s="15"/>
      <c r="BF73" s="15"/>
      <c r="BG73" s="12"/>
      <c r="BH73" s="12"/>
      <c r="BI73" s="12"/>
      <c r="BJ73" s="12"/>
      <c r="BK73" s="15"/>
      <c r="BL73" s="15"/>
      <c r="BM73" s="12"/>
      <c r="BN73" s="15"/>
      <c r="BO73" s="15"/>
      <c r="BP73" s="12"/>
      <c r="BQ73" s="12"/>
      <c r="BR73" s="12"/>
      <c r="BS73" s="15"/>
      <c r="BT73" s="15"/>
      <c r="BU73" s="12"/>
      <c r="BV73" s="15"/>
      <c r="BW73" s="15"/>
      <c r="BX73" s="12"/>
      <c r="BY73" s="12"/>
      <c r="BZ73" s="12"/>
      <c r="CA73" s="15"/>
      <c r="CB73" s="15"/>
      <c r="CC73" s="12"/>
      <c r="CD73" s="15"/>
      <c r="CE73" s="15"/>
      <c r="CF73" s="12"/>
      <c r="CG73" s="12"/>
      <c r="CH73" s="12"/>
      <c r="CI73" s="15"/>
      <c r="CJ73" s="15"/>
      <c r="CK73" s="12"/>
      <c r="CL73" s="15"/>
      <c r="CM73" s="15"/>
      <c r="CN73" s="12"/>
      <c r="CO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</row>
    <row r="74" spans="27:106" ht="14.25" hidden="1" customHeight="1" x14ac:dyDescent="0.25">
      <c r="AB74" s="17"/>
      <c r="AC74" s="18"/>
      <c r="AD74" s="12"/>
      <c r="AE74" s="12"/>
      <c r="AG74" s="15"/>
      <c r="AH74" s="15"/>
      <c r="AI74" s="12"/>
      <c r="AJ74" s="15"/>
      <c r="AK74" s="15"/>
      <c r="AL74" s="15"/>
      <c r="AM74" s="15"/>
      <c r="AN74" s="12"/>
      <c r="AP74" s="15"/>
      <c r="AQ74" s="15"/>
      <c r="AR74" s="12"/>
      <c r="AS74" s="15"/>
      <c r="AT74" s="15"/>
      <c r="AU74" s="12"/>
      <c r="AW74" s="15"/>
      <c r="AX74" s="15"/>
      <c r="AY74" s="12"/>
      <c r="AZ74" s="15"/>
      <c r="BA74" s="15"/>
      <c r="BB74" s="15"/>
      <c r="BC74" s="15"/>
      <c r="BD74" s="12"/>
      <c r="BE74" s="15"/>
      <c r="BF74" s="15"/>
      <c r="BG74" s="12"/>
      <c r="BH74" s="12"/>
      <c r="BI74" s="12"/>
      <c r="BJ74" s="12"/>
      <c r="BK74" s="15"/>
      <c r="BL74" s="15"/>
      <c r="BM74" s="12"/>
      <c r="BN74" s="15"/>
      <c r="BO74" s="15"/>
      <c r="BP74" s="12"/>
      <c r="BQ74" s="12"/>
      <c r="BR74" s="12"/>
      <c r="BS74" s="15"/>
      <c r="BT74" s="15"/>
      <c r="BU74" s="12"/>
      <c r="BV74" s="15"/>
      <c r="BW74" s="15"/>
      <c r="BX74" s="12"/>
      <c r="BY74" s="12"/>
      <c r="BZ74" s="12"/>
      <c r="CA74" s="15"/>
      <c r="CB74" s="15"/>
      <c r="CC74" s="12"/>
      <c r="CD74" s="15"/>
      <c r="CE74" s="15"/>
      <c r="CF74" s="12"/>
      <c r="CG74" s="12"/>
      <c r="CH74" s="12"/>
      <c r="CI74" s="15"/>
      <c r="CJ74" s="15"/>
      <c r="CK74" s="12"/>
      <c r="CL74" s="15"/>
      <c r="CM74" s="15"/>
      <c r="CN74" s="12"/>
      <c r="CO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</row>
    <row r="75" spans="27:106" ht="14.25" hidden="1" customHeight="1" x14ac:dyDescent="0.25">
      <c r="AB75" s="17"/>
      <c r="AC75" s="18"/>
      <c r="AD75" s="12"/>
      <c r="AE75" s="12"/>
      <c r="AG75" s="15"/>
      <c r="AH75" s="15"/>
      <c r="AI75" s="12"/>
      <c r="AJ75" s="15"/>
      <c r="AK75" s="15"/>
      <c r="AL75" s="15"/>
      <c r="AM75" s="15"/>
      <c r="AN75" s="12"/>
      <c r="AP75" s="15"/>
      <c r="AQ75" s="15"/>
      <c r="AR75" s="12"/>
      <c r="AS75" s="15"/>
      <c r="AT75" s="15"/>
      <c r="AU75" s="12"/>
      <c r="AW75" s="15"/>
      <c r="AX75" s="15"/>
      <c r="AY75" s="12"/>
      <c r="AZ75" s="15"/>
      <c r="BA75" s="15"/>
      <c r="BB75" s="15"/>
      <c r="BC75" s="15"/>
      <c r="BD75" s="12"/>
      <c r="BE75" s="15"/>
      <c r="BF75" s="15"/>
      <c r="BG75" s="12"/>
      <c r="BH75" s="12"/>
      <c r="BI75" s="12"/>
      <c r="BJ75" s="12"/>
      <c r="BK75" s="15"/>
      <c r="BL75" s="15"/>
      <c r="BM75" s="12"/>
      <c r="BN75" s="15"/>
      <c r="BO75" s="15"/>
      <c r="BP75" s="12"/>
      <c r="BQ75" s="12"/>
      <c r="BR75" s="12"/>
      <c r="BS75" s="15"/>
      <c r="BT75" s="15"/>
      <c r="BU75" s="12"/>
      <c r="BV75" s="15"/>
      <c r="BW75" s="15"/>
      <c r="BX75" s="12"/>
      <c r="BY75" s="12"/>
      <c r="BZ75" s="12"/>
      <c r="CA75" s="15"/>
      <c r="CB75" s="15"/>
      <c r="CC75" s="12"/>
      <c r="CD75" s="15"/>
      <c r="CE75" s="15"/>
      <c r="CF75" s="12"/>
      <c r="CG75" s="12"/>
      <c r="CH75" s="12"/>
      <c r="CI75" s="15"/>
      <c r="CJ75" s="15"/>
      <c r="CK75" s="12"/>
      <c r="CL75" s="15"/>
      <c r="CM75" s="15"/>
      <c r="CN75" s="12"/>
      <c r="CO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</row>
    <row r="76" spans="27:106" ht="14.25" hidden="1" customHeight="1" x14ac:dyDescent="0.25">
      <c r="AB76" s="17"/>
      <c r="AC76" s="18"/>
      <c r="AD76" s="12"/>
      <c r="AE76" s="12"/>
      <c r="AG76" s="15"/>
      <c r="AH76" s="15"/>
      <c r="AI76" s="12"/>
      <c r="AJ76" s="15"/>
      <c r="AK76" s="15"/>
      <c r="AL76" s="15"/>
      <c r="AM76" s="15"/>
      <c r="AN76" s="12"/>
      <c r="AP76" s="15"/>
      <c r="AQ76" s="15"/>
      <c r="AR76" s="12"/>
      <c r="AS76" s="15"/>
      <c r="AT76" s="15"/>
      <c r="AU76" s="12"/>
      <c r="AW76" s="15"/>
      <c r="AX76" s="15"/>
      <c r="AY76" s="12"/>
      <c r="AZ76" s="15"/>
      <c r="BA76" s="15"/>
      <c r="BB76" s="15"/>
      <c r="BC76" s="15"/>
      <c r="BD76" s="12"/>
      <c r="BE76" s="15"/>
      <c r="BF76" s="15"/>
      <c r="BG76" s="12"/>
      <c r="BH76" s="12"/>
      <c r="BI76" s="12"/>
      <c r="BJ76" s="12"/>
      <c r="BK76" s="15"/>
      <c r="BL76" s="15"/>
      <c r="BM76" s="12"/>
      <c r="BN76" s="15"/>
      <c r="BO76" s="15"/>
      <c r="BP76" s="12"/>
      <c r="BQ76" s="12"/>
      <c r="BR76" s="12"/>
      <c r="BS76" s="15"/>
      <c r="BT76" s="15"/>
      <c r="BU76" s="12"/>
      <c r="BV76" s="15"/>
      <c r="BW76" s="15"/>
      <c r="BX76" s="12"/>
      <c r="BY76" s="12"/>
      <c r="BZ76" s="12"/>
      <c r="CA76" s="15"/>
      <c r="CB76" s="15"/>
      <c r="CC76" s="12"/>
      <c r="CD76" s="15"/>
      <c r="CE76" s="15"/>
      <c r="CF76" s="12"/>
      <c r="CG76" s="12"/>
      <c r="CH76" s="12"/>
      <c r="CI76" s="15"/>
      <c r="CJ76" s="15"/>
      <c r="CK76" s="12"/>
      <c r="CL76" s="15"/>
      <c r="CM76" s="15"/>
      <c r="CN76" s="12"/>
      <c r="CO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</row>
    <row r="77" spans="27:106" ht="5.25" customHeight="1" x14ac:dyDescent="0.25">
      <c r="AD77" s="12"/>
      <c r="AE77" s="12"/>
      <c r="AG77" s="15"/>
      <c r="AH77" s="15"/>
      <c r="AI77" s="12"/>
      <c r="AJ77" s="15"/>
      <c r="AK77" s="15"/>
      <c r="AL77" s="15"/>
      <c r="AM77" s="15"/>
      <c r="AN77" s="12"/>
      <c r="AP77" s="15"/>
      <c r="AQ77" s="15"/>
      <c r="AR77" s="12"/>
      <c r="AS77" s="15"/>
      <c r="AT77" s="15"/>
      <c r="AU77" s="12"/>
      <c r="AW77" s="15"/>
      <c r="AX77" s="15"/>
      <c r="AY77" s="12"/>
      <c r="AZ77" s="15"/>
      <c r="BA77" s="15"/>
      <c r="BB77" s="15"/>
      <c r="BC77" s="15"/>
      <c r="BD77" s="12"/>
      <c r="BE77" s="15"/>
      <c r="BF77" s="15"/>
      <c r="BG77" s="12"/>
      <c r="BH77" s="12"/>
      <c r="BI77" s="12"/>
      <c r="BJ77" s="12"/>
      <c r="BK77" s="15"/>
      <c r="BL77" s="15"/>
      <c r="BM77" s="12"/>
      <c r="BN77" s="15"/>
      <c r="BO77" s="15"/>
      <c r="BP77" s="12"/>
      <c r="BQ77" s="12"/>
      <c r="BR77" s="12"/>
      <c r="BS77" s="15"/>
      <c r="BT77" s="15"/>
      <c r="BU77" s="12"/>
      <c r="BV77" s="15"/>
      <c r="BW77" s="15"/>
      <c r="BX77" s="12"/>
      <c r="BY77" s="12"/>
      <c r="BZ77" s="12"/>
      <c r="CA77" s="15"/>
      <c r="CB77" s="15"/>
      <c r="CC77" s="12"/>
      <c r="CD77" s="15"/>
      <c r="CE77" s="15"/>
      <c r="CF77" s="12"/>
      <c r="CG77" s="12"/>
      <c r="CH77" s="12"/>
      <c r="CI77" s="15"/>
      <c r="CJ77" s="15"/>
      <c r="CK77" s="12"/>
      <c r="CL77" s="15"/>
      <c r="CM77" s="15"/>
      <c r="CN77" s="12"/>
      <c r="CO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</row>
    <row r="78" spans="27:106" ht="14.25" customHeight="1" x14ac:dyDescent="0.25">
      <c r="AA78" s="372" t="s">
        <v>53</v>
      </c>
      <c r="AB78" s="373"/>
      <c r="AC78" s="374" t="str">
        <f t="array" ref="AC78">org</f>
        <v>ГП КО "Водоканал"</v>
      </c>
      <c r="AD78" s="375"/>
      <c r="AE78" s="375"/>
      <c r="AF78" s="375"/>
      <c r="AG78" s="376"/>
      <c r="AH78" s="376"/>
      <c r="AI78" s="375"/>
      <c r="AJ78" s="376"/>
      <c r="AK78" s="377"/>
      <c r="AL78" s="15"/>
      <c r="AM78" s="15"/>
      <c r="AN78" s="12"/>
      <c r="AP78" s="15"/>
      <c r="AQ78" s="15"/>
      <c r="AR78" s="12"/>
      <c r="AS78" s="15"/>
      <c r="AT78" s="15"/>
      <c r="AU78" s="12"/>
      <c r="AW78" s="15"/>
      <c r="AX78" s="15"/>
      <c r="AY78" s="12"/>
      <c r="AZ78" s="15"/>
      <c r="BA78" s="15"/>
      <c r="BB78" s="15"/>
      <c r="BC78" s="15"/>
      <c r="BD78" s="12"/>
      <c r="BE78" s="15"/>
      <c r="BF78" s="15"/>
      <c r="BG78" s="12"/>
      <c r="BH78" s="12"/>
      <c r="BI78" s="12"/>
      <c r="BJ78" s="12"/>
      <c r="BK78" s="15"/>
      <c r="BL78" s="15"/>
      <c r="BM78" s="12"/>
      <c r="BN78" s="15"/>
      <c r="BO78" s="15"/>
      <c r="BP78" s="12"/>
      <c r="BQ78" s="12"/>
      <c r="BR78" s="12"/>
      <c r="BS78" s="15"/>
      <c r="BT78" s="15"/>
      <c r="BU78" s="12"/>
      <c r="BV78" s="15"/>
      <c r="BW78" s="15"/>
      <c r="BX78" s="12"/>
      <c r="BY78" s="12"/>
      <c r="BZ78" s="12"/>
      <c r="CA78" s="15"/>
      <c r="CB78" s="15"/>
      <c r="CC78" s="12"/>
      <c r="CD78" s="15"/>
      <c r="CE78" s="15"/>
      <c r="CF78" s="12"/>
      <c r="CG78" s="12"/>
      <c r="CH78" s="12"/>
      <c r="CI78" s="15"/>
      <c r="CJ78" s="15"/>
      <c r="CK78" s="12"/>
      <c r="CL78" s="15"/>
      <c r="CM78" s="15"/>
      <c r="CN78" s="12"/>
      <c r="CO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</row>
    <row r="79" spans="27:106" ht="14.25" customHeight="1" x14ac:dyDescent="0.25">
      <c r="AA79" s="372" t="s">
        <v>54</v>
      </c>
      <c r="AB79" s="373"/>
      <c r="AC79" s="374" t="str">
        <f t="array" ref="AC79">[1]Тарифы!AC87</f>
        <v>Тариф на водоотведение</v>
      </c>
      <c r="AD79" s="375"/>
      <c r="AE79" s="375"/>
      <c r="AF79" s="375"/>
      <c r="AG79" s="376"/>
      <c r="AH79" s="376"/>
      <c r="AI79" s="375"/>
      <c r="AJ79" s="376"/>
      <c r="AK79" s="377"/>
      <c r="AL79" s="15"/>
      <c r="AM79" s="15"/>
      <c r="AN79" s="12"/>
      <c r="AP79" s="15"/>
      <c r="AQ79" s="15"/>
      <c r="AR79" s="12"/>
      <c r="AS79" s="15"/>
      <c r="AT79" s="15"/>
      <c r="AU79" s="12"/>
      <c r="AW79" s="15"/>
      <c r="AX79" s="15"/>
      <c r="AY79" s="12"/>
      <c r="AZ79" s="15"/>
      <c r="BA79" s="15"/>
      <c r="BB79" s="15"/>
      <c r="BC79" s="15"/>
      <c r="BD79" s="12"/>
      <c r="BE79" s="15"/>
      <c r="BF79" s="15"/>
      <c r="BG79" s="12"/>
      <c r="BH79" s="12"/>
      <c r="BI79" s="12"/>
      <c r="BJ79" s="12"/>
      <c r="BK79" s="15"/>
      <c r="BL79" s="15"/>
      <c r="BM79" s="12"/>
      <c r="BN79" s="15"/>
      <c r="BO79" s="15"/>
      <c r="BP79" s="12"/>
      <c r="BQ79" s="12"/>
      <c r="BR79" s="12"/>
      <c r="BS79" s="15"/>
      <c r="BT79" s="15"/>
      <c r="BU79" s="12"/>
      <c r="BV79" s="15"/>
      <c r="BW79" s="15"/>
      <c r="BX79" s="12"/>
      <c r="BY79" s="12"/>
      <c r="BZ79" s="12"/>
      <c r="CA79" s="15"/>
      <c r="CB79" s="15"/>
      <c r="CC79" s="12"/>
      <c r="CD79" s="15"/>
      <c r="CE79" s="15"/>
      <c r="CF79" s="12"/>
      <c r="CG79" s="12"/>
      <c r="CH79" s="12"/>
      <c r="CI79" s="15"/>
      <c r="CJ79" s="15"/>
      <c r="CK79" s="12"/>
      <c r="CL79" s="15"/>
      <c r="CM79" s="15"/>
      <c r="CN79" s="12"/>
      <c r="CO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</row>
    <row r="80" spans="27:106" ht="14.25" customHeight="1" x14ac:dyDescent="0.25">
      <c r="AA80" s="372" t="s">
        <v>55</v>
      </c>
      <c r="AB80" s="373"/>
      <c r="AC80" s="374" t="str">
        <f>IF(PERIOD_LENGTH=1,god,FIRST_PERIOD_IN_LT&amp;" - "&amp;FIRST_PERIOD_IN_LT+PERIOD_LENGTH-1)</f>
        <v>2024 - 2028</v>
      </c>
      <c r="AD80" s="375"/>
      <c r="AE80" s="375"/>
      <c r="AF80" s="375"/>
      <c r="AG80" s="376"/>
      <c r="AH80" s="376"/>
      <c r="AI80" s="375"/>
      <c r="AJ80" s="376"/>
      <c r="AK80" s="377"/>
      <c r="AL80" s="15"/>
      <c r="AM80" s="15"/>
      <c r="AN80" s="12"/>
      <c r="AP80" s="15"/>
      <c r="AQ80" s="15"/>
      <c r="AR80" s="12"/>
      <c r="AS80" s="15"/>
      <c r="AT80" s="15"/>
      <c r="AU80" s="12"/>
      <c r="AW80" s="15"/>
      <c r="AX80" s="15"/>
      <c r="AY80" s="12"/>
      <c r="AZ80" s="15"/>
      <c r="BA80" s="15"/>
      <c r="BB80" s="15"/>
      <c r="BC80" s="15"/>
      <c r="BD80" s="292" t="str">
        <f>IF(region_name="г.Санкт-Петербург","индексировать","не индексировать")</f>
        <v>не индексировать</v>
      </c>
      <c r="BE80" s="15"/>
      <c r="BF80" s="15"/>
      <c r="BG80" s="12"/>
      <c r="BH80" s="12"/>
      <c r="BI80" s="12"/>
      <c r="BJ80" s="12"/>
      <c r="BK80" s="15"/>
      <c r="BL80" s="15"/>
      <c r="BM80" s="12"/>
      <c r="BN80" s="15"/>
      <c r="BO80" s="15"/>
      <c r="BP80" s="12"/>
      <c r="BQ80" s="12"/>
      <c r="BR80" s="12"/>
      <c r="BS80" s="15"/>
      <c r="BT80" s="15"/>
      <c r="BU80" s="12"/>
      <c r="BV80" s="15"/>
      <c r="BW80" s="15"/>
      <c r="BX80" s="12"/>
      <c r="BY80" s="12"/>
      <c r="BZ80" s="12"/>
      <c r="CA80" s="15"/>
      <c r="CB80" s="15"/>
      <c r="CC80" s="12"/>
      <c r="CD80" s="15"/>
      <c r="CE80" s="15"/>
      <c r="CF80" s="12"/>
      <c r="CG80" s="12"/>
      <c r="CH80" s="12"/>
      <c r="CI80" s="15"/>
      <c r="CJ80" s="15"/>
      <c r="CK80" s="12"/>
      <c r="CL80" s="15"/>
      <c r="CM80" s="15"/>
      <c r="CN80" s="12"/>
      <c r="CO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</row>
    <row r="81" spans="1:107" ht="14.25" customHeight="1" x14ac:dyDescent="0.25">
      <c r="AA81" s="372" t="s">
        <v>56</v>
      </c>
      <c r="AB81" s="373"/>
      <c r="AC81" s="374" t="str">
        <f t="array" ref="AC81">NDS</f>
        <v>да</v>
      </c>
      <c r="AD81" s="375"/>
      <c r="AE81" s="375"/>
      <c r="AF81" s="375"/>
      <c r="AG81" s="376"/>
      <c r="AH81" s="376"/>
      <c r="AI81" s="375"/>
      <c r="AJ81" s="376"/>
      <c r="AK81" s="377"/>
      <c r="AL81" s="15"/>
      <c r="AM81" s="15"/>
      <c r="AN81" s="19" t="str">
        <f>IF(AND(region_name="Белгородская область",OR(FIRST_PERIOD_IN_LT&lt;god-2,AND(PREVIOUS_REGULATION_METHODS="Метод индексации",FIRST_PERIOD_IN_LT&lt;&gt;god-2))),"Методика","Бухучет")</f>
        <v>Бухучет</v>
      </c>
      <c r="AP81" s="15"/>
      <c r="AQ81" s="15"/>
      <c r="AR81" s="12"/>
      <c r="AS81" s="15"/>
      <c r="AT81" s="15"/>
      <c r="AU81" s="12"/>
      <c r="AW81" s="15"/>
      <c r="AX81" s="15"/>
      <c r="AY81" s="12"/>
      <c r="AZ81" s="15"/>
      <c r="BA81" s="15"/>
      <c r="BB81" s="15"/>
      <c r="BC81" s="15"/>
      <c r="BD81" s="292" t="str">
        <f>IF(region_name="Ямало-Ненецкий автономный округ","прошлый","первый")</f>
        <v>первый</v>
      </c>
      <c r="BE81" s="15"/>
      <c r="BF81" s="15"/>
      <c r="BG81" s="12"/>
      <c r="BH81" s="12"/>
      <c r="BI81" s="12"/>
      <c r="BJ81" s="12"/>
      <c r="BK81" s="15"/>
      <c r="BL81" s="15"/>
      <c r="BM81" s="12"/>
      <c r="BN81" s="15"/>
      <c r="BO81" s="15"/>
      <c r="BP81" s="12"/>
      <c r="BQ81" s="12"/>
      <c r="BR81" s="12"/>
      <c r="BS81" s="15"/>
      <c r="BT81" s="15"/>
      <c r="BU81" s="12"/>
      <c r="BV81" s="15"/>
      <c r="BW81" s="15"/>
      <c r="BX81" s="12"/>
      <c r="BY81" s="12"/>
      <c r="BZ81" s="12"/>
      <c r="CA81" s="15"/>
      <c r="CB81" s="15"/>
      <c r="CC81" s="12"/>
      <c r="CD81" s="15"/>
      <c r="CE81" s="15"/>
      <c r="CF81" s="12"/>
      <c r="CG81" s="12"/>
      <c r="CH81" s="12"/>
      <c r="CI81" s="15"/>
      <c r="CJ81" s="15"/>
      <c r="CK81" s="12"/>
      <c r="CL81" s="15"/>
      <c r="CM81" s="15"/>
      <c r="CN81" s="12"/>
      <c r="CO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</row>
    <row r="82" spans="1:107" ht="5.25" customHeight="1" x14ac:dyDescent="0.25">
      <c r="AD82" s="12"/>
      <c r="AE82" s="12"/>
      <c r="AG82" s="15"/>
      <c r="AH82" s="15"/>
      <c r="AI82" s="12"/>
      <c r="AJ82" s="15"/>
      <c r="AK82" s="15"/>
      <c r="AL82" s="15"/>
      <c r="AM82" s="15"/>
      <c r="AN82" s="12"/>
      <c r="AP82" s="15"/>
      <c r="AQ82" s="15"/>
      <c r="AR82" s="12"/>
      <c r="AS82" s="15"/>
      <c r="AT82" s="15"/>
      <c r="AU82" s="12"/>
      <c r="AW82" s="15"/>
      <c r="AX82" s="15"/>
      <c r="AY82" s="12"/>
      <c r="AZ82" s="15"/>
      <c r="BA82" s="15"/>
      <c r="BB82" s="15"/>
      <c r="BC82" s="15"/>
      <c r="BD82" s="12"/>
      <c r="BE82" s="15"/>
      <c r="BF82" s="15"/>
      <c r="BG82" s="12"/>
      <c r="BH82" s="12"/>
      <c r="BI82" s="12"/>
      <c r="BJ82" s="12"/>
      <c r="BK82" s="15"/>
      <c r="BL82" s="15"/>
      <c r="BM82" s="12"/>
      <c r="BN82" s="15"/>
      <c r="BO82" s="15"/>
      <c r="BP82" s="12"/>
      <c r="BQ82" s="12"/>
      <c r="BR82" s="12"/>
      <c r="BS82" s="15"/>
      <c r="BT82" s="15"/>
      <c r="BU82" s="12"/>
      <c r="BV82" s="15"/>
      <c r="BW82" s="15"/>
      <c r="BX82" s="12"/>
      <c r="BY82" s="12"/>
      <c r="BZ82" s="12"/>
      <c r="CA82" s="15"/>
      <c r="CB82" s="15"/>
      <c r="CC82" s="12"/>
      <c r="CD82" s="15"/>
      <c r="CE82" s="15"/>
      <c r="CF82" s="12"/>
      <c r="CG82" s="12"/>
      <c r="CH82" s="12"/>
      <c r="CI82" s="15"/>
      <c r="CJ82" s="15"/>
      <c r="CK82" s="12"/>
      <c r="CL82" s="15"/>
      <c r="CM82" s="15"/>
      <c r="CN82" s="12"/>
      <c r="CO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</row>
    <row r="83" spans="1:107" ht="14.25" customHeight="1" x14ac:dyDescent="0.25">
      <c r="AA83" s="378" t="s">
        <v>57</v>
      </c>
      <c r="AB83" s="378" t="s">
        <v>58</v>
      </c>
      <c r="AC83" s="378" t="s">
        <v>59</v>
      </c>
      <c r="AD83" s="20" t="s">
        <v>60</v>
      </c>
      <c r="AE83" s="22" t="s">
        <v>60</v>
      </c>
      <c r="AF83" s="363" t="s">
        <v>60</v>
      </c>
      <c r="AG83" s="364"/>
      <c r="AH83" s="365"/>
      <c r="AI83" s="366" t="s">
        <v>61</v>
      </c>
      <c r="AJ83" s="367"/>
      <c r="AK83" s="368"/>
      <c r="AL83" s="364"/>
      <c r="AM83" s="365"/>
      <c r="AN83" s="23" t="s">
        <v>61</v>
      </c>
      <c r="AO83" s="363" t="s">
        <v>60</v>
      </c>
      <c r="AP83" s="364"/>
      <c r="AQ83" s="365"/>
      <c r="AR83" s="366" t="s">
        <v>61</v>
      </c>
      <c r="AS83" s="367"/>
      <c r="AT83" s="368"/>
      <c r="AU83" s="23" t="s">
        <v>61</v>
      </c>
      <c r="AV83" s="363" t="s">
        <v>60</v>
      </c>
      <c r="AW83" s="364"/>
      <c r="AX83" s="365"/>
      <c r="AY83" s="366" t="s">
        <v>61</v>
      </c>
      <c r="AZ83" s="367"/>
      <c r="BA83" s="368"/>
      <c r="BB83" s="364"/>
      <c r="BC83" s="365"/>
      <c r="BD83" s="366" t="s">
        <v>61</v>
      </c>
      <c r="BE83" s="367"/>
      <c r="BF83" s="368"/>
      <c r="BG83" s="293" t="s">
        <v>61</v>
      </c>
      <c r="BH83" s="293" t="s">
        <v>61</v>
      </c>
      <c r="BI83" s="293" t="s">
        <v>61</v>
      </c>
      <c r="BJ83" s="363" t="s">
        <v>60</v>
      </c>
      <c r="BK83" s="364"/>
      <c r="BL83" s="365"/>
      <c r="BM83" s="366" t="s">
        <v>61</v>
      </c>
      <c r="BN83" s="367"/>
      <c r="BO83" s="368"/>
      <c r="BP83" s="293" t="s">
        <v>61</v>
      </c>
      <c r="BQ83" s="293" t="s">
        <v>61</v>
      </c>
      <c r="BR83" s="363" t="s">
        <v>60</v>
      </c>
      <c r="BS83" s="364"/>
      <c r="BT83" s="365"/>
      <c r="BU83" s="366" t="s">
        <v>61</v>
      </c>
      <c r="BV83" s="367"/>
      <c r="BW83" s="368"/>
      <c r="BX83" s="293" t="s">
        <v>61</v>
      </c>
      <c r="BY83" s="293" t="s">
        <v>61</v>
      </c>
      <c r="BZ83" s="363" t="s">
        <v>60</v>
      </c>
      <c r="CA83" s="364"/>
      <c r="CB83" s="365"/>
      <c r="CC83" s="366" t="s">
        <v>61</v>
      </c>
      <c r="CD83" s="367"/>
      <c r="CE83" s="368"/>
      <c r="CF83" s="293" t="s">
        <v>61</v>
      </c>
      <c r="CG83" s="293" t="s">
        <v>61</v>
      </c>
      <c r="CH83" s="363" t="s">
        <v>60</v>
      </c>
      <c r="CI83" s="364"/>
      <c r="CJ83" s="365"/>
      <c r="CK83" s="366" t="s">
        <v>61</v>
      </c>
      <c r="CL83" s="367"/>
      <c r="CM83" s="368"/>
      <c r="CN83" s="294" t="s">
        <v>61</v>
      </c>
      <c r="CO83" s="294" t="s">
        <v>61</v>
      </c>
      <c r="CP83" s="385" t="s">
        <v>546</v>
      </c>
      <c r="CQ83" s="362" t="s">
        <v>62</v>
      </c>
      <c r="CR83" s="362" t="s">
        <v>63</v>
      </c>
      <c r="CS83" s="362" t="s">
        <v>64</v>
      </c>
      <c r="CT83" s="362" t="s">
        <v>65</v>
      </c>
      <c r="CU83" s="362"/>
      <c r="CV83" s="362"/>
      <c r="CW83" s="362"/>
      <c r="CX83" s="362"/>
      <c r="CY83" s="362"/>
      <c r="CZ83" s="362"/>
      <c r="DA83" s="362"/>
      <c r="DB83" s="362"/>
    </row>
    <row r="84" spans="1:107" ht="14.25" customHeight="1" x14ac:dyDescent="0.25">
      <c r="AA84" s="378"/>
      <c r="AB84" s="378"/>
      <c r="AC84" s="378"/>
      <c r="AD84" s="295">
        <f>god-4</f>
        <v>2021</v>
      </c>
      <c r="AE84" s="22">
        <f>god-3</f>
        <v>2022</v>
      </c>
      <c r="AF84" s="363">
        <f>god-2</f>
        <v>2023</v>
      </c>
      <c r="AG84" s="364"/>
      <c r="AH84" s="365"/>
      <c r="AI84" s="366">
        <f>god-2</f>
        <v>2023</v>
      </c>
      <c r="AJ84" s="367"/>
      <c r="AK84" s="368"/>
      <c r="AL84" s="364"/>
      <c r="AM84" s="365"/>
      <c r="AN84" s="26">
        <f>god-2</f>
        <v>2023</v>
      </c>
      <c r="AO84" s="363">
        <f>god-1</f>
        <v>2024</v>
      </c>
      <c r="AP84" s="364"/>
      <c r="AQ84" s="365"/>
      <c r="AR84" s="366">
        <f>god-1</f>
        <v>2024</v>
      </c>
      <c r="AS84" s="367"/>
      <c r="AT84" s="368"/>
      <c r="AU84" s="26">
        <f>god-1</f>
        <v>2024</v>
      </c>
      <c r="AV84" s="363">
        <f t="array" ref="AV84">god</f>
        <v>2025</v>
      </c>
      <c r="AW84" s="364"/>
      <c r="AX84" s="365"/>
      <c r="AY84" s="366">
        <f t="array" ref="AY84">god</f>
        <v>2025</v>
      </c>
      <c r="AZ84" s="367"/>
      <c r="BA84" s="368"/>
      <c r="BB84" s="364"/>
      <c r="BC84" s="365"/>
      <c r="BD84" s="366">
        <f t="array" ref="BD84">god</f>
        <v>2025</v>
      </c>
      <c r="BE84" s="367"/>
      <c r="BF84" s="368"/>
      <c r="BG84" s="296">
        <f t="array" ref="BG84">god</f>
        <v>2025</v>
      </c>
      <c r="BH84" s="296">
        <f t="array" ref="BH84">god</f>
        <v>2025</v>
      </c>
      <c r="BI84" s="296">
        <f t="array" ref="BI84">god</f>
        <v>2025</v>
      </c>
      <c r="BJ84" s="363">
        <f>god+1</f>
        <v>2026</v>
      </c>
      <c r="BK84" s="364"/>
      <c r="BL84" s="365"/>
      <c r="BM84" s="366">
        <f>god+1</f>
        <v>2026</v>
      </c>
      <c r="BN84" s="367"/>
      <c r="BO84" s="368"/>
      <c r="BP84" s="296">
        <f>god+1</f>
        <v>2026</v>
      </c>
      <c r="BQ84" s="296">
        <f>god+1</f>
        <v>2026</v>
      </c>
      <c r="BR84" s="363">
        <f>god+2</f>
        <v>2027</v>
      </c>
      <c r="BS84" s="364"/>
      <c r="BT84" s="365"/>
      <c r="BU84" s="366">
        <f>god+2</f>
        <v>2027</v>
      </c>
      <c r="BV84" s="367"/>
      <c r="BW84" s="368"/>
      <c r="BX84" s="296">
        <f>god+2</f>
        <v>2027</v>
      </c>
      <c r="BY84" s="296">
        <f>god+2</f>
        <v>2027</v>
      </c>
      <c r="BZ84" s="363">
        <f>god+3</f>
        <v>2028</v>
      </c>
      <c r="CA84" s="364"/>
      <c r="CB84" s="365"/>
      <c r="CC84" s="366">
        <f>god+3</f>
        <v>2028</v>
      </c>
      <c r="CD84" s="367"/>
      <c r="CE84" s="368"/>
      <c r="CF84" s="296">
        <f>god+3</f>
        <v>2028</v>
      </c>
      <c r="CG84" s="296">
        <f>god+3</f>
        <v>2028</v>
      </c>
      <c r="CH84" s="363">
        <f>god+4</f>
        <v>2029</v>
      </c>
      <c r="CI84" s="364"/>
      <c r="CJ84" s="365"/>
      <c r="CK84" s="366">
        <f>god+4</f>
        <v>2029</v>
      </c>
      <c r="CL84" s="367"/>
      <c r="CM84" s="368"/>
      <c r="CN84" s="296">
        <f>god+4</f>
        <v>2029</v>
      </c>
      <c r="CO84" s="297">
        <f>god+4</f>
        <v>2029</v>
      </c>
      <c r="CP84" s="386"/>
      <c r="CQ84" s="362"/>
      <c r="CR84" s="362"/>
      <c r="CS84" s="362"/>
      <c r="CT84" s="362"/>
      <c r="CU84" s="362"/>
      <c r="CV84" s="362"/>
      <c r="CW84" s="362"/>
      <c r="CX84" s="362"/>
      <c r="CY84" s="362"/>
      <c r="CZ84" s="362"/>
      <c r="DA84" s="362"/>
      <c r="DB84" s="362"/>
    </row>
    <row r="85" spans="1:107" ht="36" customHeight="1" x14ac:dyDescent="0.25">
      <c r="AA85" s="378"/>
      <c r="AB85" s="378"/>
      <c r="AC85" s="378"/>
      <c r="AD85" s="298" t="str">
        <f>IF(AND(TYPE="Корректировка",FIRST_PERIOD_IN_LT&lt;AD84),"план Органа регулирования скорректированный","план Органа регулирования")</f>
        <v>план Органа регулирования</v>
      </c>
      <c r="AE85" s="29" t="str">
        <f>IF(AND(TYPE="Корректировка",FIRST_PERIOD_IN_LT&lt;AE84),"план Органа регулирования скорректированный","план Органа регулирования")</f>
        <v>план Органа регулирования</v>
      </c>
      <c r="AF85" s="380" t="str">
        <f>IF(AND(TYPE="Корректировка",FIRST_PERIOD_IN_LT&lt;AF84),"план Органа регулирования скорректированный","план Органа регулирования")</f>
        <v>план Органа регулирования</v>
      </c>
      <c r="AG85" s="381"/>
      <c r="AH85" s="382"/>
      <c r="AI85" s="369" t="str">
        <f>IF(AND(TYPE="Корректировка",FIRST_PERIOD_IN_LT&lt;AI84),"план Органа регулирования скорректированный","план Органа регулирования")</f>
        <v>план Органа регулирования</v>
      </c>
      <c r="AJ85" s="370"/>
      <c r="AK85" s="371"/>
      <c r="AL85" s="381"/>
      <c r="AM85" s="382"/>
      <c r="AN85" s="30" t="s">
        <v>66</v>
      </c>
      <c r="AO85" s="380" t="str">
        <f>IF(AND(TYPE="Корректировка",FIRST_PERIOD_IN_LT&lt;AO84),"план Органа регулирования скорректированный","план Органа регулирования")</f>
        <v>план Органа регулирования</v>
      </c>
      <c r="AP85" s="381"/>
      <c r="AQ85" s="382"/>
      <c r="AR85" s="369" t="str">
        <f>IF(AND(TYPE="Корректировка",FIRST_PERIOD_IN_LT&lt;AR84),"план Органа регулирования скорректированный","план Органа регулирования")</f>
        <v>план Органа регулирования</v>
      </c>
      <c r="AS85" s="370"/>
      <c r="AT85" s="371"/>
      <c r="AU85" s="30" t="str">
        <f>IF(AND(isFIRST_PERIOD="да",FIRST_PERIOD_IN_LT=god-1),"план Органа регулирования","ожидаемое")</f>
        <v>ожидаемое</v>
      </c>
      <c r="AV85" s="380" t="s">
        <v>67</v>
      </c>
      <c r="AW85" s="381"/>
      <c r="AX85" s="382"/>
      <c r="AY85" s="369" t="s">
        <v>67</v>
      </c>
      <c r="AZ85" s="370"/>
      <c r="BA85" s="371"/>
      <c r="BB85" s="381"/>
      <c r="BC85" s="382"/>
      <c r="BD85" s="369" t="str">
        <f>"план Органа регулирования"&amp;IF(TYPE="Корректировка"," (корректировка)","")</f>
        <v>план Органа регулирования (корректировка)</v>
      </c>
      <c r="BE85" s="370"/>
      <c r="BF85" s="371"/>
      <c r="BG85" s="299" t="str">
        <f>"Темп роста
"&amp;god&amp;"/"&amp;god-1&amp;", %"</f>
        <v>Темп роста
2025/2024, %</v>
      </c>
      <c r="BH85" s="300" t="s">
        <v>544</v>
      </c>
      <c r="BI85" s="300" t="s">
        <v>547</v>
      </c>
      <c r="BJ85" s="380" t="str">
        <f>"план организации"&amp;IF(TYPE="Корректировка"," (корректировка)","")</f>
        <v>план организации (корректировка)</v>
      </c>
      <c r="BK85" s="381"/>
      <c r="BL85" s="382"/>
      <c r="BM85" s="369" t="str">
        <f>"план Органа регулирования"&amp;IF(TYPE="Корректировка"," (корректировка)","")</f>
        <v>план Органа регулирования (корректировка)</v>
      </c>
      <c r="BN85" s="370"/>
      <c r="BO85" s="371"/>
      <c r="BP85" s="300" t="str">
        <f>"Темп роста
"&amp;god+1&amp;"/"&amp;god&amp;", %"</f>
        <v>Темп роста
2026/2025, %</v>
      </c>
      <c r="BQ85" s="300" t="s">
        <v>544</v>
      </c>
      <c r="BR85" s="380" t="str">
        <f>"план организации"&amp;IF(TYPE="Корректировка"," (корректировка)","")</f>
        <v>план организации (корректировка)</v>
      </c>
      <c r="BS85" s="381"/>
      <c r="BT85" s="382"/>
      <c r="BU85" s="369" t="str">
        <f>"план Органа регулирования"&amp;IF(TYPE="Корректировка"," (корректировка)","")</f>
        <v>план Органа регулирования (корректировка)</v>
      </c>
      <c r="BV85" s="370"/>
      <c r="BW85" s="371"/>
      <c r="BX85" s="299" t="str">
        <f>"Темп роста
"&amp;god+2&amp;"/"&amp;god+1&amp;", %"</f>
        <v>Темп роста
2027/2026, %</v>
      </c>
      <c r="BY85" s="300" t="s">
        <v>544</v>
      </c>
      <c r="BZ85" s="380" t="str">
        <f>"план организации"&amp;IF(TYPE="Корректировка"," (корректировка)","")</f>
        <v>план организации (корректировка)</v>
      </c>
      <c r="CA85" s="381"/>
      <c r="CB85" s="382"/>
      <c r="CC85" s="369" t="str">
        <f>"план Органа регулирования"&amp;IF(TYPE="Корректировка"," (корректировка)","")</f>
        <v>план Органа регулирования (корректировка)</v>
      </c>
      <c r="CD85" s="370"/>
      <c r="CE85" s="371"/>
      <c r="CF85" s="299" t="str">
        <f>"Темп роста
"&amp;god+3&amp;"/"&amp;god+2&amp;", %"</f>
        <v>Темп роста
2028/2027, %</v>
      </c>
      <c r="CG85" s="300" t="s">
        <v>544</v>
      </c>
      <c r="CH85" s="380" t="str">
        <f>"план организации"&amp;IF(TYPE="Корректировка"," (корректировка)","")</f>
        <v>план организации (корректировка)</v>
      </c>
      <c r="CI85" s="381"/>
      <c r="CJ85" s="382"/>
      <c r="CK85" s="369" t="str">
        <f>"план Органа регулирования"&amp;IF(TYPE="Корректировка"," (корректировка)","")</f>
        <v>план Органа регулирования (корректировка)</v>
      </c>
      <c r="CL85" s="370"/>
      <c r="CM85" s="371"/>
      <c r="CN85" s="301" t="str">
        <f>"Темп роста
"&amp;god+4&amp;"/"&amp;god+3&amp;", %"</f>
        <v>Темп роста
2029/2028, %</v>
      </c>
      <c r="CO85" s="302" t="s">
        <v>544</v>
      </c>
      <c r="CP85" s="386"/>
      <c r="CQ85" s="362"/>
      <c r="CR85" s="362"/>
      <c r="CS85" s="362"/>
      <c r="CT85" s="362"/>
      <c r="CU85" s="362"/>
      <c r="CV85" s="362"/>
      <c r="CW85" s="362"/>
      <c r="CX85" s="362"/>
      <c r="CY85" s="362"/>
      <c r="CZ85" s="362"/>
      <c r="DA85" s="362"/>
      <c r="DB85" s="362"/>
    </row>
    <row r="86" spans="1:107" ht="19.5" hidden="1" customHeight="1" x14ac:dyDescent="0.25">
      <c r="A86" s="12"/>
      <c r="B86" s="8" t="b">
        <f>$AC$56="да"</f>
        <v>0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378"/>
      <c r="AB86" s="378"/>
      <c r="AC86" s="379"/>
      <c r="AD86" s="31" t="s">
        <v>68</v>
      </c>
      <c r="AE86" s="31" t="s">
        <v>68</v>
      </c>
      <c r="AF86" s="31" t="s">
        <v>68</v>
      </c>
      <c r="AG86" s="32"/>
      <c r="AH86" s="32"/>
      <c r="AI86" s="33" t="s">
        <v>68</v>
      </c>
      <c r="AJ86" s="34"/>
      <c r="AK86" s="34"/>
      <c r="AL86" s="32"/>
      <c r="AM86" s="32"/>
      <c r="AN86" s="33" t="s">
        <v>68</v>
      </c>
      <c r="AO86" s="31" t="s">
        <v>68</v>
      </c>
      <c r="AP86" s="32"/>
      <c r="AQ86" s="32"/>
      <c r="AR86" s="33" t="s">
        <v>68</v>
      </c>
      <c r="AS86" s="34"/>
      <c r="AT86" s="34"/>
      <c r="AU86" s="33" t="s">
        <v>68</v>
      </c>
      <c r="AV86" s="31" t="s">
        <v>68</v>
      </c>
      <c r="AW86" s="32"/>
      <c r="AX86" s="32"/>
      <c r="AY86" s="33" t="s">
        <v>68</v>
      </c>
      <c r="AZ86" s="34"/>
      <c r="BA86" s="34"/>
      <c r="BB86" s="32"/>
      <c r="BC86" s="32"/>
      <c r="BD86" s="33" t="s">
        <v>68</v>
      </c>
      <c r="BE86" s="34"/>
      <c r="BF86" s="34"/>
      <c r="BG86" s="303" t="s">
        <v>68</v>
      </c>
      <c r="BH86" s="303" t="s">
        <v>68</v>
      </c>
      <c r="BI86" s="303" t="s">
        <v>68</v>
      </c>
      <c r="BJ86" s="31" t="s">
        <v>68</v>
      </c>
      <c r="BK86" s="32"/>
      <c r="BL86" s="32"/>
      <c r="BM86" s="33" t="s">
        <v>68</v>
      </c>
      <c r="BN86" s="34"/>
      <c r="BO86" s="34"/>
      <c r="BP86" s="303" t="s">
        <v>68</v>
      </c>
      <c r="BQ86" s="303" t="s">
        <v>68</v>
      </c>
      <c r="BR86" s="31" t="s">
        <v>68</v>
      </c>
      <c r="BS86" s="32"/>
      <c r="BT86" s="32"/>
      <c r="BU86" s="33" t="s">
        <v>68</v>
      </c>
      <c r="BV86" s="34"/>
      <c r="BW86" s="34"/>
      <c r="BX86" s="303" t="s">
        <v>68</v>
      </c>
      <c r="BY86" s="303" t="s">
        <v>68</v>
      </c>
      <c r="BZ86" s="31" t="s">
        <v>68</v>
      </c>
      <c r="CA86" s="32"/>
      <c r="CB86" s="32"/>
      <c r="CC86" s="33" t="s">
        <v>68</v>
      </c>
      <c r="CD86" s="34"/>
      <c r="CE86" s="34"/>
      <c r="CF86" s="303" t="s">
        <v>68</v>
      </c>
      <c r="CG86" s="303" t="s">
        <v>68</v>
      </c>
      <c r="CH86" s="31" t="s">
        <v>68</v>
      </c>
      <c r="CI86" s="32"/>
      <c r="CJ86" s="32"/>
      <c r="CK86" s="33" t="s">
        <v>68</v>
      </c>
      <c r="CL86" s="34"/>
      <c r="CM86" s="34"/>
      <c r="CN86" s="303" t="s">
        <v>68</v>
      </c>
      <c r="CO86" s="303" t="s">
        <v>68</v>
      </c>
      <c r="CP86" s="387"/>
      <c r="CQ86" s="362"/>
      <c r="CR86" s="362"/>
      <c r="CS86" s="362"/>
      <c r="CT86" s="362"/>
      <c r="CU86" s="362"/>
      <c r="CV86" s="362"/>
      <c r="CW86" s="362"/>
      <c r="CX86" s="362"/>
      <c r="CY86" s="362"/>
      <c r="CZ86" s="362"/>
      <c r="DA86" s="362"/>
      <c r="DB86" s="362"/>
      <c r="DC86" s="12"/>
    </row>
    <row r="87" spans="1:107" ht="12" hidden="1" customHeight="1" x14ac:dyDescent="0.15">
      <c r="A87" s="12"/>
      <c r="B87" s="2" t="b">
        <v>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35"/>
      <c r="AB87" s="36" t="s">
        <v>69</v>
      </c>
      <c r="AC87" s="35"/>
      <c r="AD87" s="37" t="b">
        <f>OR(AD$84&lt;god_reagenty,AND(FIRST_PERIOD_IN_LT&lt;god_reagenty,AD$84&gt;=FIRST_PERIOD_IN_LT),AND(FIRST_PERIOD_IN_LT-PREVIOUS_PERIOD_LENGTH&lt;god_reagenty,AD$84&lt;FIRST_PERIOD_IN_LT))</f>
        <v>1</v>
      </c>
      <c r="AE87" s="37" t="b">
        <f>OR(AE$84&lt;god_reagenty,AND(FIRST_PERIOD_IN_LT&lt;god_reagenty,AE$84&gt;=FIRST_PERIOD_IN_LT),AND(FIRST_PERIOD_IN_LT-PREVIOUS_PERIOD_LENGTH&lt;god_reagenty,AE$84&lt;FIRST_PERIOD_IN_LT))</f>
        <v>1</v>
      </c>
      <c r="AF87" s="37" t="b">
        <f>OR(AF$84&lt;god_reagenty,AND(FIRST_PERIOD_IN_LT&lt;god_reagenty,AF$84&gt;=FIRST_PERIOD_IN_LT),AND(FIRST_PERIOD_IN_LT-PREVIOUS_PERIOD_LENGTH&lt;god_reagenty,AF$84&lt;FIRST_PERIOD_IN_LT))</f>
        <v>1</v>
      </c>
      <c r="AG87" s="15"/>
      <c r="AH87" s="15"/>
      <c r="AI87" s="37" t="b">
        <f>OR(AI$84&lt;god_reagenty,AND(FIRST_PERIOD_IN_LT&lt;god_reagenty,AI$84&gt;=FIRST_PERIOD_IN_LT),AND(FIRST_PERIOD_IN_LT-PREVIOUS_PERIOD_LENGTH&lt;god_reagenty,AI$84&lt;FIRST_PERIOD_IN_LT))</f>
        <v>1</v>
      </c>
      <c r="AJ87" s="15"/>
      <c r="AK87" s="15"/>
      <c r="AL87" s="15"/>
      <c r="AM87" s="15"/>
      <c r="AN87" s="37" t="b">
        <f>OR(AN$84&lt;god_reagenty,AND(FIRST_PERIOD_IN_LT&lt;god_reagenty,AN$84&gt;=FIRST_PERIOD_IN_LT),AND(FIRST_PERIOD_IN_LT-PREVIOUS_PERIOD_LENGTH&lt;god_reagenty,AN$84&lt;FIRST_PERIOD_IN_LT))</f>
        <v>1</v>
      </c>
      <c r="AO87" s="37" t="b">
        <f>OR(AO$84&lt;god_reagenty,AND(FIRST_PERIOD_IN_LT&lt;god_reagenty,AO$84&gt;=FIRST_PERIOD_IN_LT),AND(FIRST_PERIOD_IN_LT-PREVIOUS_PERIOD_LENGTH&lt;god_reagenty,AO$84&lt;FIRST_PERIOD_IN_LT))</f>
        <v>0</v>
      </c>
      <c r="AP87" s="15"/>
      <c r="AQ87" s="15"/>
      <c r="AR87" s="37" t="b">
        <f>OR(AR$84&lt;god_reagenty,AND(FIRST_PERIOD_IN_LT&lt;god_reagenty,AR$84&gt;=FIRST_PERIOD_IN_LT),AND(FIRST_PERIOD_IN_LT-PREVIOUS_PERIOD_LENGTH&lt;god_reagenty,AR$84&lt;FIRST_PERIOD_IN_LT))</f>
        <v>0</v>
      </c>
      <c r="AS87" s="15"/>
      <c r="AT87" s="15"/>
      <c r="AU87" s="37" t="b">
        <f>OR(AU$84&lt;god_reagenty,AND(FIRST_PERIOD_IN_LT&lt;god_reagenty,AU$84&gt;=FIRST_PERIOD_IN_LT),AND(FIRST_PERIOD_IN_LT-PREVIOUS_PERIOD_LENGTH&lt;god_reagenty,AU$84&lt;FIRST_PERIOD_IN_LT))</f>
        <v>0</v>
      </c>
      <c r="AV87" s="37" t="b">
        <f>OR(AV$84&lt;god_reagenty,AND(FIRST_PERIOD_IN_LT&lt;god_reagenty,AV$84&gt;=FIRST_PERIOD_IN_LT),AND(FIRST_PERIOD_IN_LT-PREVIOUS_PERIOD_LENGTH&lt;god_reagenty,AV$84&lt;FIRST_PERIOD_IN_LT))</f>
        <v>0</v>
      </c>
      <c r="AW87" s="15"/>
      <c r="AX87" s="15"/>
      <c r="AY87" s="37" t="b">
        <f>OR(AY$84&lt;god_reagenty,AND(FIRST_PERIOD_IN_LT&lt;god_reagenty,AY$84&gt;=FIRST_PERIOD_IN_LT),AND(FIRST_PERIOD_IN_LT-PREVIOUS_PERIOD_LENGTH&lt;god_reagenty,AY$84&lt;FIRST_PERIOD_IN_LT))</f>
        <v>0</v>
      </c>
      <c r="AZ87" s="15"/>
      <c r="BA87" s="15"/>
      <c r="BB87" s="15"/>
      <c r="BC87" s="15"/>
      <c r="BD87" s="37" t="b">
        <f>OR(BD$84&lt;god_reagenty,AND(FIRST_PERIOD_IN_LT&lt;god_reagenty,BD$84&gt;=FIRST_PERIOD_IN_LT),AND(FIRST_PERIOD_IN_LT-PREVIOUS_PERIOD_LENGTH&lt;god_reagenty,BD$84&lt;FIRST_PERIOD_IN_LT))</f>
        <v>0</v>
      </c>
      <c r="BE87" s="15"/>
      <c r="BF87" s="15"/>
      <c r="BG87" s="304"/>
      <c r="BH87" s="304"/>
      <c r="BI87" s="304"/>
      <c r="BJ87" s="37" t="b">
        <f>OR(BJ$84&lt;god_reagenty,AND(FIRST_PERIOD_IN_LT&lt;god_reagenty,BJ$84&gt;=FIRST_PERIOD_IN_LT),AND(FIRST_PERIOD_IN_LT-PREVIOUS_PERIOD_LENGTH&lt;god_reagenty,BJ$84&lt;FIRST_PERIOD_IN_LT))</f>
        <v>0</v>
      </c>
      <c r="BK87" s="15"/>
      <c r="BL87" s="15"/>
      <c r="BM87" s="37" t="b">
        <f>OR(BM$84&lt;god_reagenty,AND(FIRST_PERIOD_IN_LT&lt;god_reagenty,BM$84&gt;=FIRST_PERIOD_IN_LT),AND(FIRST_PERIOD_IN_LT-PREVIOUS_PERIOD_LENGTH&lt;god_reagenty,BM$84&lt;FIRST_PERIOD_IN_LT))</f>
        <v>0</v>
      </c>
      <c r="BN87" s="15"/>
      <c r="BO87" s="15"/>
      <c r="BP87" s="304"/>
      <c r="BQ87" s="304"/>
      <c r="BR87" s="37" t="b">
        <f>OR(BR$84&lt;god_reagenty,AND(FIRST_PERIOD_IN_LT&lt;god_reagenty,BR$84&gt;=FIRST_PERIOD_IN_LT),AND(FIRST_PERIOD_IN_LT-PREVIOUS_PERIOD_LENGTH&lt;god_reagenty,BR$84&lt;FIRST_PERIOD_IN_LT))</f>
        <v>0</v>
      </c>
      <c r="BS87" s="15"/>
      <c r="BT87" s="15"/>
      <c r="BU87" s="37" t="b">
        <f>OR(BU$84&lt;god_reagenty,AND(FIRST_PERIOD_IN_LT&lt;god_reagenty,BU$84&gt;=FIRST_PERIOD_IN_LT),AND(FIRST_PERIOD_IN_LT-PREVIOUS_PERIOD_LENGTH&lt;god_reagenty,BU$84&lt;FIRST_PERIOD_IN_LT))</f>
        <v>0</v>
      </c>
      <c r="BV87" s="15"/>
      <c r="BW87" s="15"/>
      <c r="BX87" s="304"/>
      <c r="BY87" s="304"/>
      <c r="BZ87" s="37" t="b">
        <f>OR(BZ$84&lt;god_reagenty,AND(FIRST_PERIOD_IN_LT&lt;god_reagenty,BZ$84&gt;=FIRST_PERIOD_IN_LT),AND(FIRST_PERIOD_IN_LT-PREVIOUS_PERIOD_LENGTH&lt;god_reagenty,BZ$84&lt;FIRST_PERIOD_IN_LT))</f>
        <v>0</v>
      </c>
      <c r="CA87" s="15"/>
      <c r="CB87" s="15"/>
      <c r="CC87" s="37" t="b">
        <f>OR(CC$84&lt;god_reagenty,AND(FIRST_PERIOD_IN_LT&lt;god_reagenty,CC$84&gt;=FIRST_PERIOD_IN_LT),AND(FIRST_PERIOD_IN_LT-PREVIOUS_PERIOD_LENGTH&lt;god_reagenty,CC$84&lt;FIRST_PERIOD_IN_LT))</f>
        <v>0</v>
      </c>
      <c r="CD87" s="15"/>
      <c r="CE87" s="15"/>
      <c r="CF87" s="304"/>
      <c r="CG87" s="304"/>
      <c r="CH87" s="37" t="b">
        <f>OR(CH$84&lt;god_reagenty,AND(FIRST_PERIOD_IN_LT&lt;god_reagenty,CH$84&gt;=FIRST_PERIOD_IN_LT),AND(FIRST_PERIOD_IN_LT-PREVIOUS_PERIOD_LENGTH&lt;god_reagenty,CH$84&lt;FIRST_PERIOD_IN_LT))</f>
        <v>0</v>
      </c>
      <c r="CI87" s="15"/>
      <c r="CJ87" s="15"/>
      <c r="CK87" s="37" t="b">
        <f>OR(CK$84&lt;god_reagenty,AND(FIRST_PERIOD_IN_LT&lt;god_reagenty,CK$84&gt;=FIRST_PERIOD_IN_LT),AND(FIRST_PERIOD_IN_LT-PREVIOUS_PERIOD_LENGTH&lt;god_reagenty,CK$84&lt;FIRST_PERIOD_IN_LT))</f>
        <v>0</v>
      </c>
      <c r="CL87" s="15"/>
      <c r="CM87" s="15"/>
      <c r="CN87" s="304"/>
      <c r="CO87" s="304"/>
      <c r="CP87" s="305"/>
      <c r="CQ87" s="38"/>
      <c r="CR87" s="38"/>
      <c r="CS87" s="38"/>
      <c r="CT87" s="39"/>
      <c r="CU87" s="39"/>
      <c r="CV87" s="39"/>
      <c r="CW87" s="39"/>
      <c r="CX87" s="39"/>
      <c r="CY87" s="39"/>
      <c r="CZ87" s="39"/>
      <c r="DA87" s="39"/>
      <c r="DB87" s="39"/>
      <c r="DC87" s="12"/>
    </row>
    <row r="88" spans="1:107" ht="12" hidden="1" customHeight="1" x14ac:dyDescent="0.15">
      <c r="A88" s="12"/>
      <c r="B88" s="2" t="b">
        <v>0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40"/>
      <c r="AB88" s="41" t="s">
        <v>70</v>
      </c>
      <c r="AC88" s="40"/>
      <c r="AD88" s="42" t="e">
        <f t="array" ref="AD88">#REF!</f>
        <v>#REF!</v>
      </c>
      <c r="AE88" s="42" t="b">
        <f>OR(AND(PREVIOUS_REGULATION_METHODS="Метод индексации",TYPE="Базовый",PREVIOUS_PERIOD_LENGTH&gt;3),AND(AE84&gt;FIRST_PERIOD_IN_LT,TYPE="Корректировка",AE84&lt;&gt;[1]Титульный!$AD$93))</f>
        <v>0</v>
      </c>
      <c r="AF88" s="42" t="b">
        <f>OR(AND(PREVIOUS_REGULATION_METHODS="Метод индексации",TYPE="Базовый"),AND(AF84&gt;FIRST_PERIOD_IN_LT,TYPE="Корректировка",AF84&lt;&gt;[1]Титульный!$AD$93))</f>
        <v>0</v>
      </c>
      <c r="AG88" s="15"/>
      <c r="AH88" s="15"/>
      <c r="AI88" s="42" t="b">
        <f>OR(AND(PREVIOUS_REGULATION_METHODS="Метод индексации",TYPE="Базовый"),AND(AI84&gt;FIRST_PERIOD_IN_LT,TYPE="Корректировка",AI84&lt;&gt;[1]Титульный!$AD$93))</f>
        <v>0</v>
      </c>
      <c r="AJ88" s="15"/>
      <c r="AK88" s="15"/>
      <c r="AL88" s="15"/>
      <c r="AM88" s="15"/>
      <c r="AN88" s="42" t="b">
        <f t="array" ref="AN88">AI88</f>
        <v>0</v>
      </c>
      <c r="AO88" s="42" t="b">
        <f>OR(AND(PREVIOUS_REGULATION_METHODS="Метод индексации",TYPE="Базовый"),AND(AO84&gt;FIRST_PERIOD_IN_LT,TYPE="Корректировка",AO84&lt;&gt;[1]Титульный!$AD$93))</f>
        <v>0</v>
      </c>
      <c r="AP88" s="15"/>
      <c r="AQ88" s="15"/>
      <c r="AR88" s="42" t="b">
        <f>OR(AND(PREVIOUS_REGULATION_METHODS="Метод индексации",TYPE="Базовый"),AND(AR84&gt;FIRST_PERIOD_IN_LT,TYPE="Корректировка",AR84&lt;&gt;[1]Титульный!$AD$93))</f>
        <v>0</v>
      </c>
      <c r="AS88" s="15"/>
      <c r="AT88" s="15"/>
      <c r="AU88" s="42" t="b">
        <v>0</v>
      </c>
      <c r="AV88" s="42" t="b">
        <v>1</v>
      </c>
      <c r="AW88" s="15"/>
      <c r="AX88" s="15"/>
      <c r="AY88" s="42" t="b">
        <v>1</v>
      </c>
      <c r="AZ88" s="15"/>
      <c r="BA88" s="15"/>
      <c r="BB88" s="15"/>
      <c r="BC88" s="15"/>
      <c r="BD88" s="42" t="b">
        <f>AND(TYPE="Корректировка",BD84&lt;&gt;[1]Титульный!$AD$93)</f>
        <v>1</v>
      </c>
      <c r="BE88" s="15"/>
      <c r="BF88" s="15"/>
      <c r="BG88" s="306"/>
      <c r="BH88" s="306"/>
      <c r="BI88" s="306"/>
      <c r="BJ88" s="42" t="b">
        <v>1</v>
      </c>
      <c r="BK88" s="15"/>
      <c r="BL88" s="15"/>
      <c r="BM88" s="42" t="b">
        <v>1</v>
      </c>
      <c r="BN88" s="15"/>
      <c r="BO88" s="15"/>
      <c r="BP88" s="306"/>
      <c r="BQ88" s="306"/>
      <c r="BR88" s="42" t="b">
        <v>1</v>
      </c>
      <c r="BS88" s="15"/>
      <c r="BT88" s="15"/>
      <c r="BU88" s="42" t="b">
        <v>1</v>
      </c>
      <c r="BV88" s="15"/>
      <c r="BW88" s="15"/>
      <c r="BX88" s="306"/>
      <c r="BY88" s="306"/>
      <c r="BZ88" s="42" t="b">
        <v>1</v>
      </c>
      <c r="CA88" s="15"/>
      <c r="CB88" s="15"/>
      <c r="CC88" s="42" t="b">
        <v>1</v>
      </c>
      <c r="CD88" s="15"/>
      <c r="CE88" s="15"/>
      <c r="CF88" s="306"/>
      <c r="CG88" s="306"/>
      <c r="CH88" s="42" t="b">
        <v>1</v>
      </c>
      <c r="CI88" s="15"/>
      <c r="CJ88" s="15"/>
      <c r="CK88" s="42" t="b">
        <v>1</v>
      </c>
      <c r="CL88" s="15"/>
      <c r="CM88" s="15"/>
      <c r="CN88" s="306"/>
      <c r="CO88" s="306"/>
      <c r="CP88" s="307"/>
      <c r="CQ88" s="43"/>
      <c r="CR88" s="43"/>
      <c r="CS88" s="43"/>
      <c r="CT88" s="44"/>
      <c r="CU88" s="44"/>
      <c r="CV88" s="44"/>
      <c r="CW88" s="44"/>
      <c r="CX88" s="44"/>
      <c r="CY88" s="44"/>
      <c r="CZ88" s="44"/>
      <c r="DA88" s="44"/>
      <c r="DB88" s="44"/>
      <c r="DC88" s="12"/>
    </row>
    <row r="89" spans="1:107" ht="12" hidden="1" customHeight="1" x14ac:dyDescent="0.25">
      <c r="A89" s="12"/>
      <c r="B89" s="2" t="b">
        <v>0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40"/>
      <c r="AB89" s="45" t="s">
        <v>71</v>
      </c>
      <c r="AC89" s="40"/>
      <c r="AD89" s="46">
        <f t="array" ref="AD89">[1]Индексы!$AD$92</f>
        <v>12</v>
      </c>
      <c r="AE89" s="46">
        <f t="array" ref="AE89">[1]Индексы!$AE$92</f>
        <v>12</v>
      </c>
      <c r="AF89" s="46">
        <f t="array" ref="AF89">[1]Индексы!$AG$92</f>
        <v>12</v>
      </c>
      <c r="AG89" s="47"/>
      <c r="AH89" s="47"/>
      <c r="AI89" s="46">
        <f t="array" ref="AI89">[1]Индексы!$AT$92</f>
        <v>12</v>
      </c>
      <c r="AJ89" s="47"/>
      <c r="AK89" s="47"/>
      <c r="AL89" s="47"/>
      <c r="AM89" s="47"/>
      <c r="AN89" s="46">
        <f t="array" ref="AN89">[1]Индексы!$AU$92</f>
        <v>12</v>
      </c>
      <c r="AO89" s="46">
        <f t="array" ref="AO89">[1]Индексы!$AI$92</f>
        <v>12</v>
      </c>
      <c r="AP89" s="47"/>
      <c r="AQ89" s="47"/>
      <c r="AR89" s="46">
        <f t="array" ref="AR89">[1]Индексы!$AV$92</f>
        <v>12</v>
      </c>
      <c r="AS89" s="47"/>
      <c r="AT89" s="47"/>
      <c r="AU89" s="46">
        <f t="array" ref="AU89">[1]Индексы!$AW$92</f>
        <v>12</v>
      </c>
      <c r="AV89" s="46" t="e">
        <f t="array" ref="AV89">#REF!</f>
        <v>#REF!</v>
      </c>
      <c r="AW89" s="47"/>
      <c r="AX89" s="47"/>
      <c r="AY89" s="46">
        <f t="array" ref="AY89">BD89</f>
        <v>12</v>
      </c>
      <c r="AZ89" s="47"/>
      <c r="BA89" s="47"/>
      <c r="BB89" s="47"/>
      <c r="BC89" s="47"/>
      <c r="BD89" s="46">
        <f t="array" ref="BD89">[1]Индексы!$AX$92</f>
        <v>12</v>
      </c>
      <c r="BE89" s="47"/>
      <c r="BF89" s="47"/>
      <c r="BG89" s="273">
        <f>IF(AO89=0,0,BD89/AO89)*100</f>
        <v>100</v>
      </c>
      <c r="BH89" s="273" t="e">
        <f>BD89-#REF!</f>
        <v>#REF!</v>
      </c>
      <c r="BI89" s="273">
        <f>BD89-AY89</f>
        <v>0</v>
      </c>
      <c r="BJ89" s="46">
        <f t="array" ref="BJ89">[1]Индексы!$AL$92</f>
        <v>12</v>
      </c>
      <c r="BK89" s="47"/>
      <c r="BL89" s="47"/>
      <c r="BM89" s="46">
        <f t="array" ref="BM89">[1]Индексы!$AY$92</f>
        <v>12</v>
      </c>
      <c r="BN89" s="47"/>
      <c r="BO89" s="47"/>
      <c r="BP89" s="273">
        <f>IF(BD89=0,0,BM89/BD89)*100</f>
        <v>100</v>
      </c>
      <c r="BQ89" s="273">
        <f>BM89-BJ89</f>
        <v>0</v>
      </c>
      <c r="BR89" s="46">
        <f t="array" ref="BR89">[1]Индексы!$AM$92</f>
        <v>12</v>
      </c>
      <c r="BS89" s="47"/>
      <c r="BT89" s="47"/>
      <c r="BU89" s="46">
        <f t="array" ref="BU89">[1]Индексы!$AZ$92</f>
        <v>12</v>
      </c>
      <c r="BV89" s="47"/>
      <c r="BW89" s="47"/>
      <c r="BX89" s="273">
        <f>IF(BM89=0,0,BU89/BM89)*100</f>
        <v>100</v>
      </c>
      <c r="BY89" s="273">
        <f>BU89-BR89</f>
        <v>0</v>
      </c>
      <c r="BZ89" s="46">
        <f t="array" ref="BZ89">[1]Индексы!$AN$92</f>
        <v>12</v>
      </c>
      <c r="CA89" s="47"/>
      <c r="CB89" s="47"/>
      <c r="CC89" s="46">
        <f t="array" ref="CC89">[1]Индексы!$BA$92</f>
        <v>12</v>
      </c>
      <c r="CD89" s="47"/>
      <c r="CE89" s="47"/>
      <c r="CF89" s="273">
        <f>IF(BU89=0,0,CC89/BU89)*100</f>
        <v>100</v>
      </c>
      <c r="CG89" s="273">
        <f>CC89-BZ89</f>
        <v>0</v>
      </c>
      <c r="CH89" s="46">
        <f t="array" ref="CH89">[1]Индексы!$AO$92</f>
        <v>12</v>
      </c>
      <c r="CI89" s="47"/>
      <c r="CJ89" s="47"/>
      <c r="CK89" s="46">
        <f t="array" ref="CK89">[1]Индексы!$BB$92</f>
        <v>12</v>
      </c>
      <c r="CL89" s="47"/>
      <c r="CM89" s="47"/>
      <c r="CN89" s="273">
        <f>IF(CC89=0,0,CK89/CC89)*100</f>
        <v>100</v>
      </c>
      <c r="CO89" s="273">
        <f>CK89-CH89</f>
        <v>0</v>
      </c>
      <c r="CP89" s="38"/>
      <c r="CQ89" s="48"/>
      <c r="CR89" s="48"/>
      <c r="CS89" s="48"/>
      <c r="CT89" s="44"/>
      <c r="CU89" s="49">
        <f t="array" ref="CU89">BD89</f>
        <v>12</v>
      </c>
      <c r="CV89" s="44"/>
      <c r="CW89" s="44"/>
      <c r="CX89" s="44"/>
      <c r="CY89" s="44"/>
      <c r="CZ89" s="44"/>
      <c r="DA89" s="44"/>
      <c r="DB89" s="44"/>
      <c r="DC89" s="12"/>
    </row>
    <row r="90" spans="1:107" ht="24" hidden="1" customHeight="1" x14ac:dyDescent="0.25">
      <c r="A90" s="8" t="b">
        <f>$AC$56="да"</f>
        <v>0</v>
      </c>
      <c r="B90" s="8" t="b">
        <f t="array" ref="B90">A90</f>
        <v>0</v>
      </c>
      <c r="C90" s="8" t="s">
        <v>72</v>
      </c>
      <c r="D90" s="8" t="s">
        <v>73</v>
      </c>
      <c r="E90" s="8" t="s">
        <v>74</v>
      </c>
      <c r="F90" s="8" t="s">
        <v>75</v>
      </c>
      <c r="G90" s="8" t="s">
        <v>74</v>
      </c>
      <c r="H90" s="8" t="s">
        <v>74</v>
      </c>
      <c r="I90" s="8" t="s">
        <v>74</v>
      </c>
      <c r="J90" s="8" t="s">
        <v>74</v>
      </c>
      <c r="K90" s="8" t="s">
        <v>74</v>
      </c>
      <c r="L90" s="12"/>
      <c r="M90" s="8">
        <f t="array" ref="M90">$AB$92</f>
        <v>0</v>
      </c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5"/>
      <c r="AA90" s="15"/>
      <c r="AB90" s="50"/>
      <c r="AC90" s="15"/>
      <c r="AD90" s="51"/>
      <c r="AE90" s="51"/>
      <c r="AF90" s="51"/>
      <c r="AG90" s="52"/>
      <c r="AH90" s="51"/>
      <c r="AI90" s="51"/>
      <c r="AJ90" s="52"/>
      <c r="AK90" s="51"/>
      <c r="AL90" s="52"/>
      <c r="AM90" s="51"/>
      <c r="AN90" s="15"/>
      <c r="AO90" s="51"/>
      <c r="AP90" s="52"/>
      <c r="AQ90" s="51"/>
      <c r="AR90" s="51"/>
      <c r="AS90" s="52"/>
      <c r="AT90" s="51"/>
      <c r="AU90" s="15"/>
      <c r="AV90" s="51"/>
      <c r="AW90" s="52"/>
      <c r="AX90" s="51"/>
      <c r="AY90" s="51"/>
      <c r="AZ90" s="52"/>
      <c r="BA90" s="51"/>
      <c r="BB90" s="52"/>
      <c r="BC90" s="51"/>
      <c r="BD90" s="51"/>
      <c r="BE90" s="52"/>
      <c r="BF90" s="51"/>
      <c r="BG90" s="15"/>
      <c r="BH90" s="15"/>
      <c r="BI90" s="15"/>
      <c r="BJ90" s="51"/>
      <c r="BK90" s="52"/>
      <c r="BL90" s="51"/>
      <c r="BM90" s="51"/>
      <c r="BN90" s="52"/>
      <c r="BO90" s="51"/>
      <c r="BP90" s="15"/>
      <c r="BQ90" s="15"/>
      <c r="BR90" s="51"/>
      <c r="BS90" s="52"/>
      <c r="BT90" s="51"/>
      <c r="BU90" s="51"/>
      <c r="BV90" s="52"/>
      <c r="BW90" s="51"/>
      <c r="BX90" s="15"/>
      <c r="BY90" s="15"/>
      <c r="BZ90" s="51"/>
      <c r="CA90" s="52"/>
      <c r="CB90" s="51"/>
      <c r="CC90" s="51"/>
      <c r="CD90" s="52"/>
      <c r="CE90" s="51"/>
      <c r="CF90" s="15"/>
      <c r="CG90" s="15"/>
      <c r="CH90" s="51"/>
      <c r="CI90" s="52"/>
      <c r="CJ90" s="51"/>
      <c r="CK90" s="51"/>
      <c r="CL90" s="52"/>
      <c r="CM90" s="51"/>
      <c r="CN90" s="15"/>
      <c r="CO90" s="15"/>
      <c r="CP90" s="53"/>
      <c r="CQ90" s="53"/>
      <c r="CR90" s="53"/>
      <c r="CS90" s="53"/>
      <c r="CT90" s="54"/>
      <c r="CU90" s="54"/>
      <c r="CV90" s="54"/>
      <c r="CW90" s="54"/>
      <c r="CX90" s="54"/>
      <c r="CY90" s="54"/>
      <c r="CZ90" s="54"/>
      <c r="DA90" s="54"/>
      <c r="DB90" s="54"/>
      <c r="DC90" s="15"/>
    </row>
    <row r="91" spans="1:107" ht="13.5" customHeight="1" x14ac:dyDescent="0.25">
      <c r="B91" s="2" t="b">
        <v>1</v>
      </c>
      <c r="M91" s="8">
        <f t="array" ref="M91">$AB$92</f>
        <v>0</v>
      </c>
      <c r="AA91" s="22"/>
      <c r="AB91" s="55"/>
      <c r="AC91" s="56"/>
      <c r="AD91" s="57"/>
      <c r="AE91" s="57"/>
      <c r="AF91" s="57"/>
      <c r="AG91" s="15"/>
      <c r="AH91" s="15"/>
      <c r="AI91" s="57"/>
      <c r="AJ91" s="15"/>
      <c r="AK91" s="15"/>
      <c r="AL91" s="15"/>
      <c r="AM91" s="15"/>
      <c r="AN91" s="57"/>
      <c r="AO91" s="57"/>
      <c r="AP91" s="15"/>
      <c r="AQ91" s="15"/>
      <c r="AR91" s="57"/>
      <c r="AS91" s="15"/>
      <c r="AT91" s="15"/>
      <c r="AU91" s="57"/>
      <c r="AV91" s="57"/>
      <c r="AW91" s="15"/>
      <c r="AX91" s="15"/>
      <c r="AY91" s="57"/>
      <c r="AZ91" s="15"/>
      <c r="BA91" s="15"/>
      <c r="BB91" s="15"/>
      <c r="BC91" s="15"/>
      <c r="BD91" s="57"/>
      <c r="BE91" s="15"/>
      <c r="BF91" s="15"/>
      <c r="BG91" s="57"/>
      <c r="BH91" s="57"/>
      <c r="BI91" s="57"/>
      <c r="BJ91" s="57"/>
      <c r="BK91" s="15"/>
      <c r="BL91" s="15"/>
      <c r="BM91" s="57"/>
      <c r="BN91" s="15"/>
      <c r="BO91" s="15"/>
      <c r="BP91" s="57"/>
      <c r="BQ91" s="57"/>
      <c r="BR91" s="57"/>
      <c r="BS91" s="15"/>
      <c r="BT91" s="15"/>
      <c r="BU91" s="57"/>
      <c r="BV91" s="15"/>
      <c r="BW91" s="15"/>
      <c r="BX91" s="57"/>
      <c r="BY91" s="57"/>
      <c r="BZ91" s="57"/>
      <c r="CA91" s="15"/>
      <c r="CB91" s="15"/>
      <c r="CC91" s="57"/>
      <c r="CD91" s="15"/>
      <c r="CE91" s="15"/>
      <c r="CF91" s="57"/>
      <c r="CG91" s="57"/>
      <c r="CH91" s="57"/>
      <c r="CI91" s="15"/>
      <c r="CJ91" s="15"/>
      <c r="CK91" s="40"/>
      <c r="CL91" s="15"/>
      <c r="CM91" s="15"/>
      <c r="CN91" s="40"/>
      <c r="CO91" s="40"/>
      <c r="CP91" s="308"/>
      <c r="CQ91" s="58"/>
      <c r="CR91" s="58"/>
      <c r="CS91" s="58"/>
      <c r="CT91" s="59"/>
      <c r="CU91" s="59"/>
      <c r="CV91" s="59"/>
      <c r="CW91" s="59"/>
      <c r="CX91" s="59"/>
      <c r="CY91" s="59"/>
      <c r="CZ91" s="59"/>
      <c r="DA91" s="59"/>
      <c r="DB91" s="59"/>
    </row>
    <row r="92" spans="1:107" ht="13.5" hidden="1" customHeight="1" x14ac:dyDescent="0.25">
      <c r="A92" s="2" t="b">
        <f>COUNTIF([1]Тарифы!$AK$87:$AK$90,"с дифференциацией (несколько смет)")&gt;0</f>
        <v>0</v>
      </c>
      <c r="B92" s="2" t="b">
        <f t="array" ref="B92">A92</f>
        <v>0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8">
        <f t="array" ref="M92">$AB$92</f>
        <v>0</v>
      </c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5"/>
      <c r="AA92" s="60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309"/>
      <c r="CQ92" s="62"/>
      <c r="CR92" s="62"/>
      <c r="CS92" s="62"/>
      <c r="CT92" s="54"/>
      <c r="CU92" s="54"/>
      <c r="CV92" s="54"/>
      <c r="CW92" s="54"/>
      <c r="CX92" s="54"/>
      <c r="CY92" s="54"/>
      <c r="CZ92" s="54"/>
      <c r="DA92" s="54"/>
      <c r="DB92" s="54"/>
      <c r="DC92" s="15"/>
    </row>
    <row r="93" spans="1:107" ht="14.25" hidden="1" customHeight="1" outlineLevel="1" x14ac:dyDescent="0.25">
      <c r="A93" s="2" t="b">
        <f>COUNTIF([1]Тарифы!$AK$87:$AK$90,"с дифференциацией (несколько смет)")&gt;0</f>
        <v>0</v>
      </c>
      <c r="B93" s="2" t="b">
        <f t="array" ref="B93">A93</f>
        <v>0</v>
      </c>
      <c r="C93" s="8" t="s">
        <v>76</v>
      </c>
      <c r="D93" s="2" t="s">
        <v>77</v>
      </c>
      <c r="E93" s="8" t="s">
        <v>74</v>
      </c>
      <c r="F93" s="8" t="s">
        <v>74</v>
      </c>
      <c r="G93" s="8" t="s">
        <v>74</v>
      </c>
      <c r="H93" s="8" t="s">
        <v>74</v>
      </c>
      <c r="I93" s="8" t="s">
        <v>74</v>
      </c>
      <c r="J93" s="8" t="s">
        <v>74</v>
      </c>
      <c r="K93" s="8" t="s">
        <v>78</v>
      </c>
      <c r="L93" s="12"/>
      <c r="M93" s="8">
        <f t="array" ref="M93">$AB$92</f>
        <v>0</v>
      </c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5"/>
      <c r="AA93" s="63"/>
      <c r="AB93" s="64"/>
      <c r="AC93" s="65"/>
      <c r="AD93" s="66"/>
      <c r="AE93" s="66"/>
      <c r="AF93" s="66"/>
      <c r="AG93" s="15"/>
      <c r="AH93" s="15"/>
      <c r="AI93" s="66"/>
      <c r="AJ93" s="15"/>
      <c r="AK93" s="15"/>
      <c r="AL93" s="15"/>
      <c r="AM93" s="15"/>
      <c r="AN93" s="66"/>
      <c r="AO93" s="66"/>
      <c r="AP93" s="15"/>
      <c r="AQ93" s="15"/>
      <c r="AR93" s="66"/>
      <c r="AS93" s="15"/>
      <c r="AT93" s="15"/>
      <c r="AU93" s="66"/>
      <c r="AV93" s="66"/>
      <c r="AW93" s="15"/>
      <c r="AX93" s="15"/>
      <c r="AY93" s="66"/>
      <c r="AZ93" s="15"/>
      <c r="BA93" s="15"/>
      <c r="BB93" s="15"/>
      <c r="BC93" s="15"/>
      <c r="BD93" s="66"/>
      <c r="BE93" s="15"/>
      <c r="BF93" s="15"/>
      <c r="BG93" s="275"/>
      <c r="BH93" s="275"/>
      <c r="BI93" s="275"/>
      <c r="BJ93" s="66"/>
      <c r="BK93" s="15"/>
      <c r="BL93" s="15"/>
      <c r="BM93" s="66"/>
      <c r="BN93" s="15"/>
      <c r="BO93" s="15"/>
      <c r="BP93" s="275"/>
      <c r="BQ93" s="275"/>
      <c r="BR93" s="66"/>
      <c r="BS93" s="15"/>
      <c r="BT93" s="15"/>
      <c r="BU93" s="66"/>
      <c r="BV93" s="15"/>
      <c r="BW93" s="15"/>
      <c r="BX93" s="275"/>
      <c r="BY93" s="275"/>
      <c r="BZ93" s="66"/>
      <c r="CA93" s="15"/>
      <c r="CB93" s="15"/>
      <c r="CC93" s="66"/>
      <c r="CD93" s="15"/>
      <c r="CE93" s="15"/>
      <c r="CF93" s="275"/>
      <c r="CG93" s="275"/>
      <c r="CH93" s="66"/>
      <c r="CI93" s="15"/>
      <c r="CJ93" s="15"/>
      <c r="CK93" s="66"/>
      <c r="CL93" s="15"/>
      <c r="CM93" s="15"/>
      <c r="CN93" s="275"/>
      <c r="CO93" s="275"/>
      <c r="CP93" s="309"/>
      <c r="CQ93" s="67"/>
      <c r="CR93" s="67"/>
      <c r="CS93" s="67"/>
      <c r="CT93" s="68"/>
      <c r="CU93" s="68"/>
      <c r="CV93" s="68"/>
      <c r="CW93" s="68"/>
      <c r="CX93" s="68"/>
      <c r="CY93" s="68"/>
      <c r="CZ93" s="68"/>
      <c r="DA93" s="68"/>
      <c r="DB93" s="68"/>
      <c r="DC93" s="15"/>
    </row>
    <row r="94" spans="1:107" ht="14.25" hidden="1" customHeight="1" outlineLevel="1" x14ac:dyDescent="0.25">
      <c r="A94" s="2" t="b">
        <f>COUNTIF([1]Тарифы!$AK$87:$AK$90,"с дифференциацией (несколько смет)")&gt;0</f>
        <v>0</v>
      </c>
      <c r="B94" s="2" t="b">
        <f t="array" ref="B94">A94</f>
        <v>0</v>
      </c>
      <c r="C94" s="69" t="s">
        <v>79</v>
      </c>
      <c r="D94" s="70" t="s">
        <v>80</v>
      </c>
      <c r="E94" s="70" t="s">
        <v>81</v>
      </c>
      <c r="F94" s="70" t="s">
        <v>81</v>
      </c>
      <c r="G94" s="70" t="s">
        <v>81</v>
      </c>
      <c r="H94" s="70" t="s">
        <v>81</v>
      </c>
      <c r="I94" s="70" t="s">
        <v>81</v>
      </c>
      <c r="J94" s="70" t="s">
        <v>81</v>
      </c>
      <c r="K94" s="8" t="s">
        <v>78</v>
      </c>
      <c r="L94" s="12"/>
      <c r="M94" s="8">
        <f t="array" ref="M94">$AB$92</f>
        <v>0</v>
      </c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5"/>
      <c r="AA94" s="71"/>
      <c r="AB94" s="72"/>
      <c r="AC94" s="73"/>
      <c r="AD94" s="66"/>
      <c r="AE94" s="66"/>
      <c r="AF94" s="66"/>
      <c r="AG94" s="15"/>
      <c r="AH94" s="15"/>
      <c r="AI94" s="66"/>
      <c r="AJ94" s="15"/>
      <c r="AK94" s="15"/>
      <c r="AL94" s="15"/>
      <c r="AM94" s="15"/>
      <c r="AN94" s="66"/>
      <c r="AO94" s="66"/>
      <c r="AP94" s="15"/>
      <c r="AQ94" s="15"/>
      <c r="AR94" s="66"/>
      <c r="AS94" s="15"/>
      <c r="AT94" s="15"/>
      <c r="AU94" s="66"/>
      <c r="AV94" s="66"/>
      <c r="AW94" s="15"/>
      <c r="AX94" s="15"/>
      <c r="AY94" s="66"/>
      <c r="AZ94" s="15"/>
      <c r="BA94" s="15"/>
      <c r="BB94" s="15"/>
      <c r="BC94" s="15"/>
      <c r="BD94" s="66"/>
      <c r="BE94" s="15"/>
      <c r="BF94" s="15"/>
      <c r="BG94" s="275"/>
      <c r="BH94" s="275"/>
      <c r="BI94" s="275"/>
      <c r="BJ94" s="66"/>
      <c r="BK94" s="15"/>
      <c r="BL94" s="15"/>
      <c r="BM94" s="66"/>
      <c r="BN94" s="15"/>
      <c r="BO94" s="15"/>
      <c r="BP94" s="275"/>
      <c r="BQ94" s="275"/>
      <c r="BR94" s="66"/>
      <c r="BS94" s="15"/>
      <c r="BT94" s="15"/>
      <c r="BU94" s="66"/>
      <c r="BV94" s="15"/>
      <c r="BW94" s="15"/>
      <c r="BX94" s="275"/>
      <c r="BY94" s="275"/>
      <c r="BZ94" s="66"/>
      <c r="CA94" s="15"/>
      <c r="CB94" s="15"/>
      <c r="CC94" s="66"/>
      <c r="CD94" s="15"/>
      <c r="CE94" s="15"/>
      <c r="CF94" s="275"/>
      <c r="CG94" s="275"/>
      <c r="CH94" s="66"/>
      <c r="CI94" s="15"/>
      <c r="CJ94" s="15"/>
      <c r="CK94" s="66"/>
      <c r="CL94" s="15"/>
      <c r="CM94" s="15"/>
      <c r="CN94" s="275"/>
      <c r="CO94" s="275"/>
      <c r="CP94" s="309"/>
      <c r="CQ94" s="67"/>
      <c r="CR94" s="67"/>
      <c r="CS94" s="67"/>
      <c r="CT94" s="68"/>
      <c r="CU94" s="68"/>
      <c r="CV94" s="68"/>
      <c r="CW94" s="68"/>
      <c r="CX94" s="68"/>
      <c r="CY94" s="68"/>
      <c r="CZ94" s="68"/>
      <c r="DA94" s="68"/>
      <c r="DB94" s="68"/>
      <c r="DC94" s="15"/>
    </row>
    <row r="95" spans="1:107" ht="14.25" hidden="1" customHeight="1" outlineLevel="1" x14ac:dyDescent="0.25">
      <c r="A95" s="2" t="b">
        <f>COUNTIF([1]Тарифы!$AK$87:$AK$90,"с дифференциацией (несколько смет)")&gt;0</f>
        <v>0</v>
      </c>
      <c r="B95" s="2" t="b">
        <f t="array" ref="B95">A95</f>
        <v>0</v>
      </c>
      <c r="C95" s="69" t="s">
        <v>82</v>
      </c>
      <c r="D95" s="70" t="s">
        <v>83</v>
      </c>
      <c r="E95" s="70" t="s">
        <v>74</v>
      </c>
      <c r="F95" s="70" t="s">
        <v>74</v>
      </c>
      <c r="G95" s="70" t="s">
        <v>74</v>
      </c>
      <c r="H95" s="70" t="s">
        <v>74</v>
      </c>
      <c r="I95" s="70" t="s">
        <v>74</v>
      </c>
      <c r="J95" s="70" t="s">
        <v>74</v>
      </c>
      <c r="K95" s="8" t="s">
        <v>78</v>
      </c>
      <c r="L95" s="12"/>
      <c r="M95" s="8">
        <f t="array" ref="M95">$AB$92</f>
        <v>0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5"/>
      <c r="AA95" s="71"/>
      <c r="AB95" s="72"/>
      <c r="AC95" s="73"/>
      <c r="AD95" s="66"/>
      <c r="AE95" s="66"/>
      <c r="AF95" s="66"/>
      <c r="AG95" s="15"/>
      <c r="AH95" s="15"/>
      <c r="AI95" s="66"/>
      <c r="AJ95" s="15"/>
      <c r="AK95" s="15"/>
      <c r="AL95" s="15"/>
      <c r="AM95" s="15"/>
      <c r="AN95" s="66"/>
      <c r="AO95" s="66"/>
      <c r="AP95" s="15"/>
      <c r="AQ95" s="15"/>
      <c r="AR95" s="66"/>
      <c r="AS95" s="15"/>
      <c r="AT95" s="15"/>
      <c r="AU95" s="66"/>
      <c r="AV95" s="66"/>
      <c r="AW95" s="15"/>
      <c r="AX95" s="15"/>
      <c r="AY95" s="66"/>
      <c r="AZ95" s="15"/>
      <c r="BA95" s="15"/>
      <c r="BB95" s="15"/>
      <c r="BC95" s="15"/>
      <c r="BD95" s="66"/>
      <c r="BE95" s="15"/>
      <c r="BF95" s="15"/>
      <c r="BG95" s="275"/>
      <c r="BH95" s="275"/>
      <c r="BI95" s="275"/>
      <c r="BJ95" s="66"/>
      <c r="BK95" s="15"/>
      <c r="BL95" s="15"/>
      <c r="BM95" s="66"/>
      <c r="BN95" s="15"/>
      <c r="BO95" s="15"/>
      <c r="BP95" s="275"/>
      <c r="BQ95" s="275"/>
      <c r="BR95" s="66"/>
      <c r="BS95" s="15"/>
      <c r="BT95" s="15"/>
      <c r="BU95" s="66"/>
      <c r="BV95" s="15"/>
      <c r="BW95" s="15"/>
      <c r="BX95" s="275"/>
      <c r="BY95" s="275"/>
      <c r="BZ95" s="66"/>
      <c r="CA95" s="15"/>
      <c r="CB95" s="15"/>
      <c r="CC95" s="66"/>
      <c r="CD95" s="15"/>
      <c r="CE95" s="15"/>
      <c r="CF95" s="275"/>
      <c r="CG95" s="275"/>
      <c r="CH95" s="66"/>
      <c r="CI95" s="15"/>
      <c r="CJ95" s="15"/>
      <c r="CK95" s="66"/>
      <c r="CL95" s="15"/>
      <c r="CM95" s="15"/>
      <c r="CN95" s="275"/>
      <c r="CO95" s="275"/>
      <c r="CP95" s="309"/>
      <c r="CQ95" s="67"/>
      <c r="CR95" s="67"/>
      <c r="CS95" s="67"/>
      <c r="CT95" s="68"/>
      <c r="CU95" s="68"/>
      <c r="CV95" s="68"/>
      <c r="CW95" s="68"/>
      <c r="CX95" s="68"/>
      <c r="CY95" s="68"/>
      <c r="CZ95" s="68"/>
      <c r="DA95" s="68"/>
      <c r="DB95" s="68"/>
      <c r="DC95" s="15"/>
    </row>
    <row r="96" spans="1:107" ht="14.25" hidden="1" customHeight="1" outlineLevel="1" x14ac:dyDescent="0.25">
      <c r="A96" s="2" t="b">
        <f>COUNTIF([1]Тарифы!$AK$87:$AK$90,"с дифференциацией (несколько смет)")&gt;0</f>
        <v>0</v>
      </c>
      <c r="B96" s="2" t="b">
        <f t="array" ref="B96">A96</f>
        <v>0</v>
      </c>
      <c r="C96" s="2" t="s">
        <v>84</v>
      </c>
      <c r="D96" s="2" t="s">
        <v>85</v>
      </c>
      <c r="E96" s="2" t="s">
        <v>74</v>
      </c>
      <c r="F96" s="2" t="s">
        <v>75</v>
      </c>
      <c r="G96" s="2" t="s">
        <v>86</v>
      </c>
      <c r="H96" s="2" t="s">
        <v>74</v>
      </c>
      <c r="I96" s="2" t="s">
        <v>74</v>
      </c>
      <c r="J96" s="2" t="s">
        <v>74</v>
      </c>
      <c r="K96" s="8" t="s">
        <v>78</v>
      </c>
      <c r="L96" s="12"/>
      <c r="M96" s="8">
        <f t="array" ref="M96">$AB$92</f>
        <v>0</v>
      </c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5"/>
      <c r="AA96" s="63"/>
      <c r="AB96" s="74"/>
      <c r="AC96" s="75"/>
      <c r="AD96" s="76"/>
      <c r="AE96" s="76"/>
      <c r="AF96" s="76"/>
      <c r="AG96" s="15"/>
      <c r="AH96" s="15"/>
      <c r="AI96" s="76"/>
      <c r="AJ96" s="15"/>
      <c r="AK96" s="15"/>
      <c r="AL96" s="15"/>
      <c r="AM96" s="15"/>
      <c r="AN96" s="76"/>
      <c r="AO96" s="76"/>
      <c r="AP96" s="15"/>
      <c r="AQ96" s="15"/>
      <c r="AR96" s="76"/>
      <c r="AS96" s="15"/>
      <c r="AT96" s="15"/>
      <c r="AU96" s="76"/>
      <c r="AV96" s="76"/>
      <c r="AW96" s="15"/>
      <c r="AX96" s="15"/>
      <c r="AY96" s="76"/>
      <c r="AZ96" s="15"/>
      <c r="BA96" s="15"/>
      <c r="BB96" s="15"/>
      <c r="BC96" s="15"/>
      <c r="BD96" s="76"/>
      <c r="BE96" s="15"/>
      <c r="BF96" s="15"/>
      <c r="BG96" s="275"/>
      <c r="BH96" s="275"/>
      <c r="BI96" s="275"/>
      <c r="BJ96" s="76"/>
      <c r="BK96" s="15"/>
      <c r="BL96" s="15"/>
      <c r="BM96" s="76"/>
      <c r="BN96" s="15"/>
      <c r="BO96" s="15"/>
      <c r="BP96" s="275"/>
      <c r="BQ96" s="275"/>
      <c r="BR96" s="76"/>
      <c r="BS96" s="15"/>
      <c r="BT96" s="15"/>
      <c r="BU96" s="76"/>
      <c r="BV96" s="15"/>
      <c r="BW96" s="15"/>
      <c r="BX96" s="275"/>
      <c r="BY96" s="275"/>
      <c r="BZ96" s="76"/>
      <c r="CA96" s="15"/>
      <c r="CB96" s="15"/>
      <c r="CC96" s="76"/>
      <c r="CD96" s="15"/>
      <c r="CE96" s="15"/>
      <c r="CF96" s="275"/>
      <c r="CG96" s="275"/>
      <c r="CH96" s="76"/>
      <c r="CI96" s="15"/>
      <c r="CJ96" s="15"/>
      <c r="CK96" s="76"/>
      <c r="CL96" s="15"/>
      <c r="CM96" s="15"/>
      <c r="CN96" s="275"/>
      <c r="CO96" s="275"/>
      <c r="CP96" s="309"/>
      <c r="CQ96" s="67"/>
      <c r="CR96" s="67"/>
      <c r="CS96" s="67"/>
      <c r="CT96" s="68"/>
      <c r="CU96" s="68"/>
      <c r="CV96" s="68"/>
      <c r="CW96" s="68"/>
      <c r="CX96" s="68"/>
      <c r="CY96" s="68"/>
      <c r="CZ96" s="68"/>
      <c r="DA96" s="68"/>
      <c r="DB96" s="68"/>
      <c r="DC96" s="15"/>
    </row>
    <row r="97" spans="1:107" ht="14.25" hidden="1" customHeight="1" outlineLevel="1" x14ac:dyDescent="0.15">
      <c r="A97" s="2" t="b">
        <f>COUNTIF([1]Тарифы!$AK$87:$AK$90,"с дифференциацией (несколько смет)")&gt;0</f>
        <v>0</v>
      </c>
      <c r="B97" s="2" t="b">
        <f t="array" ref="B97">A97</f>
        <v>0</v>
      </c>
      <c r="C97" s="77" t="s">
        <v>87</v>
      </c>
      <c r="D97" s="8" t="s">
        <v>88</v>
      </c>
      <c r="E97" s="2" t="s">
        <v>74</v>
      </c>
      <c r="F97" s="2" t="s">
        <v>75</v>
      </c>
      <c r="G97" s="2" t="s">
        <v>74</v>
      </c>
      <c r="H97" s="2" t="s">
        <v>74</v>
      </c>
      <c r="I97" s="2" t="s">
        <v>74</v>
      </c>
      <c r="J97" s="2" t="s">
        <v>74</v>
      </c>
      <c r="K97" s="8" t="s">
        <v>78</v>
      </c>
      <c r="L97" s="12"/>
      <c r="M97" s="8">
        <f t="array" ref="M97">$AB$92</f>
        <v>0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5"/>
      <c r="AA97" s="71"/>
      <c r="AB97" s="72"/>
      <c r="AC97" s="73"/>
      <c r="AD97" s="76"/>
      <c r="AE97" s="76"/>
      <c r="AF97" s="76"/>
      <c r="AG97" s="15"/>
      <c r="AH97" s="15"/>
      <c r="AI97" s="76"/>
      <c r="AJ97" s="15"/>
      <c r="AK97" s="15"/>
      <c r="AL97" s="15"/>
      <c r="AM97" s="15"/>
      <c r="AN97" s="15"/>
      <c r="AO97" s="76"/>
      <c r="AP97" s="15"/>
      <c r="AQ97" s="15"/>
      <c r="AR97" s="76"/>
      <c r="AS97" s="15"/>
      <c r="AT97" s="15"/>
      <c r="AU97" s="15"/>
      <c r="AV97" s="76"/>
      <c r="AW97" s="15"/>
      <c r="AX97" s="15"/>
      <c r="AY97" s="76"/>
      <c r="AZ97" s="15"/>
      <c r="BA97" s="15"/>
      <c r="BB97" s="15"/>
      <c r="BC97" s="15"/>
      <c r="BD97" s="76"/>
      <c r="BE97" s="15"/>
      <c r="BF97" s="15"/>
      <c r="BG97" s="275"/>
      <c r="BH97" s="275"/>
      <c r="BI97" s="275"/>
      <c r="BJ97" s="76"/>
      <c r="BK97" s="15"/>
      <c r="BL97" s="15"/>
      <c r="BM97" s="76"/>
      <c r="BN97" s="15"/>
      <c r="BO97" s="15"/>
      <c r="BP97" s="275"/>
      <c r="BQ97" s="275"/>
      <c r="BR97" s="76"/>
      <c r="BS97" s="15"/>
      <c r="BT97" s="15"/>
      <c r="BU97" s="76"/>
      <c r="BV97" s="15"/>
      <c r="BW97" s="15"/>
      <c r="BX97" s="275"/>
      <c r="BY97" s="275"/>
      <c r="BZ97" s="76"/>
      <c r="CA97" s="15"/>
      <c r="CB97" s="15"/>
      <c r="CC97" s="76"/>
      <c r="CD97" s="15"/>
      <c r="CE97" s="15"/>
      <c r="CF97" s="275"/>
      <c r="CG97" s="275"/>
      <c r="CH97" s="76"/>
      <c r="CI97" s="15"/>
      <c r="CJ97" s="15"/>
      <c r="CK97" s="76"/>
      <c r="CL97" s="15"/>
      <c r="CM97" s="15"/>
      <c r="CN97" s="275"/>
      <c r="CO97" s="275"/>
      <c r="CP97" s="309"/>
      <c r="CQ97" s="67"/>
      <c r="CR97" s="67"/>
      <c r="CS97" s="67"/>
      <c r="CT97" s="68"/>
      <c r="CU97" s="68"/>
      <c r="CV97" s="68"/>
      <c r="CW97" s="68"/>
      <c r="CX97" s="68"/>
      <c r="CY97" s="68"/>
      <c r="CZ97" s="68"/>
      <c r="DA97" s="68"/>
      <c r="DB97" s="68"/>
      <c r="DC97" s="15"/>
    </row>
    <row r="98" spans="1:107" ht="14.25" hidden="1" customHeight="1" outlineLevel="1" x14ac:dyDescent="0.15">
      <c r="A98" s="2" t="b">
        <f>COUNTIF([1]Тарифы!$AK$87:$AK$90,"с дифференциацией (несколько смет)")&gt;0</f>
        <v>0</v>
      </c>
      <c r="B98" s="2" t="b">
        <f t="array" ref="B98">A98</f>
        <v>0</v>
      </c>
      <c r="C98" s="77" t="s">
        <v>89</v>
      </c>
      <c r="D98" s="8" t="s">
        <v>90</v>
      </c>
      <c r="E98" s="2" t="s">
        <v>74</v>
      </c>
      <c r="F98" s="2" t="s">
        <v>75</v>
      </c>
      <c r="G98" s="2" t="s">
        <v>74</v>
      </c>
      <c r="H98" s="2" t="s">
        <v>74</v>
      </c>
      <c r="I98" s="2" t="s">
        <v>74</v>
      </c>
      <c r="J98" s="2" t="s">
        <v>74</v>
      </c>
      <c r="K98" s="8" t="s">
        <v>78</v>
      </c>
      <c r="L98" s="12"/>
      <c r="M98" s="8">
        <f t="array" ref="M98">$AB$92</f>
        <v>0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5"/>
      <c r="AA98" s="71"/>
      <c r="AB98" s="72"/>
      <c r="AC98" s="73"/>
      <c r="AD98" s="76"/>
      <c r="AE98" s="76"/>
      <c r="AF98" s="76"/>
      <c r="AG98" s="15"/>
      <c r="AH98" s="15"/>
      <c r="AI98" s="76"/>
      <c r="AJ98" s="15"/>
      <c r="AK98" s="15"/>
      <c r="AL98" s="15"/>
      <c r="AM98" s="15"/>
      <c r="AN98" s="15"/>
      <c r="AO98" s="76"/>
      <c r="AP98" s="15"/>
      <c r="AQ98" s="15"/>
      <c r="AR98" s="76"/>
      <c r="AS98" s="15"/>
      <c r="AT98" s="15"/>
      <c r="AU98" s="15"/>
      <c r="AV98" s="76"/>
      <c r="AW98" s="15"/>
      <c r="AX98" s="15"/>
      <c r="AY98" s="76"/>
      <c r="AZ98" s="15"/>
      <c r="BA98" s="15"/>
      <c r="BB98" s="15"/>
      <c r="BC98" s="15"/>
      <c r="BD98" s="76"/>
      <c r="BE98" s="15"/>
      <c r="BF98" s="15"/>
      <c r="BG98" s="275"/>
      <c r="BH98" s="275"/>
      <c r="BI98" s="275"/>
      <c r="BJ98" s="76"/>
      <c r="BK98" s="15"/>
      <c r="BL98" s="15"/>
      <c r="BM98" s="76"/>
      <c r="BN98" s="15"/>
      <c r="BO98" s="15"/>
      <c r="BP98" s="275"/>
      <c r="BQ98" s="275"/>
      <c r="BR98" s="76"/>
      <c r="BS98" s="15"/>
      <c r="BT98" s="15"/>
      <c r="BU98" s="76"/>
      <c r="BV98" s="15"/>
      <c r="BW98" s="15"/>
      <c r="BX98" s="275"/>
      <c r="BY98" s="275"/>
      <c r="BZ98" s="76"/>
      <c r="CA98" s="15"/>
      <c r="CB98" s="15"/>
      <c r="CC98" s="76"/>
      <c r="CD98" s="15"/>
      <c r="CE98" s="15"/>
      <c r="CF98" s="275"/>
      <c r="CG98" s="275"/>
      <c r="CH98" s="76"/>
      <c r="CI98" s="15"/>
      <c r="CJ98" s="15"/>
      <c r="CK98" s="76"/>
      <c r="CL98" s="15"/>
      <c r="CM98" s="15"/>
      <c r="CN98" s="275"/>
      <c r="CO98" s="275"/>
      <c r="CP98" s="309"/>
      <c r="CQ98" s="67"/>
      <c r="CR98" s="67"/>
      <c r="CS98" s="67"/>
      <c r="CT98" s="68"/>
      <c r="CU98" s="68"/>
      <c r="CV98" s="68"/>
      <c r="CW98" s="68"/>
      <c r="CX98" s="68"/>
      <c r="CY98" s="68"/>
      <c r="CZ98" s="68"/>
      <c r="DA98" s="68"/>
      <c r="DB98" s="68"/>
      <c r="DC98" s="15"/>
    </row>
    <row r="99" spans="1:107" ht="14.25" hidden="1" customHeight="1" outlineLevel="1" x14ac:dyDescent="0.25">
      <c r="A99" s="2" t="b">
        <f>COUNTIF([1]Тарифы!$AK$87:$AK$90,"с дифференциацией (несколько смет)")&gt;0</f>
        <v>0</v>
      </c>
      <c r="B99" s="2" t="b">
        <f t="array" ref="B99">A99</f>
        <v>0</v>
      </c>
      <c r="C99" s="2" t="s">
        <v>91</v>
      </c>
      <c r="D99" s="2" t="s">
        <v>92</v>
      </c>
      <c r="E99" s="2" t="s">
        <v>74</v>
      </c>
      <c r="F99" s="2" t="s">
        <v>75</v>
      </c>
      <c r="G99" s="2" t="s">
        <v>74</v>
      </c>
      <c r="H99" s="2" t="s">
        <v>74</v>
      </c>
      <c r="I99" s="2" t="s">
        <v>74</v>
      </c>
      <c r="J99" s="2" t="s">
        <v>74</v>
      </c>
      <c r="K99" s="8" t="s">
        <v>78</v>
      </c>
      <c r="L99" s="12"/>
      <c r="M99" s="8">
        <f t="array" ref="M99">$AB$92</f>
        <v>0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5"/>
      <c r="AA99" s="63"/>
      <c r="AB99" s="74"/>
      <c r="AC99" s="63"/>
      <c r="AD99" s="76"/>
      <c r="AE99" s="76"/>
      <c r="AF99" s="76"/>
      <c r="AG99" s="15"/>
      <c r="AH99" s="15"/>
      <c r="AI99" s="76"/>
      <c r="AJ99" s="15"/>
      <c r="AK99" s="15"/>
      <c r="AL99" s="15"/>
      <c r="AM99" s="15"/>
      <c r="AN99" s="76"/>
      <c r="AO99" s="76"/>
      <c r="AP99" s="15"/>
      <c r="AQ99" s="15"/>
      <c r="AR99" s="76"/>
      <c r="AS99" s="15"/>
      <c r="AT99" s="15"/>
      <c r="AU99" s="76"/>
      <c r="AV99" s="76"/>
      <c r="AW99" s="15"/>
      <c r="AX99" s="15"/>
      <c r="AY99" s="76"/>
      <c r="AZ99" s="15"/>
      <c r="BA99" s="15"/>
      <c r="BB99" s="15"/>
      <c r="BC99" s="15"/>
      <c r="BD99" s="76"/>
      <c r="BE99" s="15"/>
      <c r="BF99" s="15"/>
      <c r="BG99" s="275"/>
      <c r="BH99" s="275"/>
      <c r="BI99" s="275"/>
      <c r="BJ99" s="76"/>
      <c r="BK99" s="15"/>
      <c r="BL99" s="15"/>
      <c r="BM99" s="76"/>
      <c r="BN99" s="15"/>
      <c r="BO99" s="15"/>
      <c r="BP99" s="275"/>
      <c r="BQ99" s="275"/>
      <c r="BR99" s="76"/>
      <c r="BS99" s="15"/>
      <c r="BT99" s="15"/>
      <c r="BU99" s="76"/>
      <c r="BV99" s="15"/>
      <c r="BW99" s="15"/>
      <c r="BX99" s="275"/>
      <c r="BY99" s="275"/>
      <c r="BZ99" s="76"/>
      <c r="CA99" s="15"/>
      <c r="CB99" s="15"/>
      <c r="CC99" s="76"/>
      <c r="CD99" s="15"/>
      <c r="CE99" s="15"/>
      <c r="CF99" s="275"/>
      <c r="CG99" s="275"/>
      <c r="CH99" s="76"/>
      <c r="CI99" s="15"/>
      <c r="CJ99" s="15"/>
      <c r="CK99" s="76"/>
      <c r="CL99" s="15"/>
      <c r="CM99" s="15"/>
      <c r="CN99" s="275"/>
      <c r="CO99" s="275"/>
      <c r="CP99" s="309"/>
      <c r="CQ99" s="67"/>
      <c r="CR99" s="67"/>
      <c r="CS99" s="67"/>
      <c r="CT99" s="68"/>
      <c r="CU99" s="68"/>
      <c r="CV99" s="68"/>
      <c r="CW99" s="68"/>
      <c r="CX99" s="68"/>
      <c r="CY99" s="68"/>
      <c r="CZ99" s="68"/>
      <c r="DA99" s="68"/>
      <c r="DB99" s="68"/>
      <c r="DC99" s="15"/>
    </row>
    <row r="100" spans="1:107" ht="14.25" hidden="1" customHeight="1" outlineLevel="1" x14ac:dyDescent="0.25">
      <c r="A100" s="2" t="b">
        <f>COUNTIF([1]Тарифы!$AK$87:$AK$90,"с дифференциацией (несколько смет)")&gt;0</f>
        <v>0</v>
      </c>
      <c r="B100" s="2" t="b">
        <f t="array" ref="B100">A100</f>
        <v>0</v>
      </c>
      <c r="C100" s="2" t="s">
        <v>93</v>
      </c>
      <c r="D100" s="2" t="s">
        <v>94</v>
      </c>
      <c r="E100" s="2" t="s">
        <v>74</v>
      </c>
      <c r="F100" s="2" t="s">
        <v>75</v>
      </c>
      <c r="G100" s="2" t="s">
        <v>74</v>
      </c>
      <c r="H100" s="2" t="s">
        <v>74</v>
      </c>
      <c r="I100" s="2" t="s">
        <v>74</v>
      </c>
      <c r="J100" s="2" t="s">
        <v>74</v>
      </c>
      <c r="K100" s="8" t="s">
        <v>78</v>
      </c>
      <c r="L100" s="12"/>
      <c r="M100" s="8">
        <f t="array" ref="M100">$AB$92</f>
        <v>0</v>
      </c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5"/>
      <c r="AA100" s="71"/>
      <c r="AB100" s="72"/>
      <c r="AC100" s="78"/>
      <c r="AD100" s="79"/>
      <c r="AE100" s="79"/>
      <c r="AF100" s="79"/>
      <c r="AG100" s="15"/>
      <c r="AH100" s="15"/>
      <c r="AI100" s="79"/>
      <c r="AJ100" s="15"/>
      <c r="AK100" s="15"/>
      <c r="AL100" s="15"/>
      <c r="AM100" s="15"/>
      <c r="AN100" s="15"/>
      <c r="AO100" s="79"/>
      <c r="AP100" s="15"/>
      <c r="AQ100" s="15"/>
      <c r="AR100" s="79"/>
      <c r="AS100" s="15"/>
      <c r="AT100" s="15"/>
      <c r="AU100" s="15"/>
      <c r="AV100" s="79"/>
      <c r="AW100" s="15"/>
      <c r="AX100" s="15"/>
      <c r="AY100" s="79"/>
      <c r="AZ100" s="15"/>
      <c r="BA100" s="15"/>
      <c r="BB100" s="15"/>
      <c r="BC100" s="15"/>
      <c r="BD100" s="79"/>
      <c r="BE100" s="15"/>
      <c r="BF100" s="15"/>
      <c r="BG100" s="275"/>
      <c r="BH100" s="275"/>
      <c r="BI100" s="275"/>
      <c r="BJ100" s="79"/>
      <c r="BK100" s="15"/>
      <c r="BL100" s="15"/>
      <c r="BM100" s="79"/>
      <c r="BN100" s="15"/>
      <c r="BO100" s="15"/>
      <c r="BP100" s="275"/>
      <c r="BQ100" s="275"/>
      <c r="BR100" s="79"/>
      <c r="BS100" s="15"/>
      <c r="BT100" s="15"/>
      <c r="BU100" s="79"/>
      <c r="BV100" s="15"/>
      <c r="BW100" s="15"/>
      <c r="BX100" s="275"/>
      <c r="BY100" s="275"/>
      <c r="BZ100" s="79"/>
      <c r="CA100" s="15"/>
      <c r="CB100" s="15"/>
      <c r="CC100" s="79"/>
      <c r="CD100" s="15"/>
      <c r="CE100" s="15"/>
      <c r="CF100" s="275"/>
      <c r="CG100" s="275"/>
      <c r="CH100" s="79"/>
      <c r="CI100" s="15"/>
      <c r="CJ100" s="15"/>
      <c r="CK100" s="79"/>
      <c r="CL100" s="15"/>
      <c r="CM100" s="15"/>
      <c r="CN100" s="275"/>
      <c r="CO100" s="275"/>
      <c r="CP100" s="309"/>
      <c r="CQ100" s="67"/>
      <c r="CR100" s="67"/>
      <c r="CS100" s="67"/>
      <c r="CT100" s="68"/>
      <c r="CU100" s="68"/>
      <c r="CV100" s="68"/>
      <c r="CW100" s="68"/>
      <c r="CX100" s="68"/>
      <c r="CY100" s="68"/>
      <c r="CZ100" s="68"/>
      <c r="DA100" s="68"/>
      <c r="DB100" s="68"/>
      <c r="DC100" s="15"/>
    </row>
    <row r="101" spans="1:107" ht="14.25" hidden="1" customHeight="1" outlineLevel="1" x14ac:dyDescent="0.25">
      <c r="A101" s="2" t="b">
        <f>COUNTIF([1]Тарифы!$AK$87:$AK$90,"с дифференциацией (несколько смет)")&gt;0</f>
        <v>0</v>
      </c>
      <c r="B101" s="2" t="b">
        <f t="array" ref="B101">A101</f>
        <v>0</v>
      </c>
      <c r="C101" s="2" t="s">
        <v>95</v>
      </c>
      <c r="D101" s="2" t="s">
        <v>96</v>
      </c>
      <c r="E101" s="2" t="s">
        <v>74</v>
      </c>
      <c r="F101" s="2" t="s">
        <v>75</v>
      </c>
      <c r="G101" s="2" t="s">
        <v>74</v>
      </c>
      <c r="H101" s="2" t="s">
        <v>74</v>
      </c>
      <c r="I101" s="2" t="s">
        <v>74</v>
      </c>
      <c r="J101" s="2" t="s">
        <v>74</v>
      </c>
      <c r="K101" s="8" t="s">
        <v>78</v>
      </c>
      <c r="L101" s="12"/>
      <c r="M101" s="8">
        <f t="array" ref="M101">$AB$92</f>
        <v>0</v>
      </c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5"/>
      <c r="AA101" s="71"/>
      <c r="AB101" s="72"/>
      <c r="AC101" s="73"/>
      <c r="AD101" s="79"/>
      <c r="AE101" s="79"/>
      <c r="AF101" s="79"/>
      <c r="AG101" s="15"/>
      <c r="AH101" s="15"/>
      <c r="AI101" s="79"/>
      <c r="AJ101" s="15"/>
      <c r="AK101" s="15"/>
      <c r="AL101" s="15"/>
      <c r="AM101" s="15"/>
      <c r="AN101" s="15"/>
      <c r="AO101" s="79"/>
      <c r="AP101" s="15"/>
      <c r="AQ101" s="15"/>
      <c r="AR101" s="79"/>
      <c r="AS101" s="15"/>
      <c r="AT101" s="15"/>
      <c r="AU101" s="15"/>
      <c r="AV101" s="79"/>
      <c r="AW101" s="15"/>
      <c r="AX101" s="15"/>
      <c r="AY101" s="79"/>
      <c r="AZ101" s="15"/>
      <c r="BA101" s="15"/>
      <c r="BB101" s="15"/>
      <c r="BC101" s="15"/>
      <c r="BD101" s="79"/>
      <c r="BE101" s="15"/>
      <c r="BF101" s="15"/>
      <c r="BG101" s="275"/>
      <c r="BH101" s="275"/>
      <c r="BI101" s="275"/>
      <c r="BJ101" s="80"/>
      <c r="BK101" s="15"/>
      <c r="BL101" s="15"/>
      <c r="BM101" s="79"/>
      <c r="BN101" s="15"/>
      <c r="BO101" s="15"/>
      <c r="BP101" s="275"/>
      <c r="BQ101" s="275"/>
      <c r="BR101" s="80"/>
      <c r="BS101" s="15"/>
      <c r="BT101" s="15"/>
      <c r="BU101" s="79"/>
      <c r="BV101" s="15"/>
      <c r="BW101" s="15"/>
      <c r="BX101" s="275"/>
      <c r="BY101" s="275"/>
      <c r="BZ101" s="80"/>
      <c r="CA101" s="15"/>
      <c r="CB101" s="15"/>
      <c r="CC101" s="79"/>
      <c r="CD101" s="15"/>
      <c r="CE101" s="15"/>
      <c r="CF101" s="275"/>
      <c r="CG101" s="275"/>
      <c r="CH101" s="80"/>
      <c r="CI101" s="15"/>
      <c r="CJ101" s="15"/>
      <c r="CK101" s="79"/>
      <c r="CL101" s="15"/>
      <c r="CM101" s="15"/>
      <c r="CN101" s="275"/>
      <c r="CO101" s="275"/>
      <c r="CP101" s="309"/>
      <c r="CQ101" s="67"/>
      <c r="CR101" s="67"/>
      <c r="CS101" s="67"/>
      <c r="CT101" s="68"/>
      <c r="CU101" s="68"/>
      <c r="CV101" s="68"/>
      <c r="CW101" s="68"/>
      <c r="CX101" s="68"/>
      <c r="CY101" s="68"/>
      <c r="CZ101" s="68"/>
      <c r="DA101" s="68"/>
      <c r="DB101" s="68"/>
      <c r="DC101" s="15"/>
    </row>
    <row r="102" spans="1:107" ht="14.25" hidden="1" customHeight="1" outlineLevel="1" x14ac:dyDescent="0.25">
      <c r="A102" s="2" t="b">
        <f>COUNTIF([1]Тарифы!$AK$87:$AK$90,"с дифференциацией (несколько смет)")&gt;0</f>
        <v>0</v>
      </c>
      <c r="B102" s="2" t="b">
        <f t="array" ref="B102">A102</f>
        <v>0</v>
      </c>
      <c r="C102" s="2" t="s">
        <v>97</v>
      </c>
      <c r="D102" s="2" t="s">
        <v>98</v>
      </c>
      <c r="E102" s="2" t="s">
        <v>74</v>
      </c>
      <c r="F102" s="2" t="s">
        <v>75</v>
      </c>
      <c r="G102" s="2" t="s">
        <v>74</v>
      </c>
      <c r="H102" s="2" t="s">
        <v>74</v>
      </c>
      <c r="I102" s="2" t="s">
        <v>74</v>
      </c>
      <c r="J102" s="2" t="s">
        <v>74</v>
      </c>
      <c r="K102" s="8" t="s">
        <v>78</v>
      </c>
      <c r="L102" s="12"/>
      <c r="M102" s="8">
        <f t="array" ref="M102">$AB$92</f>
        <v>0</v>
      </c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5"/>
      <c r="AA102" s="71"/>
      <c r="AB102" s="72"/>
      <c r="AC102" s="73"/>
      <c r="AD102" s="80"/>
      <c r="AE102" s="80"/>
      <c r="AF102" s="80"/>
      <c r="AG102" s="15"/>
      <c r="AH102" s="15"/>
      <c r="AI102" s="80"/>
      <c r="AJ102" s="15"/>
      <c r="AK102" s="15"/>
      <c r="AL102" s="15"/>
      <c r="AM102" s="15"/>
      <c r="AN102" s="80"/>
      <c r="AO102" s="80"/>
      <c r="AP102" s="15"/>
      <c r="AQ102" s="15"/>
      <c r="AR102" s="80"/>
      <c r="AS102" s="15"/>
      <c r="AT102" s="15"/>
      <c r="AU102" s="80"/>
      <c r="AV102" s="80"/>
      <c r="AW102" s="15"/>
      <c r="AX102" s="15"/>
      <c r="AY102" s="80"/>
      <c r="AZ102" s="15"/>
      <c r="BA102" s="15"/>
      <c r="BB102" s="15"/>
      <c r="BC102" s="15"/>
      <c r="BD102" s="80"/>
      <c r="BE102" s="15"/>
      <c r="BF102" s="15"/>
      <c r="BG102" s="275"/>
      <c r="BH102" s="275"/>
      <c r="BI102" s="275"/>
      <c r="BJ102" s="80"/>
      <c r="BK102" s="15"/>
      <c r="BL102" s="15"/>
      <c r="BM102" s="80"/>
      <c r="BN102" s="15"/>
      <c r="BO102" s="15"/>
      <c r="BP102" s="275"/>
      <c r="BQ102" s="275"/>
      <c r="BR102" s="80"/>
      <c r="BS102" s="15"/>
      <c r="BT102" s="15"/>
      <c r="BU102" s="80"/>
      <c r="BV102" s="15"/>
      <c r="BW102" s="15"/>
      <c r="BX102" s="275"/>
      <c r="BY102" s="275"/>
      <c r="BZ102" s="80"/>
      <c r="CA102" s="15"/>
      <c r="CB102" s="15"/>
      <c r="CC102" s="80"/>
      <c r="CD102" s="15"/>
      <c r="CE102" s="15"/>
      <c r="CF102" s="275"/>
      <c r="CG102" s="275"/>
      <c r="CH102" s="80"/>
      <c r="CI102" s="15"/>
      <c r="CJ102" s="15"/>
      <c r="CK102" s="80"/>
      <c r="CL102" s="15"/>
      <c r="CM102" s="15"/>
      <c r="CN102" s="275"/>
      <c r="CO102" s="275"/>
      <c r="CP102" s="309"/>
      <c r="CQ102" s="67"/>
      <c r="CR102" s="67"/>
      <c r="CS102" s="67"/>
      <c r="CT102" s="68"/>
      <c r="CU102" s="68"/>
      <c r="CV102" s="68"/>
      <c r="CW102" s="68"/>
      <c r="CX102" s="68"/>
      <c r="CY102" s="68"/>
      <c r="CZ102" s="68"/>
      <c r="DA102" s="68"/>
      <c r="DB102" s="68"/>
      <c r="DC102" s="15"/>
    </row>
    <row r="103" spans="1:107" ht="14.25" hidden="1" customHeight="1" outlineLevel="1" x14ac:dyDescent="0.25">
      <c r="A103" s="2" t="b">
        <f>COUNTIF([1]Тарифы!$AK$87:$AK$90,"с дифференциацией (несколько смет)")&gt;0</f>
        <v>0</v>
      </c>
      <c r="B103" s="81" t="b">
        <f>AND(NDS="да",A103)</f>
        <v>0</v>
      </c>
      <c r="C103" s="2" t="s">
        <v>99</v>
      </c>
      <c r="D103" s="2" t="s">
        <v>100</v>
      </c>
      <c r="E103" s="2" t="s">
        <v>74</v>
      </c>
      <c r="F103" s="2" t="s">
        <v>75</v>
      </c>
      <c r="G103" s="2" t="s">
        <v>74</v>
      </c>
      <c r="H103" s="2" t="s">
        <v>74</v>
      </c>
      <c r="I103" s="2" t="s">
        <v>74</v>
      </c>
      <c r="J103" s="2" t="s">
        <v>74</v>
      </c>
      <c r="K103" s="8" t="s">
        <v>78</v>
      </c>
      <c r="L103" s="12"/>
      <c r="M103" s="8">
        <f t="array" ref="M103">$AB$92</f>
        <v>0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5"/>
      <c r="AA103" s="63"/>
      <c r="AB103" s="74"/>
      <c r="AC103" s="63"/>
      <c r="AD103" s="76"/>
      <c r="AE103" s="76"/>
      <c r="AF103" s="76"/>
      <c r="AG103" s="15"/>
      <c r="AH103" s="15"/>
      <c r="AI103" s="76"/>
      <c r="AJ103" s="15"/>
      <c r="AK103" s="15"/>
      <c r="AL103" s="15"/>
      <c r="AM103" s="15"/>
      <c r="AN103" s="76"/>
      <c r="AO103" s="76"/>
      <c r="AP103" s="15"/>
      <c r="AQ103" s="15"/>
      <c r="AR103" s="76"/>
      <c r="AS103" s="15"/>
      <c r="AT103" s="15"/>
      <c r="AU103" s="76"/>
      <c r="AV103" s="76"/>
      <c r="AW103" s="15"/>
      <c r="AX103" s="15"/>
      <c r="AY103" s="76"/>
      <c r="AZ103" s="15"/>
      <c r="BA103" s="15"/>
      <c r="BB103" s="15"/>
      <c r="BC103" s="15"/>
      <c r="BD103" s="76"/>
      <c r="BE103" s="15"/>
      <c r="BF103" s="15"/>
      <c r="BG103" s="275"/>
      <c r="BH103" s="275"/>
      <c r="BI103" s="275"/>
      <c r="BJ103" s="76"/>
      <c r="BK103" s="15"/>
      <c r="BL103" s="15"/>
      <c r="BM103" s="76"/>
      <c r="BN103" s="15"/>
      <c r="BO103" s="15"/>
      <c r="BP103" s="275"/>
      <c r="BQ103" s="275"/>
      <c r="BR103" s="76"/>
      <c r="BS103" s="15"/>
      <c r="BT103" s="15"/>
      <c r="BU103" s="76"/>
      <c r="BV103" s="15"/>
      <c r="BW103" s="15"/>
      <c r="BX103" s="275"/>
      <c r="BY103" s="275"/>
      <c r="BZ103" s="76"/>
      <c r="CA103" s="15"/>
      <c r="CB103" s="15"/>
      <c r="CC103" s="76"/>
      <c r="CD103" s="15"/>
      <c r="CE103" s="15"/>
      <c r="CF103" s="275"/>
      <c r="CG103" s="275"/>
      <c r="CH103" s="76"/>
      <c r="CI103" s="15"/>
      <c r="CJ103" s="15"/>
      <c r="CK103" s="76"/>
      <c r="CL103" s="15"/>
      <c r="CM103" s="15"/>
      <c r="CN103" s="275"/>
      <c r="CO103" s="275"/>
      <c r="CP103" s="309"/>
      <c r="CQ103" s="67"/>
      <c r="CR103" s="67"/>
      <c r="CS103" s="67"/>
      <c r="CT103" s="68"/>
      <c r="CU103" s="68"/>
      <c r="CV103" s="68"/>
      <c r="CW103" s="68"/>
      <c r="CX103" s="68"/>
      <c r="CY103" s="68"/>
      <c r="CZ103" s="68"/>
      <c r="DA103" s="68"/>
      <c r="DB103" s="68"/>
      <c r="DC103" s="15"/>
    </row>
    <row r="104" spans="1:107" ht="14.25" hidden="1" customHeight="1" outlineLevel="1" x14ac:dyDescent="0.25">
      <c r="A104" s="2" t="b">
        <f>COUNTIF([1]Тарифы!$AK$87:$AK$90,"с дифференциацией (несколько смет)")&gt;0</f>
        <v>0</v>
      </c>
      <c r="B104" s="81" t="b">
        <f>AND(NDS="да",A104)</f>
        <v>0</v>
      </c>
      <c r="C104" s="2" t="s">
        <v>101</v>
      </c>
      <c r="D104" s="2" t="s">
        <v>102</v>
      </c>
      <c r="E104" s="2" t="s">
        <v>74</v>
      </c>
      <c r="F104" s="2" t="s">
        <v>75</v>
      </c>
      <c r="G104" s="2" t="s">
        <v>74</v>
      </c>
      <c r="H104" s="2" t="s">
        <v>74</v>
      </c>
      <c r="I104" s="2" t="s">
        <v>74</v>
      </c>
      <c r="J104" s="2" t="s">
        <v>74</v>
      </c>
      <c r="K104" s="8" t="s">
        <v>78</v>
      </c>
      <c r="L104" s="12"/>
      <c r="M104" s="8">
        <f t="array" ref="M104">$AB$92</f>
        <v>0</v>
      </c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5"/>
      <c r="AA104" s="71"/>
      <c r="AB104" s="72"/>
      <c r="AC104" s="78"/>
      <c r="AD104" s="76"/>
      <c r="AE104" s="76"/>
      <c r="AF104" s="76"/>
      <c r="AG104" s="15"/>
      <c r="AH104" s="15"/>
      <c r="AI104" s="76"/>
      <c r="AJ104" s="15"/>
      <c r="AK104" s="15"/>
      <c r="AL104" s="15"/>
      <c r="AM104" s="15"/>
      <c r="AN104" s="76"/>
      <c r="AO104" s="76"/>
      <c r="AP104" s="15"/>
      <c r="AQ104" s="15"/>
      <c r="AR104" s="76"/>
      <c r="AS104" s="15"/>
      <c r="AT104" s="15"/>
      <c r="AU104" s="76"/>
      <c r="AV104" s="76"/>
      <c r="AW104" s="15"/>
      <c r="AX104" s="15"/>
      <c r="AY104" s="76"/>
      <c r="AZ104" s="15"/>
      <c r="BA104" s="15"/>
      <c r="BB104" s="15"/>
      <c r="BC104" s="15"/>
      <c r="BD104" s="76"/>
      <c r="BE104" s="15"/>
      <c r="BF104" s="15"/>
      <c r="BG104" s="275"/>
      <c r="BH104" s="275"/>
      <c r="BI104" s="275"/>
      <c r="BJ104" s="76"/>
      <c r="BK104" s="15"/>
      <c r="BL104" s="15"/>
      <c r="BM104" s="76"/>
      <c r="BN104" s="15"/>
      <c r="BO104" s="15"/>
      <c r="BP104" s="275"/>
      <c r="BQ104" s="275"/>
      <c r="BR104" s="76"/>
      <c r="BS104" s="15"/>
      <c r="BT104" s="15"/>
      <c r="BU104" s="76"/>
      <c r="BV104" s="15"/>
      <c r="BW104" s="15"/>
      <c r="BX104" s="275"/>
      <c r="BY104" s="275"/>
      <c r="BZ104" s="76"/>
      <c r="CA104" s="15"/>
      <c r="CB104" s="15"/>
      <c r="CC104" s="76"/>
      <c r="CD104" s="15"/>
      <c r="CE104" s="15"/>
      <c r="CF104" s="275"/>
      <c r="CG104" s="275"/>
      <c r="CH104" s="76"/>
      <c r="CI104" s="15"/>
      <c r="CJ104" s="15"/>
      <c r="CK104" s="76"/>
      <c r="CL104" s="15"/>
      <c r="CM104" s="15"/>
      <c r="CN104" s="275"/>
      <c r="CO104" s="275"/>
      <c r="CP104" s="309"/>
      <c r="CQ104" s="67"/>
      <c r="CR104" s="67"/>
      <c r="CS104" s="67"/>
      <c r="CT104" s="68"/>
      <c r="CU104" s="68"/>
      <c r="CV104" s="68"/>
      <c r="CW104" s="68"/>
      <c r="CX104" s="68"/>
      <c r="CY104" s="68"/>
      <c r="CZ104" s="68"/>
      <c r="DA104" s="68"/>
      <c r="DB104" s="68"/>
      <c r="DC104" s="15"/>
    </row>
    <row r="105" spans="1:107" ht="14.25" hidden="1" customHeight="1" outlineLevel="1" x14ac:dyDescent="0.25">
      <c r="A105" s="2" t="b">
        <f>COUNTIF([1]Тарифы!$AK$87:$AK$90,"с дифференциацией (несколько смет)")&gt;0</f>
        <v>0</v>
      </c>
      <c r="B105" s="81" t="b">
        <f>AND(NDS="да",A105)</f>
        <v>0</v>
      </c>
      <c r="C105" s="2" t="s">
        <v>103</v>
      </c>
      <c r="D105" s="2" t="s">
        <v>104</v>
      </c>
      <c r="E105" s="2" t="s">
        <v>74</v>
      </c>
      <c r="F105" s="2" t="s">
        <v>75</v>
      </c>
      <c r="G105" s="2" t="s">
        <v>74</v>
      </c>
      <c r="H105" s="2" t="s">
        <v>74</v>
      </c>
      <c r="I105" s="2" t="s">
        <v>74</v>
      </c>
      <c r="J105" s="2" t="s">
        <v>74</v>
      </c>
      <c r="K105" s="8" t="s">
        <v>78</v>
      </c>
      <c r="L105" s="12"/>
      <c r="M105" s="8">
        <f t="array" ref="M105">$AB$92</f>
        <v>0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5"/>
      <c r="AA105" s="71"/>
      <c r="AB105" s="72"/>
      <c r="AC105" s="78"/>
      <c r="AD105" s="76"/>
      <c r="AE105" s="76"/>
      <c r="AF105" s="76"/>
      <c r="AG105" s="15"/>
      <c r="AH105" s="15"/>
      <c r="AI105" s="76"/>
      <c r="AJ105" s="15"/>
      <c r="AK105" s="15"/>
      <c r="AL105" s="15"/>
      <c r="AM105" s="15"/>
      <c r="AN105" s="76"/>
      <c r="AO105" s="76"/>
      <c r="AP105" s="15"/>
      <c r="AQ105" s="15"/>
      <c r="AR105" s="76"/>
      <c r="AS105" s="15"/>
      <c r="AT105" s="15"/>
      <c r="AU105" s="76"/>
      <c r="AV105" s="76"/>
      <c r="AW105" s="15"/>
      <c r="AX105" s="15"/>
      <c r="AY105" s="76"/>
      <c r="AZ105" s="15"/>
      <c r="BA105" s="15"/>
      <c r="BB105" s="15"/>
      <c r="BC105" s="15"/>
      <c r="BD105" s="76"/>
      <c r="BE105" s="15"/>
      <c r="BF105" s="15"/>
      <c r="BG105" s="275"/>
      <c r="BH105" s="275"/>
      <c r="BI105" s="275"/>
      <c r="BJ105" s="76"/>
      <c r="BK105" s="15"/>
      <c r="BL105" s="15"/>
      <c r="BM105" s="76"/>
      <c r="BN105" s="15"/>
      <c r="BO105" s="15"/>
      <c r="BP105" s="275"/>
      <c r="BQ105" s="275"/>
      <c r="BR105" s="76"/>
      <c r="BS105" s="15"/>
      <c r="BT105" s="15"/>
      <c r="BU105" s="76"/>
      <c r="BV105" s="15"/>
      <c r="BW105" s="15"/>
      <c r="BX105" s="275"/>
      <c r="BY105" s="275"/>
      <c r="BZ105" s="76"/>
      <c r="CA105" s="15"/>
      <c r="CB105" s="15"/>
      <c r="CC105" s="76"/>
      <c r="CD105" s="15"/>
      <c r="CE105" s="15"/>
      <c r="CF105" s="275"/>
      <c r="CG105" s="275"/>
      <c r="CH105" s="76"/>
      <c r="CI105" s="15"/>
      <c r="CJ105" s="15"/>
      <c r="CK105" s="76"/>
      <c r="CL105" s="15"/>
      <c r="CM105" s="15"/>
      <c r="CN105" s="275"/>
      <c r="CO105" s="275"/>
      <c r="CP105" s="309"/>
      <c r="CQ105" s="67"/>
      <c r="CR105" s="67"/>
      <c r="CS105" s="67"/>
      <c r="CT105" s="68"/>
      <c r="CU105" s="68"/>
      <c r="CV105" s="68"/>
      <c r="CW105" s="68"/>
      <c r="CX105" s="68"/>
      <c r="CY105" s="68"/>
      <c r="CZ105" s="68"/>
      <c r="DA105" s="68"/>
      <c r="DB105" s="68"/>
      <c r="DC105" s="15"/>
    </row>
    <row r="106" spans="1:107" ht="14.25" hidden="1" customHeight="1" outlineLevel="1" x14ac:dyDescent="0.25">
      <c r="A106" s="2" t="b">
        <f>COUNTIF([1]Тарифы!$AK$87:$AK$90,"с дифференциацией (несколько смет)")&gt;0</f>
        <v>0</v>
      </c>
      <c r="B106" s="81" t="b">
        <f>AND(NDS="да",A106)</f>
        <v>0</v>
      </c>
      <c r="C106" s="2" t="s">
        <v>105</v>
      </c>
      <c r="D106" s="2" t="s">
        <v>106</v>
      </c>
      <c r="E106" s="2" t="s">
        <v>74</v>
      </c>
      <c r="F106" s="2" t="s">
        <v>75</v>
      </c>
      <c r="G106" s="2" t="s">
        <v>74</v>
      </c>
      <c r="H106" s="2" t="s">
        <v>74</v>
      </c>
      <c r="I106" s="2" t="s">
        <v>74</v>
      </c>
      <c r="J106" s="2" t="s">
        <v>74</v>
      </c>
      <c r="K106" s="8" t="s">
        <v>78</v>
      </c>
      <c r="L106" s="12"/>
      <c r="M106" s="8">
        <f t="array" ref="M106">$AB$92</f>
        <v>0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5"/>
      <c r="AA106" s="71"/>
      <c r="AB106" s="72"/>
      <c r="AC106" s="78"/>
      <c r="AD106" s="80"/>
      <c r="AE106" s="80"/>
      <c r="AF106" s="80"/>
      <c r="AG106" s="15"/>
      <c r="AH106" s="15"/>
      <c r="AI106" s="80"/>
      <c r="AJ106" s="15"/>
      <c r="AK106" s="15"/>
      <c r="AL106" s="15"/>
      <c r="AM106" s="15"/>
      <c r="AN106" s="80"/>
      <c r="AO106" s="80"/>
      <c r="AP106" s="15"/>
      <c r="AQ106" s="15"/>
      <c r="AR106" s="80"/>
      <c r="AS106" s="15"/>
      <c r="AT106" s="15"/>
      <c r="AU106" s="80"/>
      <c r="AV106" s="80"/>
      <c r="AW106" s="15"/>
      <c r="AX106" s="15"/>
      <c r="AY106" s="80"/>
      <c r="AZ106" s="15"/>
      <c r="BA106" s="15"/>
      <c r="BB106" s="15"/>
      <c r="BC106" s="15"/>
      <c r="BD106" s="80"/>
      <c r="BE106" s="15"/>
      <c r="BF106" s="15"/>
      <c r="BG106" s="275"/>
      <c r="BH106" s="275"/>
      <c r="BI106" s="275"/>
      <c r="BJ106" s="80"/>
      <c r="BK106" s="15"/>
      <c r="BL106" s="15"/>
      <c r="BM106" s="80"/>
      <c r="BN106" s="15"/>
      <c r="BO106" s="15"/>
      <c r="BP106" s="275"/>
      <c r="BQ106" s="275"/>
      <c r="BR106" s="80"/>
      <c r="BS106" s="15"/>
      <c r="BT106" s="15"/>
      <c r="BU106" s="80"/>
      <c r="BV106" s="15"/>
      <c r="BW106" s="15"/>
      <c r="BX106" s="275"/>
      <c r="BY106" s="275"/>
      <c r="BZ106" s="80"/>
      <c r="CA106" s="15"/>
      <c r="CB106" s="15"/>
      <c r="CC106" s="80"/>
      <c r="CD106" s="15"/>
      <c r="CE106" s="15"/>
      <c r="CF106" s="275"/>
      <c r="CG106" s="275"/>
      <c r="CH106" s="80"/>
      <c r="CI106" s="15"/>
      <c r="CJ106" s="15"/>
      <c r="CK106" s="80"/>
      <c r="CL106" s="15"/>
      <c r="CM106" s="15"/>
      <c r="CN106" s="275"/>
      <c r="CO106" s="275"/>
      <c r="CP106" s="309"/>
      <c r="CQ106" s="67"/>
      <c r="CR106" s="67"/>
      <c r="CS106" s="67"/>
      <c r="CT106" s="68"/>
      <c r="CU106" s="68"/>
      <c r="CV106" s="68"/>
      <c r="CW106" s="68"/>
      <c r="CX106" s="68"/>
      <c r="CY106" s="68"/>
      <c r="CZ106" s="68"/>
      <c r="DA106" s="68"/>
      <c r="DB106" s="68"/>
      <c r="DC106" s="15"/>
    </row>
    <row r="107" spans="1:107" ht="13.5" hidden="1" customHeight="1" x14ac:dyDescent="0.25">
      <c r="A107" s="12"/>
      <c r="B107" s="2" t="b">
        <f>SETTING_BASE="да"</f>
        <v>0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8" t="str">
        <f t="array" ref="M107">Y107</f>
        <v>1ВО::1.1</v>
      </c>
      <c r="N107" s="12"/>
      <c r="O107" s="12"/>
      <c r="P107" s="12"/>
      <c r="Q107" s="12"/>
      <c r="R107" s="12"/>
      <c r="S107" s="2" t="str">
        <f t="array" ref="S107">INDEX([1]Тарифы!$AM$86:$AM$99,MATCH($X107,[1]Тарифы!$Y$86:$Y$99,0))</f>
        <v>да</v>
      </c>
      <c r="T107" s="2" t="str">
        <f t="array" ref="T107">INDEX([1]Тарифы!$AC$86:$AC$99,MATCH($X107,[1]Тарифы!$Y$86:$Y$99,0))</f>
        <v>Тариф на водоотведение</v>
      </c>
      <c r="U107" s="2" t="str">
        <f t="array" ref="U107">INDEX([1]Тарифы!$AB$86:$AB$99,MATCH($X107,[1]Тарифы!$Y$86:$Y$99,0))</f>
        <v>Водоотведение</v>
      </c>
      <c r="V107" s="2" t="str">
        <f t="array" ref="V107">INDEX([1]Тарифы!$AK$86:$AK$99,MATCH($X107,[1]Тарифы!$Y$86:$Y$99,0))</f>
        <v>без дифференциации</v>
      </c>
      <c r="W107" s="2" t="str">
        <f t="array" ref="W107">INDEX([1]Тарифы!$AD$86:$AD$99,MATCH($X107,[1]Тарифы!$Y$86:$Y$99,0))</f>
        <v>одноставочный</v>
      </c>
      <c r="X107" s="2" t="str">
        <f t="array" ref="X107">INDEX([1]Тарифы!$Y$86:$Y$99,MATCH($Y107,[1]Тарифы!$X$86:$X$99,0))</f>
        <v>1ВО</v>
      </c>
      <c r="Y107" s="3" t="str">
        <f t="array" ref="Y107">[1]Тарифы!$X$87</f>
        <v>1ВО::1.1</v>
      </c>
      <c r="Z107" s="12"/>
      <c r="AA107" s="82"/>
      <c r="AB107" s="83" t="str">
        <f t="array" ref="AB107">INDEX([1]Тарифы!$U$86:$U$99,MATCH($Y107,[1]Тарифы!$X$86:$X$99,0))</f>
        <v>1ВО - Тариф на водоотведение</v>
      </c>
      <c r="AC107" s="84"/>
      <c r="AD107" s="84"/>
      <c r="AE107" s="84"/>
      <c r="AF107" s="84"/>
      <c r="AG107" s="61"/>
      <c r="AH107" s="61"/>
      <c r="AI107" s="84"/>
      <c r="AJ107" s="61"/>
      <c r="AK107" s="61"/>
      <c r="AL107" s="61"/>
      <c r="AM107" s="61"/>
      <c r="AN107" s="84"/>
      <c r="AO107" s="84"/>
      <c r="AP107" s="61"/>
      <c r="AQ107" s="61"/>
      <c r="AR107" s="84"/>
      <c r="AS107" s="61"/>
      <c r="AT107" s="61"/>
      <c r="AU107" s="84"/>
      <c r="AV107" s="84"/>
      <c r="AW107" s="61"/>
      <c r="AX107" s="61"/>
      <c r="AY107" s="84"/>
      <c r="AZ107" s="61"/>
      <c r="BA107" s="61"/>
      <c r="BB107" s="61"/>
      <c r="BC107" s="61"/>
      <c r="BD107" s="84"/>
      <c r="BE107" s="61"/>
      <c r="BF107" s="61"/>
      <c r="BG107" s="84"/>
      <c r="BH107" s="84"/>
      <c r="BI107" s="84"/>
      <c r="BJ107" s="84"/>
      <c r="BK107" s="61"/>
      <c r="BL107" s="61"/>
      <c r="BM107" s="84"/>
      <c r="BN107" s="61"/>
      <c r="BO107" s="61"/>
      <c r="BP107" s="84"/>
      <c r="BQ107" s="84"/>
      <c r="BR107" s="84"/>
      <c r="BS107" s="61"/>
      <c r="BT107" s="61"/>
      <c r="BU107" s="84"/>
      <c r="BV107" s="61"/>
      <c r="BW107" s="61"/>
      <c r="BX107" s="84"/>
      <c r="BY107" s="84"/>
      <c r="BZ107" s="84"/>
      <c r="CA107" s="61"/>
      <c r="CB107" s="61"/>
      <c r="CC107" s="84"/>
      <c r="CD107" s="61"/>
      <c r="CE107" s="61"/>
      <c r="CF107" s="84"/>
      <c r="CG107" s="84"/>
      <c r="CH107" s="84"/>
      <c r="CI107" s="61"/>
      <c r="CJ107" s="61"/>
      <c r="CK107" s="84"/>
      <c r="CL107" s="61"/>
      <c r="CM107" s="61"/>
      <c r="CN107" s="84"/>
      <c r="CO107" s="84"/>
      <c r="CP107" s="310"/>
      <c r="CQ107" s="85"/>
      <c r="CR107" s="85"/>
      <c r="CS107" s="85"/>
      <c r="CT107" s="44"/>
      <c r="CU107" s="44"/>
      <c r="CV107" s="44"/>
      <c r="CW107" s="44"/>
      <c r="CX107" s="44"/>
      <c r="CY107" s="44"/>
      <c r="CZ107" s="44"/>
      <c r="DA107" s="44"/>
      <c r="DB107" s="44"/>
      <c r="DC107" s="12"/>
    </row>
    <row r="108" spans="1:107" ht="14.25" customHeight="1" x14ac:dyDescent="0.25">
      <c r="A108" s="2" t="b">
        <f>REGULATION_METHODS="Метод индексации"</f>
        <v>1</v>
      </c>
      <c r="B108" s="8" t="b">
        <f t="array" ref="B108">A108</f>
        <v>1</v>
      </c>
      <c r="M108" s="8" t="str">
        <f t="array" ref="M108">Y107</f>
        <v>1ВО::1.1</v>
      </c>
      <c r="AA108" s="86">
        <v>0</v>
      </c>
      <c r="AB108" s="87" t="s">
        <v>107</v>
      </c>
      <c r="AC108" s="87"/>
      <c r="AD108" s="88"/>
      <c r="AE108" s="88"/>
      <c r="AF108" s="88"/>
      <c r="AG108" s="89"/>
      <c r="AH108" s="89"/>
      <c r="AI108" s="88"/>
      <c r="AJ108" s="89"/>
      <c r="AK108" s="89"/>
      <c r="AL108" s="89"/>
      <c r="AM108" s="89"/>
      <c r="AN108" s="88"/>
      <c r="AO108" s="88"/>
      <c r="AP108" s="89"/>
      <c r="AQ108" s="89"/>
      <c r="AR108" s="88"/>
      <c r="AS108" s="89"/>
      <c r="AT108" s="89"/>
      <c r="AU108" s="88"/>
      <c r="AV108" s="88"/>
      <c r="AW108" s="89"/>
      <c r="AX108" s="89"/>
      <c r="AY108" s="88"/>
      <c r="AZ108" s="89"/>
      <c r="BA108" s="89"/>
      <c r="BB108" s="89"/>
      <c r="BC108" s="89"/>
      <c r="BD108" s="88"/>
      <c r="BE108" s="89"/>
      <c r="BF108" s="89"/>
      <c r="BG108" s="88"/>
      <c r="BH108" s="88"/>
      <c r="BI108" s="88"/>
      <c r="BJ108" s="88"/>
      <c r="BK108" s="89"/>
      <c r="BL108" s="89"/>
      <c r="BM108" s="88"/>
      <c r="BN108" s="89"/>
      <c r="BO108" s="89"/>
      <c r="BP108" s="88"/>
      <c r="BQ108" s="88"/>
      <c r="BR108" s="88"/>
      <c r="BS108" s="89"/>
      <c r="BT108" s="89"/>
      <c r="BU108" s="88"/>
      <c r="BV108" s="89"/>
      <c r="BW108" s="89"/>
      <c r="BX108" s="88"/>
      <c r="BY108" s="88"/>
      <c r="BZ108" s="88"/>
      <c r="CA108" s="89"/>
      <c r="CB108" s="89"/>
      <c r="CC108" s="88"/>
      <c r="CD108" s="89"/>
      <c r="CE108" s="89"/>
      <c r="CF108" s="88"/>
      <c r="CG108" s="88"/>
      <c r="CH108" s="88"/>
      <c r="CI108" s="89"/>
      <c r="CJ108" s="89"/>
      <c r="CK108" s="88"/>
      <c r="CL108" s="89"/>
      <c r="CM108" s="89"/>
      <c r="CN108" s="88"/>
      <c r="CO108" s="88"/>
      <c r="CP108" s="311"/>
      <c r="CQ108" s="90"/>
      <c r="CR108" s="90"/>
      <c r="CS108" s="90"/>
      <c r="CT108" s="91" t="s">
        <v>108</v>
      </c>
      <c r="CU108" s="91" t="s">
        <v>109</v>
      </c>
      <c r="CV108" s="92"/>
      <c r="CW108" s="92"/>
      <c r="CX108" s="92"/>
      <c r="CY108" s="92"/>
      <c r="CZ108" s="92"/>
      <c r="DA108" s="92"/>
      <c r="DB108" s="92"/>
    </row>
    <row r="109" spans="1:107" ht="14.25" customHeight="1" outlineLevel="1" x14ac:dyDescent="0.25">
      <c r="A109" s="2" t="b">
        <f t="array" ref="A109">A108</f>
        <v>1</v>
      </c>
      <c r="C109" s="93" t="s">
        <v>110</v>
      </c>
      <c r="D109" s="93" t="s">
        <v>111</v>
      </c>
      <c r="E109" s="2" t="s">
        <v>74</v>
      </c>
      <c r="F109" s="4" t="s">
        <v>75</v>
      </c>
      <c r="G109" s="93" t="s">
        <v>112</v>
      </c>
      <c r="H109" s="2" t="s">
        <v>74</v>
      </c>
      <c r="I109" s="2" t="s">
        <v>74</v>
      </c>
      <c r="K109" s="5" t="s">
        <v>74</v>
      </c>
      <c r="M109" s="8" t="str">
        <f t="array" ref="M109">Y107</f>
        <v>1ВО::1.1</v>
      </c>
      <c r="AA109" s="94" t="str">
        <f>AA108&amp;".1"</f>
        <v>0.1</v>
      </c>
      <c r="AB109" s="95" t="s">
        <v>113</v>
      </c>
      <c r="AC109" s="96" t="s">
        <v>114</v>
      </c>
      <c r="AD109" s="97">
        <f>AD160+AD227+AD191+AD200-AD158</f>
        <v>0</v>
      </c>
      <c r="AE109" s="97">
        <f>AE160+AE227+AE191+AE200-AE158</f>
        <v>0</v>
      </c>
      <c r="AF109" s="97">
        <f>AF160+AF227+AF191+AF200-AF158</f>
        <v>0</v>
      </c>
      <c r="AG109" s="98"/>
      <c r="AH109" s="98"/>
      <c r="AI109" s="97">
        <f>AI160+AI227+AI191+AI200-AI158</f>
        <v>0</v>
      </c>
      <c r="AJ109" s="98"/>
      <c r="AK109" s="98"/>
      <c r="AL109" s="98"/>
      <c r="AM109" s="98"/>
      <c r="AN109" s="97" t="e">
        <f>AN160+AN227+AN191+AN200-AN158</f>
        <v>#REF!</v>
      </c>
      <c r="AO109" s="97">
        <f>AO160+AO227+AO191+AO200-AO158</f>
        <v>0</v>
      </c>
      <c r="AP109" s="98"/>
      <c r="AQ109" s="98"/>
      <c r="AR109" s="97">
        <f>AR160+AR227+AR191+AR200-AR158</f>
        <v>0</v>
      </c>
      <c r="AS109" s="98"/>
      <c r="AT109" s="98"/>
      <c r="AU109" s="97" t="e">
        <f>AU160+AU227+AU191+AU200-AU158</f>
        <v>#REF!</v>
      </c>
      <c r="AV109" s="97">
        <f>AV160+AV227+AV191+AV200-AV158</f>
        <v>0</v>
      </c>
      <c r="AW109" s="98"/>
      <c r="AX109" s="98"/>
      <c r="AY109" s="97">
        <f>AY160+AY227+AY191+AY200-AY158</f>
        <v>0</v>
      </c>
      <c r="AZ109" s="98"/>
      <c r="BA109" s="98"/>
      <c r="BB109" s="98"/>
      <c r="BC109" s="98"/>
      <c r="BD109" s="97" t="e">
        <f>BD160+BD227+BD191+BD200-BD158</f>
        <v>#REF!</v>
      </c>
      <c r="BE109" s="98"/>
      <c r="BF109" s="98"/>
      <c r="BG109" s="12"/>
      <c r="BH109" s="12"/>
      <c r="BI109" s="12"/>
      <c r="BJ109" s="97" t="e">
        <f>BJ160+BJ227+BJ191+BJ200-BJ158</f>
        <v>#REF!</v>
      </c>
      <c r="BK109" s="98"/>
      <c r="BL109" s="98"/>
      <c r="BM109" s="97" t="e">
        <f>BM160+BM227+BM191+BM200-BM158</f>
        <v>#REF!</v>
      </c>
      <c r="BN109" s="98"/>
      <c r="BO109" s="98"/>
      <c r="BP109" s="97" t="e">
        <f>IF(BD109=0,0,BM109/BD109)*100</f>
        <v>#REF!</v>
      </c>
      <c r="BQ109" s="97" t="e">
        <f>BM109-BJ109</f>
        <v>#REF!</v>
      </c>
      <c r="BR109" s="97" t="e">
        <f>BR160+BR227+BR191+BR200-BR158</f>
        <v>#REF!</v>
      </c>
      <c r="BS109" s="98"/>
      <c r="BT109" s="98"/>
      <c r="BU109" s="97" t="e">
        <f>BU160+BU227+BU191+BU200-BU158</f>
        <v>#REF!</v>
      </c>
      <c r="BV109" s="98"/>
      <c r="BW109" s="98"/>
      <c r="BX109" s="97" t="e">
        <f>IF(BM109=0,0,BU109/BM109)*100</f>
        <v>#REF!</v>
      </c>
      <c r="BY109" s="97" t="e">
        <f>BU109-BR109</f>
        <v>#REF!</v>
      </c>
      <c r="BZ109" s="97" t="e">
        <f>BZ160+BZ227+BZ191+BZ200-BZ158</f>
        <v>#REF!</v>
      </c>
      <c r="CA109" s="98"/>
      <c r="CB109" s="98"/>
      <c r="CC109" s="97" t="e">
        <f>CC160+CC227+CC191+CC200-CC158</f>
        <v>#REF!</v>
      </c>
      <c r="CD109" s="98"/>
      <c r="CE109" s="98"/>
      <c r="CF109" s="97" t="e">
        <f>IF(BU109=0,0,CC109/BU109)*100</f>
        <v>#REF!</v>
      </c>
      <c r="CG109" s="97" t="e">
        <f>CC109-BZ109</f>
        <v>#REF!</v>
      </c>
      <c r="CH109" s="97" t="e">
        <f>CH160+CH227+CH191+CH200-CH158</f>
        <v>#REF!</v>
      </c>
      <c r="CI109" s="98"/>
      <c r="CJ109" s="98"/>
      <c r="CK109" s="97" t="e">
        <f>CK160+CK227+CK191+CK200-CK158</f>
        <v>#REF!</v>
      </c>
      <c r="CL109" s="98"/>
      <c r="CM109" s="98"/>
      <c r="CN109" s="97" t="e">
        <f>IF(CC109=0,0,CK109/CC109)*100</f>
        <v>#REF!</v>
      </c>
      <c r="CO109" s="97" t="e">
        <f>CK109-CH109</f>
        <v>#REF!</v>
      </c>
      <c r="CP109" s="312"/>
      <c r="CQ109" s="85"/>
      <c r="CR109" s="85"/>
      <c r="CS109" s="85"/>
      <c r="CT109" s="99" t="e">
        <f>SUM(AD109:CO109)</f>
        <v>#REF!</v>
      </c>
      <c r="CU109" s="100" t="e">
        <f>CU160+CU227+CU191+CU200-CU158</f>
        <v>#REF!</v>
      </c>
      <c r="CV109" s="101"/>
      <c r="CW109" s="101"/>
      <c r="CX109" s="101"/>
      <c r="CY109" s="101"/>
      <c r="CZ109" s="101"/>
      <c r="DA109" s="101"/>
      <c r="DB109" s="101"/>
    </row>
    <row r="110" spans="1:107" ht="14.25" customHeight="1" x14ac:dyDescent="0.25">
      <c r="A110" s="2" t="b">
        <f t="array" ref="A110">A109</f>
        <v>1</v>
      </c>
      <c r="M110" s="8" t="str">
        <f t="array" ref="M110">Y107</f>
        <v>1ВО::1.1</v>
      </c>
      <c r="AA110" s="102">
        <v>1</v>
      </c>
      <c r="AB110" s="103" t="s">
        <v>115</v>
      </c>
      <c r="AC110" s="88"/>
      <c r="AD110" s="104"/>
      <c r="AE110" s="104"/>
      <c r="AF110" s="104"/>
      <c r="AG110" s="105"/>
      <c r="AH110" s="105"/>
      <c r="AI110" s="104"/>
      <c r="AJ110" s="105"/>
      <c r="AK110" s="105"/>
      <c r="AL110" s="105"/>
      <c r="AM110" s="105"/>
      <c r="AN110" s="106"/>
      <c r="AO110" s="106"/>
      <c r="AP110" s="105"/>
      <c r="AQ110" s="105"/>
      <c r="AR110" s="106"/>
      <c r="AS110" s="105"/>
      <c r="AT110" s="105"/>
      <c r="AU110" s="106"/>
      <c r="AV110" s="106"/>
      <c r="AW110" s="105"/>
      <c r="AX110" s="105"/>
      <c r="AY110" s="106"/>
      <c r="AZ110" s="105"/>
      <c r="BA110" s="105"/>
      <c r="BB110" s="105"/>
      <c r="BC110" s="105"/>
      <c r="BD110" s="106"/>
      <c r="BE110" s="105"/>
      <c r="BF110" s="105"/>
      <c r="BG110" s="106"/>
      <c r="BH110" s="106"/>
      <c r="BI110" s="106"/>
      <c r="BJ110" s="106"/>
      <c r="BK110" s="105"/>
      <c r="BL110" s="105"/>
      <c r="BM110" s="106"/>
      <c r="BN110" s="105"/>
      <c r="BO110" s="105"/>
      <c r="BP110" s="106"/>
      <c r="BQ110" s="106"/>
      <c r="BR110" s="106"/>
      <c r="BS110" s="105"/>
      <c r="BT110" s="105"/>
      <c r="BU110" s="106"/>
      <c r="BV110" s="105"/>
      <c r="BW110" s="105"/>
      <c r="BX110" s="106"/>
      <c r="BY110" s="106"/>
      <c r="BZ110" s="104"/>
      <c r="CA110" s="105"/>
      <c r="CB110" s="105"/>
      <c r="CC110" s="104"/>
      <c r="CD110" s="105"/>
      <c r="CE110" s="105"/>
      <c r="CF110" s="104"/>
      <c r="CG110" s="104"/>
      <c r="CH110" s="104"/>
      <c r="CI110" s="105"/>
      <c r="CJ110" s="105"/>
      <c r="CK110" s="104"/>
      <c r="CL110" s="105"/>
      <c r="CM110" s="105"/>
      <c r="CN110" s="104"/>
      <c r="CO110" s="104"/>
      <c r="CP110" s="311"/>
      <c r="CQ110" s="85"/>
      <c r="CR110" s="85"/>
      <c r="CS110" s="85"/>
      <c r="CT110" s="101"/>
      <c r="CU110" s="99"/>
      <c r="CV110" s="101"/>
      <c r="CW110" s="101"/>
      <c r="CX110" s="101"/>
      <c r="CY110" s="101"/>
      <c r="CZ110" s="101"/>
      <c r="DA110" s="101"/>
      <c r="DB110" s="101"/>
    </row>
    <row r="111" spans="1:107" ht="14.25" customHeight="1" outlineLevel="1" x14ac:dyDescent="0.25">
      <c r="A111" s="2" t="b">
        <f t="array" ref="A111">A110</f>
        <v>1</v>
      </c>
      <c r="C111" s="2" t="s">
        <v>116</v>
      </c>
      <c r="D111" s="2" t="s">
        <v>117</v>
      </c>
      <c r="E111" s="8" t="str">
        <f t="array" ref="E111">AB111</f>
        <v>Коэффициент операционных расходов</v>
      </c>
      <c r="F111" s="4" t="s">
        <v>75</v>
      </c>
      <c r="G111" s="2" t="s">
        <v>74</v>
      </c>
      <c r="H111" s="2" t="s">
        <v>74</v>
      </c>
      <c r="I111" s="2" t="s">
        <v>74</v>
      </c>
      <c r="K111" s="5" t="s">
        <v>74</v>
      </c>
      <c r="L111" s="2" t="s">
        <v>118</v>
      </c>
      <c r="M111" s="8" t="str">
        <f t="array" ref="M111">Y107</f>
        <v>1ВО::1.1</v>
      </c>
      <c r="AA111" s="107" t="str">
        <f>AA110&amp;".1"</f>
        <v>1.1</v>
      </c>
      <c r="AB111" s="108" t="s">
        <v>119</v>
      </c>
      <c r="AC111" s="109"/>
      <c r="AD111" s="12"/>
      <c r="AE111" s="110">
        <v>1.03257</v>
      </c>
      <c r="AF111" s="110">
        <f>(1-AF113)*(1+AF114)*(1+AF115)*AF119</f>
        <v>1.0494000000000001</v>
      </c>
      <c r="AG111" s="15"/>
      <c r="AH111" s="15"/>
      <c r="AI111" s="110" t="e">
        <f>(1-AI113)*(1+AI114)*(1+AI115)*AI119</f>
        <v>#REF!</v>
      </c>
      <c r="AJ111" s="15"/>
      <c r="AK111" s="15"/>
      <c r="AL111" s="15"/>
      <c r="AM111" s="15"/>
      <c r="AN111" s="111" t="e">
        <f>(1-AN113)*(1+AN114)*(1+AN115)*AN119</f>
        <v>#REF!</v>
      </c>
      <c r="AO111" s="111">
        <v>1.06128</v>
      </c>
      <c r="AP111" s="15"/>
      <c r="AQ111" s="15"/>
      <c r="AR111" s="111">
        <f>(1-AR113)*(1+AR114)*(1+AR115)*AR119</f>
        <v>1.06128</v>
      </c>
      <c r="AS111" s="15"/>
      <c r="AT111" s="15"/>
      <c r="AU111" s="111" t="e">
        <f>(1-AU113)*(1+AU114)*(1+AU115)*AU119</f>
        <v>#REF!</v>
      </c>
      <c r="AV111" s="111">
        <v>1.0315799999999999</v>
      </c>
      <c r="AW111" s="15"/>
      <c r="AX111" s="15"/>
      <c r="AY111" s="111">
        <f>(1-AY113)*(1+AY114)*(1+AY115)*AY119</f>
        <v>1.0315799999999999</v>
      </c>
      <c r="AZ111" s="15"/>
      <c r="BA111" s="15"/>
      <c r="BB111" s="15"/>
      <c r="BC111" s="15"/>
      <c r="BD111" s="111" t="e">
        <f>(1-BD113)*(1+BD114)*(1+BD115)*BD119</f>
        <v>#REF!</v>
      </c>
      <c r="BE111" s="15"/>
      <c r="BF111" s="15"/>
      <c r="BG111" s="267" t="e">
        <f>IF(AR112=0,0,BD112/AR112)*100</f>
        <v>#REF!</v>
      </c>
      <c r="BH111" s="267" t="e">
        <f>BD112-#REF!</f>
        <v>#REF!</v>
      </c>
      <c r="BI111" s="267" t="e">
        <f>BD112-AY112</f>
        <v>#REF!</v>
      </c>
      <c r="BJ111" s="111" t="e">
        <f>(1-BJ113)*(1+BJ114)*(1+BJ115)*BJ119</f>
        <v>#REF!</v>
      </c>
      <c r="BK111" s="15"/>
      <c r="BL111" s="15"/>
      <c r="BM111" s="313" t="e">
        <f>(1-BM113)*(1+BM114)*(1+BM115)*BM119</f>
        <v>#REF!</v>
      </c>
      <c r="BN111" s="15"/>
      <c r="BO111" s="15"/>
      <c r="BP111" s="97" t="e">
        <f t="shared" ref="BP111:BP117" si="0">IF(BD111=0,0,BM111/BD111)*100</f>
        <v>#REF!</v>
      </c>
      <c r="BQ111" s="97" t="e">
        <f t="shared" ref="BQ111:BQ117" si="1">BM111-BJ111</f>
        <v>#REF!</v>
      </c>
      <c r="BR111" s="313" t="e">
        <f>(1-BR113)*(1+BR114)*(1+BR115)*BR119</f>
        <v>#REF!</v>
      </c>
      <c r="BS111" s="15"/>
      <c r="BT111" s="15"/>
      <c r="BU111" s="313" t="e">
        <f>(1-BU113)*(1+BU114)*(1+BU115)*BU119</f>
        <v>#REF!</v>
      </c>
      <c r="BV111" s="15"/>
      <c r="BW111" s="15"/>
      <c r="BX111" s="97" t="e">
        <f t="shared" ref="BX111:BX117" si="2">IF(BM111=0,0,BU111/BM111)*100</f>
        <v>#REF!</v>
      </c>
      <c r="BY111" s="314" t="e">
        <f t="shared" ref="BY111:BY117" si="3">BU111-BR111</f>
        <v>#REF!</v>
      </c>
      <c r="BZ111" s="110" t="e">
        <f>(1-BZ113)*(1+BZ114)*(1+BZ115)*BZ119</f>
        <v>#REF!</v>
      </c>
      <c r="CA111" s="15"/>
      <c r="CB111" s="15"/>
      <c r="CC111" s="110" t="e">
        <f>(1-CC113)*(1+CC114)*(1+CC115)*CC119</f>
        <v>#REF!</v>
      </c>
      <c r="CD111" s="15"/>
      <c r="CE111" s="15"/>
      <c r="CF111" s="97" t="e">
        <f t="shared" ref="CF111:CF117" si="4">IF(BU111=0,0,CC111/BU111)*100</f>
        <v>#REF!</v>
      </c>
      <c r="CG111" s="97" t="e">
        <f t="shared" ref="CG111:CG117" si="5">CC111-BZ111</f>
        <v>#REF!</v>
      </c>
      <c r="CH111" s="110" t="e">
        <f>(1-CH113)*(1+CH114)*(1+CH115)*CH119</f>
        <v>#REF!</v>
      </c>
      <c r="CI111" s="15"/>
      <c r="CJ111" s="15"/>
      <c r="CK111" s="110" t="e">
        <f>(1-CK113)*(1+CK114)*(1+CK115)*CK119</f>
        <v>#REF!</v>
      </c>
      <c r="CL111" s="15"/>
      <c r="CM111" s="15"/>
      <c r="CN111" s="97" t="e">
        <f t="shared" ref="CN111:CN117" si="6">IF(CC111=0,0,CK111/CC111)*100</f>
        <v>#REF!</v>
      </c>
      <c r="CO111" s="97" t="e">
        <f t="shared" ref="CO111:CO117" si="7">CK111-CH111</f>
        <v>#REF!</v>
      </c>
      <c r="CP111" s="312"/>
      <c r="CQ111" s="85"/>
      <c r="CR111" s="85"/>
      <c r="CS111" s="85"/>
      <c r="CT111" s="99" t="e">
        <f t="shared" ref="CT111:CT120" si="8">SUM(AD111:CO111)</f>
        <v>#REF!</v>
      </c>
      <c r="CU111" s="100" t="e">
        <f>(1-CU113)*(1+CU114)*(1+CU115)*CU119</f>
        <v>#REF!</v>
      </c>
      <c r="CV111" s="101"/>
      <c r="CW111" s="101"/>
      <c r="CX111" s="101"/>
      <c r="CY111" s="101"/>
      <c r="CZ111" s="101"/>
      <c r="DA111" s="101"/>
      <c r="DB111" s="101"/>
    </row>
    <row r="112" spans="1:107" ht="14.25" customHeight="1" outlineLevel="1" x14ac:dyDescent="0.25">
      <c r="A112" s="2" t="b">
        <f t="array" ref="A112">A111</f>
        <v>1</v>
      </c>
      <c r="C112" s="112" t="s">
        <v>116</v>
      </c>
      <c r="D112" s="112" t="s">
        <v>117</v>
      </c>
      <c r="E112" s="113" t="str">
        <f t="array" ref="E112">AB112</f>
        <v>Коэффициент роста ОР к значению прошлого года</v>
      </c>
      <c r="F112" s="112" t="s">
        <v>75</v>
      </c>
      <c r="G112" s="112" t="s">
        <v>74</v>
      </c>
      <c r="H112" s="112" t="s">
        <v>74</v>
      </c>
      <c r="I112" s="112" t="s">
        <v>74</v>
      </c>
      <c r="J112" s="113"/>
      <c r="K112" s="114" t="s">
        <v>74</v>
      </c>
      <c r="L112" s="112" t="s">
        <v>118</v>
      </c>
      <c r="M112" s="8" t="str">
        <f t="array" ref="M112">Y107</f>
        <v>1ВО::1.1</v>
      </c>
      <c r="AA112" s="107" t="str">
        <f>AA110&amp;".1*"</f>
        <v>1.1*</v>
      </c>
      <c r="AB112" s="108" t="s">
        <v>120</v>
      </c>
      <c r="AC112" s="109"/>
      <c r="AD112" s="115"/>
      <c r="AE112" s="116">
        <v>1.058538002112601</v>
      </c>
      <c r="AF112" s="110">
        <f>IF(AE158=0,0,AF158/AE158)</f>
        <v>1.152744997314709</v>
      </c>
      <c r="AG112" s="15"/>
      <c r="AH112" s="15"/>
      <c r="AI112" s="110" t="e">
        <f>IF(#REF!=0,0,AI158/#REF!)</f>
        <v>#REF!</v>
      </c>
      <c r="AJ112" s="15"/>
      <c r="AK112" s="15"/>
      <c r="AL112" s="15"/>
      <c r="AM112" s="15"/>
      <c r="AN112" s="110" t="e">
        <f>IF(#REF!=0,0,AN158/#REF!)</f>
        <v>#REF!</v>
      </c>
      <c r="AO112" s="111">
        <v>1.497757275906578</v>
      </c>
      <c r="AP112" s="15"/>
      <c r="AQ112" s="15"/>
      <c r="AR112" s="111">
        <f>IF(AI158=0,0,AR158/AI158)</f>
        <v>1.4967030872578175</v>
      </c>
      <c r="AS112" s="15"/>
      <c r="AT112" s="15"/>
      <c r="AU112" s="111" t="e">
        <f>IF(AN158=0,0,AU158/AN158)</f>
        <v>#REF!</v>
      </c>
      <c r="AV112" s="111">
        <v>1.0315799999999997</v>
      </c>
      <c r="AW112" s="15"/>
      <c r="AX112" s="15"/>
      <c r="AY112" s="111">
        <f>IF(AR158=0,0,AY158/AR158)</f>
        <v>1.0315799999999997</v>
      </c>
      <c r="AZ112" s="15"/>
      <c r="BA112" s="15"/>
      <c r="BB112" s="15"/>
      <c r="BC112" s="15"/>
      <c r="BD112" s="111" t="e">
        <f>IF('ВО-2021-2025'!AR158=0,0,'ВО-2021-2025'!BD158/'ВО-2021-2025'!AR158)</f>
        <v>#REF!</v>
      </c>
      <c r="BE112" s="15"/>
      <c r="BF112" s="15"/>
      <c r="BG112" s="267">
        <f>IF(AR113=0,0,BD113/AR113)*100</f>
        <v>100</v>
      </c>
      <c r="BH112" s="267" t="e">
        <f>BD113-#REF!</f>
        <v>#REF!</v>
      </c>
      <c r="BI112" s="267">
        <f>BD113-AY113</f>
        <v>0</v>
      </c>
      <c r="BJ112" s="111" t="e">
        <f>IF(#REF!=0,0,BJ158/#REF!)</f>
        <v>#REF!</v>
      </c>
      <c r="BK112" s="15"/>
      <c r="BL112" s="15"/>
      <c r="BM112" s="111" t="e">
        <f>IF(BD158=0,0,BM158/BD158)</f>
        <v>#REF!</v>
      </c>
      <c r="BN112" s="15"/>
      <c r="BO112" s="15"/>
      <c r="BP112" s="97" t="e">
        <f t="shared" si="0"/>
        <v>#REF!</v>
      </c>
      <c r="BQ112" s="97" t="e">
        <f t="shared" si="1"/>
        <v>#REF!</v>
      </c>
      <c r="BR112" s="111" t="e">
        <f>IF(BJ158=0,0,BR158/BJ158)</f>
        <v>#REF!</v>
      </c>
      <c r="BS112" s="15"/>
      <c r="BT112" s="15"/>
      <c r="BU112" s="111" t="e">
        <f>IF(BM158=0,0,BU158/BM158)</f>
        <v>#REF!</v>
      </c>
      <c r="BV112" s="15"/>
      <c r="BW112" s="15"/>
      <c r="BX112" s="97" t="e">
        <f t="shared" si="2"/>
        <v>#REF!</v>
      </c>
      <c r="BY112" s="314" t="e">
        <f t="shared" si="3"/>
        <v>#REF!</v>
      </c>
      <c r="BZ112" s="111" t="e">
        <f>IF(BR158=0,0,BZ158/BR158)</f>
        <v>#REF!</v>
      </c>
      <c r="CA112" s="15"/>
      <c r="CB112" s="15"/>
      <c r="CC112" s="111" t="e">
        <f>IF(BU158=0,0,CC158/BU158)</f>
        <v>#REF!</v>
      </c>
      <c r="CD112" s="15"/>
      <c r="CE112" s="15"/>
      <c r="CF112" s="97" t="e">
        <f t="shared" si="4"/>
        <v>#REF!</v>
      </c>
      <c r="CG112" s="97" t="e">
        <f t="shared" si="5"/>
        <v>#REF!</v>
      </c>
      <c r="CH112" s="111" t="e">
        <f>IF(BZ158=0,0,CH158/BZ158)</f>
        <v>#REF!</v>
      </c>
      <c r="CI112" s="15"/>
      <c r="CJ112" s="15"/>
      <c r="CK112" s="111" t="e">
        <f>IF(CC158=0,0,CK158/CC158)</f>
        <v>#REF!</v>
      </c>
      <c r="CL112" s="15"/>
      <c r="CM112" s="15"/>
      <c r="CN112" s="97" t="e">
        <f t="shared" si="6"/>
        <v>#REF!</v>
      </c>
      <c r="CO112" s="97" t="e">
        <f t="shared" si="7"/>
        <v>#REF!</v>
      </c>
      <c r="CP112" s="312"/>
      <c r="CQ112" s="85"/>
      <c r="CR112" s="85"/>
      <c r="CS112" s="85"/>
      <c r="CT112" s="99" t="e">
        <f t="shared" si="8"/>
        <v>#REF!</v>
      </c>
      <c r="CU112" s="99" t="e">
        <f t="array" ref="CU112">BD112</f>
        <v>#REF!</v>
      </c>
      <c r="CV112" s="101"/>
      <c r="CW112" s="101"/>
      <c r="CX112" s="101"/>
      <c r="CY112" s="101"/>
      <c r="CZ112" s="101"/>
      <c r="DA112" s="101"/>
      <c r="DB112" s="101"/>
    </row>
    <row r="113" spans="1:107" ht="14.25" customHeight="1" outlineLevel="2" x14ac:dyDescent="0.25">
      <c r="A113" s="2" t="b">
        <f t="array" ref="A113">A111</f>
        <v>1</v>
      </c>
      <c r="C113" s="2" t="s">
        <v>116</v>
      </c>
      <c r="D113" s="2" t="s">
        <v>117</v>
      </c>
      <c r="E113" s="2" t="s">
        <v>121</v>
      </c>
      <c r="F113" s="4" t="s">
        <v>75</v>
      </c>
      <c r="G113" s="2" t="s">
        <v>74</v>
      </c>
      <c r="H113" s="2" t="s">
        <v>74</v>
      </c>
      <c r="I113" s="2" t="s">
        <v>74</v>
      </c>
      <c r="K113" s="5" t="s">
        <v>74</v>
      </c>
      <c r="L113" s="2" t="s">
        <v>118</v>
      </c>
      <c r="M113" s="8" t="str">
        <f t="array" ref="M113">Y107</f>
        <v>1ВО::1.1</v>
      </c>
      <c r="AA113" s="107" t="str">
        <f>AA111&amp;".1"</f>
        <v>1.1.1</v>
      </c>
      <c r="AB113" s="117" t="s">
        <v>121</v>
      </c>
      <c r="AC113" s="109" t="s">
        <v>122</v>
      </c>
      <c r="AD113" s="118"/>
      <c r="AE113" s="119">
        <v>0.01</v>
      </c>
      <c r="AF113" s="120">
        <v>0.01</v>
      </c>
      <c r="AG113" s="15"/>
      <c r="AH113" s="15"/>
      <c r="AI113" s="119">
        <v>0.01</v>
      </c>
      <c r="AJ113" s="15"/>
      <c r="AK113" s="15"/>
      <c r="AL113" s="15"/>
      <c r="AM113" s="15"/>
      <c r="AN113" s="121">
        <f t="array" ref="AN113">AI113</f>
        <v>0.01</v>
      </c>
      <c r="AO113" s="122">
        <v>0.01</v>
      </c>
      <c r="AP113" s="15"/>
      <c r="AQ113" s="15"/>
      <c r="AR113" s="123">
        <v>0.01</v>
      </c>
      <c r="AS113" s="15"/>
      <c r="AT113" s="15"/>
      <c r="AU113" s="121">
        <f t="array" ref="AU113">AR113</f>
        <v>0.01</v>
      </c>
      <c r="AV113" s="122">
        <v>0.01</v>
      </c>
      <c r="AW113" s="15"/>
      <c r="AX113" s="15"/>
      <c r="AY113" s="123">
        <v>0.01</v>
      </c>
      <c r="AZ113" s="15"/>
      <c r="BA113" s="15"/>
      <c r="BB113" s="15"/>
      <c r="BC113" s="15"/>
      <c r="BD113" s="315">
        <f t="array" ref="BD113">'ВО-2021-2025'!AY113</f>
        <v>0.01</v>
      </c>
      <c r="BE113" s="15"/>
      <c r="BF113" s="15"/>
      <c r="BG113" s="267">
        <f>IF(AR113=0,0,BD113/AR113)*100</f>
        <v>100</v>
      </c>
      <c r="BH113" s="316" t="e">
        <f>BD113-#REF!</f>
        <v>#REF!</v>
      </c>
      <c r="BI113" s="267">
        <f>BD113-AY113</f>
        <v>0</v>
      </c>
      <c r="BJ113" s="123" t="e">
        <f t="array" ref="BJ113">#REF!</f>
        <v>#REF!</v>
      </c>
      <c r="BK113" s="15"/>
      <c r="BL113" s="15"/>
      <c r="BM113" s="119">
        <f t="array" ref="BM113">BD113</f>
        <v>0.01</v>
      </c>
      <c r="BN113" s="15"/>
      <c r="BO113" s="15"/>
      <c r="BP113" s="97">
        <f t="shared" si="0"/>
        <v>100</v>
      </c>
      <c r="BQ113" s="97" t="e">
        <f t="shared" si="1"/>
        <v>#REF!</v>
      </c>
      <c r="BR113" s="119" t="e">
        <f t="array" ref="BR113">BJ113</f>
        <v>#REF!</v>
      </c>
      <c r="BS113" s="15"/>
      <c r="BT113" s="15"/>
      <c r="BU113" s="119">
        <f t="array" ref="BU113">BM113</f>
        <v>0.01</v>
      </c>
      <c r="BV113" s="15"/>
      <c r="BW113" s="15"/>
      <c r="BX113" s="97">
        <f t="shared" si="2"/>
        <v>100</v>
      </c>
      <c r="BY113" s="314" t="e">
        <f t="shared" si="3"/>
        <v>#REF!</v>
      </c>
      <c r="BZ113" s="119" t="e">
        <f t="array" ref="BZ113">BR113</f>
        <v>#REF!</v>
      </c>
      <c r="CA113" s="15"/>
      <c r="CB113" s="15"/>
      <c r="CC113" s="119">
        <f t="array" ref="CC113">BU113</f>
        <v>0.01</v>
      </c>
      <c r="CD113" s="15"/>
      <c r="CE113" s="15"/>
      <c r="CF113" s="97">
        <f t="shared" si="4"/>
        <v>100</v>
      </c>
      <c r="CG113" s="97" t="e">
        <f t="shared" si="5"/>
        <v>#REF!</v>
      </c>
      <c r="CH113" s="119" t="e">
        <f t="array" ref="CH113">BZ113</f>
        <v>#REF!</v>
      </c>
      <c r="CI113" s="15"/>
      <c r="CJ113" s="15"/>
      <c r="CK113" s="119">
        <f t="array" ref="CK113">CC113</f>
        <v>0.01</v>
      </c>
      <c r="CL113" s="15"/>
      <c r="CM113" s="15"/>
      <c r="CN113" s="97">
        <f t="shared" si="6"/>
        <v>100</v>
      </c>
      <c r="CO113" s="97" t="e">
        <f t="shared" si="7"/>
        <v>#REF!</v>
      </c>
      <c r="CP113" s="312"/>
      <c r="CQ113" s="85"/>
      <c r="CR113" s="85"/>
      <c r="CS113" s="85"/>
      <c r="CT113" s="99" t="e">
        <f t="shared" si="8"/>
        <v>#REF!</v>
      </c>
      <c r="CU113" s="99">
        <f t="array" ref="CU113">BD113</f>
        <v>0.01</v>
      </c>
      <c r="CV113" s="101"/>
      <c r="CW113" s="101"/>
      <c r="CX113" s="101"/>
      <c r="CY113" s="101"/>
      <c r="CZ113" s="101"/>
      <c r="DA113" s="101"/>
      <c r="DB113" s="101"/>
    </row>
    <row r="114" spans="1:107" ht="14.25" customHeight="1" outlineLevel="2" x14ac:dyDescent="0.25">
      <c r="A114" s="2" t="b">
        <f t="array" ref="A114">A113</f>
        <v>1</v>
      </c>
      <c r="C114" s="2" t="s">
        <v>116</v>
      </c>
      <c r="D114" s="2" t="s">
        <v>117</v>
      </c>
      <c r="E114" s="2" t="s">
        <v>123</v>
      </c>
      <c r="F114" s="4" t="s">
        <v>75</v>
      </c>
      <c r="G114" s="2" t="s">
        <v>74</v>
      </c>
      <c r="H114" s="2" t="s">
        <v>74</v>
      </c>
      <c r="I114" s="2" t="s">
        <v>74</v>
      </c>
      <c r="K114" s="5" t="s">
        <v>74</v>
      </c>
      <c r="L114" s="2" t="s">
        <v>118</v>
      </c>
      <c r="M114" s="8" t="str">
        <f t="array" ref="M114">Y107</f>
        <v>1ВО::1.1</v>
      </c>
      <c r="AA114" s="107" t="str">
        <f>AA111&amp;".2"</f>
        <v>1.1.2</v>
      </c>
      <c r="AB114" s="117" t="s">
        <v>124</v>
      </c>
      <c r="AC114" s="109"/>
      <c r="AD114" s="12"/>
      <c r="AE114" s="124">
        <v>4.2999999999999927E-2</v>
      </c>
      <c r="AF114" s="124">
        <f>[1]Индексы!AG93-1</f>
        <v>6.0000000000000053E-2</v>
      </c>
      <c r="AG114" s="15"/>
      <c r="AH114" s="15"/>
      <c r="AI114" s="124">
        <f>[1]Индексы!AT93-1</f>
        <v>6.0000000000000053E-2</v>
      </c>
      <c r="AJ114" s="15"/>
      <c r="AK114" s="15"/>
      <c r="AL114" s="15"/>
      <c r="AM114" s="15"/>
      <c r="AN114" s="125">
        <f>[1]Индексы!AU93-1</f>
        <v>5.8000000000000052E-2</v>
      </c>
      <c r="AO114" s="125">
        <v>7.2000000000000064E-2</v>
      </c>
      <c r="AP114" s="15"/>
      <c r="AQ114" s="15"/>
      <c r="AR114" s="125">
        <f>[1]Индексы!AV93-1</f>
        <v>7.2000000000000064E-2</v>
      </c>
      <c r="AS114" s="15"/>
      <c r="AT114" s="15"/>
      <c r="AU114" s="125">
        <f>[1]Индексы!AW93-1</f>
        <v>7.2000000000000064E-2</v>
      </c>
      <c r="AV114" s="126">
        <v>4.2000000000000003E-2</v>
      </c>
      <c r="AW114" s="15"/>
      <c r="AX114" s="15"/>
      <c r="AY114" s="127">
        <v>4.2000000000000003E-2</v>
      </c>
      <c r="AZ114" s="15"/>
      <c r="BA114" s="15"/>
      <c r="BB114" s="15"/>
      <c r="BC114" s="15"/>
      <c r="BD114" s="125">
        <f>[1]Индексы!AX93-1</f>
        <v>4.2000000000000037E-2</v>
      </c>
      <c r="BE114" s="15"/>
      <c r="BF114" s="15"/>
      <c r="BG114" s="317">
        <f>IF(AR114=0,0,BD114/AR114)*100</f>
        <v>58.333333333333336</v>
      </c>
      <c r="BH114" s="97" t="e">
        <f>BD114-#REF!</f>
        <v>#REF!</v>
      </c>
      <c r="BI114" s="318">
        <f>BD114-AY114</f>
        <v>0</v>
      </c>
      <c r="BJ114" s="319">
        <f>[1]Индексы!AL93-1</f>
        <v>4.0000000000000036E-2</v>
      </c>
      <c r="BK114" s="15"/>
      <c r="BL114" s="15"/>
      <c r="BM114" s="124">
        <f>[1]Индексы!AY93-1</f>
        <v>4.0000000000000036E-2</v>
      </c>
      <c r="BN114" s="15"/>
      <c r="BO114" s="15"/>
      <c r="BP114" s="97">
        <f t="shared" si="0"/>
        <v>95.238095238095227</v>
      </c>
      <c r="BQ114" s="97">
        <f t="shared" si="1"/>
        <v>0</v>
      </c>
      <c r="BR114" s="124">
        <f>[1]Индексы!AM93-1</f>
        <v>4.0000000000000036E-2</v>
      </c>
      <c r="BS114" s="15"/>
      <c r="BT114" s="15"/>
      <c r="BU114" s="124">
        <f>[1]Индексы!AZ93-1</f>
        <v>4.0000000000000036E-2</v>
      </c>
      <c r="BV114" s="15"/>
      <c r="BW114" s="15"/>
      <c r="BX114" s="97">
        <f t="shared" si="2"/>
        <v>100</v>
      </c>
      <c r="BY114" s="314">
        <f t="shared" si="3"/>
        <v>0</v>
      </c>
      <c r="BZ114" s="124">
        <f>[1]Индексы!AN93-1</f>
        <v>4.0000000000000036E-2</v>
      </c>
      <c r="CA114" s="15"/>
      <c r="CB114" s="15"/>
      <c r="CC114" s="124">
        <f>[1]Индексы!BA93-1</f>
        <v>4.0000000000000036E-2</v>
      </c>
      <c r="CD114" s="15"/>
      <c r="CE114" s="15"/>
      <c r="CF114" s="97">
        <f t="shared" si="4"/>
        <v>100</v>
      </c>
      <c r="CG114" s="97">
        <f t="shared" si="5"/>
        <v>0</v>
      </c>
      <c r="CH114" s="124">
        <f>[1]Индексы!AO93-1</f>
        <v>4.0000000000000036E-2</v>
      </c>
      <c r="CI114" s="15"/>
      <c r="CJ114" s="15"/>
      <c r="CK114" s="124">
        <f>[1]Индексы!BB93-1</f>
        <v>4.0000000000000036E-2</v>
      </c>
      <c r="CL114" s="15"/>
      <c r="CM114" s="15"/>
      <c r="CN114" s="97">
        <f t="shared" si="6"/>
        <v>100</v>
      </c>
      <c r="CO114" s="97">
        <f t="shared" si="7"/>
        <v>0</v>
      </c>
      <c r="CP114" s="320"/>
      <c r="CQ114" s="85"/>
      <c r="CR114" s="85"/>
      <c r="CS114" s="85"/>
      <c r="CT114" s="99" t="e">
        <f t="shared" si="8"/>
        <v>#REF!</v>
      </c>
      <c r="CU114" s="99">
        <f t="array" ref="CU114">BD114</f>
        <v>4.2000000000000037E-2</v>
      </c>
      <c r="CV114" s="101"/>
      <c r="CW114" s="101"/>
      <c r="CX114" s="101"/>
      <c r="CY114" s="101"/>
      <c r="CZ114" s="101"/>
      <c r="DA114" s="101"/>
      <c r="DB114" s="101"/>
    </row>
    <row r="115" spans="1:107" ht="14.25" customHeight="1" outlineLevel="2" x14ac:dyDescent="0.25">
      <c r="A115" s="2" t="b">
        <f t="array" ref="A115">A114</f>
        <v>1</v>
      </c>
      <c r="C115" s="2" t="s">
        <v>116</v>
      </c>
      <c r="D115" s="2" t="s">
        <v>117</v>
      </c>
      <c r="E115" s="2" t="s">
        <v>125</v>
      </c>
      <c r="F115" s="4" t="s">
        <v>75</v>
      </c>
      <c r="G115" s="2" t="s">
        <v>74</v>
      </c>
      <c r="H115" s="2" t="s">
        <v>74</v>
      </c>
      <c r="I115" s="2" t="s">
        <v>74</v>
      </c>
      <c r="K115" s="5" t="s">
        <v>74</v>
      </c>
      <c r="L115" s="2" t="s">
        <v>118</v>
      </c>
      <c r="M115" s="8" t="str">
        <f t="array" ref="M115">Y107</f>
        <v>1ВО::1.1</v>
      </c>
      <c r="AA115" s="107" t="str">
        <f>AA111&amp;".3"</f>
        <v>1.1.3</v>
      </c>
      <c r="AB115" s="117" t="s">
        <v>126</v>
      </c>
      <c r="AC115" s="109"/>
      <c r="AD115" s="12"/>
      <c r="AE115" s="128"/>
      <c r="AF115" s="129"/>
      <c r="AG115" s="15"/>
      <c r="AH115" s="15"/>
      <c r="AI115" s="128">
        <f t="array" ref="AI115">AF115</f>
        <v>0</v>
      </c>
      <c r="AJ115" s="15"/>
      <c r="AK115" s="15"/>
      <c r="AL115" s="15"/>
      <c r="AM115" s="15"/>
      <c r="AN115" s="130" t="e">
        <f>IF((#REF!*(1-AN113)*(1+AN114))=0,0,0.75*$AN$118*AN116+(AN117/(#REF!*(1-AN113)*(1+AN114))))</f>
        <v>#REF!</v>
      </c>
      <c r="AO115" s="126"/>
      <c r="AP115" s="15"/>
      <c r="AQ115" s="15"/>
      <c r="AR115" s="127">
        <f t="array" ref="AR115">AO115</f>
        <v>0</v>
      </c>
      <c r="AS115" s="15"/>
      <c r="AT115" s="15"/>
      <c r="AU115" s="131" t="e">
        <f>IF((AI159*(1-AU113)*(1+AU114))=0,0,0.75*$AN$118*AU116+(AU117/(AI159*(1-AU113)*(1+AU114))))</f>
        <v>#REF!</v>
      </c>
      <c r="AV115" s="126"/>
      <c r="AW115" s="15"/>
      <c r="AX115" s="15"/>
      <c r="AY115" s="127">
        <f t="array" ref="AY115">AV115</f>
        <v>0</v>
      </c>
      <c r="AZ115" s="15"/>
      <c r="BA115" s="15"/>
      <c r="BB115" s="15"/>
      <c r="BC115" s="15"/>
      <c r="BD115" s="131" t="e">
        <f>IF((AR158*(1-BD113)*(1+BD114))=0,0,0.75*$AN$118*BD116+(BD117/(AR158*(1-BD113)*(1+BD114))))</f>
        <v>#REF!</v>
      </c>
      <c r="BE115" s="15"/>
      <c r="BF115" s="15"/>
      <c r="BG115" s="317">
        <f>IF(AR115=0,0,BD115/AR115)*100</f>
        <v>0</v>
      </c>
      <c r="BH115" s="97" t="e">
        <f>BD115-#REF!</f>
        <v>#REF!</v>
      </c>
      <c r="BI115" s="321" t="e">
        <f>BD115-AY115</f>
        <v>#REF!</v>
      </c>
      <c r="BJ115" s="138" t="e">
        <f>IF((#REF!*(1-BJ113)*(1+BJ114))=0,0,0.75*#REF!*BJ116+(BJ117/(#REF!*(1-BJ113)*(1+BJ114))))</f>
        <v>#REF!</v>
      </c>
      <c r="BK115" s="15"/>
      <c r="BL115" s="15"/>
      <c r="BM115" s="138" t="e">
        <f>IF((BD158*(1-BM113)*(1+BM114))=0,0,0.75*$AN$118*BM116+(BM117/(BD158*(1-BM113)*(1+BM114))))</f>
        <v>#REF!</v>
      </c>
      <c r="BN115" s="15"/>
      <c r="BO115" s="15"/>
      <c r="BP115" s="97" t="e">
        <f t="shared" si="0"/>
        <v>#REF!</v>
      </c>
      <c r="BQ115" s="97" t="e">
        <f t="shared" si="1"/>
        <v>#REF!</v>
      </c>
      <c r="BR115" s="138" t="e">
        <f>IF((BJ158*(1-BR113)*(1+BR114))=0,0,0.75*#REF!*BR116+(BR117/(BJ158*(1-BR113)*(1+BR114))))</f>
        <v>#REF!</v>
      </c>
      <c r="BS115" s="15"/>
      <c r="BT115" s="15"/>
      <c r="BU115" s="138" t="e">
        <f>IF((BM158*(1-BU113)*(1+BU114))=0,0,0.75*$AN$118*BU116+(BU117/(BM158*(1-BU113)*(1+BU114))))</f>
        <v>#REF!</v>
      </c>
      <c r="BV115" s="15"/>
      <c r="BW115" s="15"/>
      <c r="BX115" s="97" t="e">
        <f t="shared" si="2"/>
        <v>#REF!</v>
      </c>
      <c r="BY115" s="314" t="e">
        <f t="shared" si="3"/>
        <v>#REF!</v>
      </c>
      <c r="BZ115" s="138" t="e">
        <f>IF((BR158*(1-BZ113)*(1+BZ114))=0,0,0.75*#REF!*BZ116+(BZ117/(BR158*(1-BZ113)*(1+BZ114))))</f>
        <v>#REF!</v>
      </c>
      <c r="CA115" s="15"/>
      <c r="CB115" s="15"/>
      <c r="CC115" s="138" t="e">
        <f>IF((BU158*(1-CC113)*(1+CC114))=0,0,0.75*$AN$118*CC116+(CC117/(BU158*(1-CC113)*(1+CC114))))</f>
        <v>#REF!</v>
      </c>
      <c r="CD115" s="15"/>
      <c r="CE115" s="15"/>
      <c r="CF115" s="97" t="e">
        <f t="shared" si="4"/>
        <v>#REF!</v>
      </c>
      <c r="CG115" s="97" t="e">
        <f t="shared" si="5"/>
        <v>#REF!</v>
      </c>
      <c r="CH115" s="138" t="e">
        <f>IF((BZ158*(1-CH113)*(1+CH114))=0,0,0.75*#REF!*CH116+(CH117/(BZ158*(1-CH113)*(1+CH114))))</f>
        <v>#REF!</v>
      </c>
      <c r="CI115" s="15"/>
      <c r="CJ115" s="15"/>
      <c r="CK115" s="138" t="e">
        <f>IF((CC158*(1-CK113)*(1+CK114))=0,0,0.75*$AN$118*CK116+(CK117/(CC158*(1-CK113)*(1+CK114))))</f>
        <v>#REF!</v>
      </c>
      <c r="CL115" s="15"/>
      <c r="CM115" s="15"/>
      <c r="CN115" s="97" t="e">
        <f t="shared" si="6"/>
        <v>#REF!</v>
      </c>
      <c r="CO115" s="97" t="e">
        <f t="shared" si="7"/>
        <v>#REF!</v>
      </c>
      <c r="CP115" s="312"/>
      <c r="CQ115" s="85"/>
      <c r="CR115" s="85"/>
      <c r="CS115" s="85"/>
      <c r="CT115" s="99" t="e">
        <f t="shared" si="8"/>
        <v>#REF!</v>
      </c>
      <c r="CU115" s="99" t="e">
        <f t="array" ref="CU115">BD115</f>
        <v>#REF!</v>
      </c>
      <c r="CV115" s="101"/>
      <c r="CW115" s="101"/>
      <c r="CX115" s="101"/>
      <c r="CY115" s="101"/>
      <c r="CZ115" s="101"/>
      <c r="DA115" s="101"/>
      <c r="DB115" s="101"/>
    </row>
    <row r="116" spans="1:107" ht="14.25" customHeight="1" outlineLevel="3" x14ac:dyDescent="0.25">
      <c r="A116" s="2" t="b">
        <f t="array" ref="A116">A115</f>
        <v>1</v>
      </c>
      <c r="C116" s="2" t="s">
        <v>116</v>
      </c>
      <c r="D116" s="2" t="s">
        <v>117</v>
      </c>
      <c r="E116" s="2" t="s">
        <v>127</v>
      </c>
      <c r="F116" s="4" t="s">
        <v>75</v>
      </c>
      <c r="G116" s="2" t="s">
        <v>74</v>
      </c>
      <c r="H116" s="2" t="s">
        <v>74</v>
      </c>
      <c r="I116" s="2" t="s">
        <v>74</v>
      </c>
      <c r="K116" s="5" t="s">
        <v>74</v>
      </c>
      <c r="L116" s="2" t="s">
        <v>118</v>
      </c>
      <c r="M116" s="8" t="str">
        <f t="array" ref="M116">Y107</f>
        <v>1ВО::1.1</v>
      </c>
      <c r="AA116" s="107" t="str">
        <f>AA115&amp;".1"</f>
        <v>1.1.3.1</v>
      </c>
      <c r="AB116" s="132" t="s">
        <v>128</v>
      </c>
      <c r="AC116" s="109" t="s">
        <v>122</v>
      </c>
      <c r="AD116" s="12"/>
      <c r="AE116" s="12"/>
      <c r="AG116" s="15"/>
      <c r="AH116" s="15"/>
      <c r="AI116" s="12"/>
      <c r="AJ116" s="15"/>
      <c r="AK116" s="15"/>
      <c r="AL116" s="15"/>
      <c r="AM116" s="15"/>
      <c r="AN116" s="133">
        <f t="array" ref="AN116">'[1]Условные метры'!AW92</f>
        <v>0</v>
      </c>
      <c r="AP116" s="15"/>
      <c r="AQ116" s="15"/>
      <c r="AR116" s="12"/>
      <c r="AS116" s="15"/>
      <c r="AT116" s="15"/>
      <c r="AU116" s="121">
        <f>1*'[1]Условные метры'!BC92</f>
        <v>0</v>
      </c>
      <c r="AW116" s="15"/>
      <c r="AX116" s="15"/>
      <c r="AY116" s="12"/>
      <c r="AZ116" s="15"/>
      <c r="BA116" s="15"/>
      <c r="BB116" s="15"/>
      <c r="BC116" s="15"/>
      <c r="BD116" s="322">
        <f>1*'[1]Условные метры'!BG92</f>
        <v>0</v>
      </c>
      <c r="BE116" s="15"/>
      <c r="BF116" s="15"/>
      <c r="BG116" s="12"/>
      <c r="BH116" s="97" t="e">
        <f>BD116-#REF!</f>
        <v>#REF!</v>
      </c>
      <c r="BI116" s="12"/>
      <c r="BJ116" s="133">
        <f>1*'[1]Условные метры'!BI92</f>
        <v>0</v>
      </c>
      <c r="BK116" s="15"/>
      <c r="BL116" s="15"/>
      <c r="BM116" s="133">
        <f>1*'[1]Условные метры'!BK92</f>
        <v>0</v>
      </c>
      <c r="BN116" s="15"/>
      <c r="BO116" s="15"/>
      <c r="BP116" s="97">
        <f t="shared" si="0"/>
        <v>0</v>
      </c>
      <c r="BQ116" s="97">
        <f t="shared" si="1"/>
        <v>0</v>
      </c>
      <c r="BR116" s="133">
        <f>1*'[1]Условные метры'!BM92</f>
        <v>0</v>
      </c>
      <c r="BS116" s="15"/>
      <c r="BT116" s="15"/>
      <c r="BU116" s="133">
        <f>1*'[1]Условные метры'!BO92</f>
        <v>0</v>
      </c>
      <c r="BV116" s="15"/>
      <c r="BW116" s="15"/>
      <c r="BX116" s="97">
        <f t="shared" si="2"/>
        <v>0</v>
      </c>
      <c r="BY116" s="314">
        <f t="shared" si="3"/>
        <v>0</v>
      </c>
      <c r="BZ116" s="133">
        <f>1*'[1]Условные метры'!BQ92</f>
        <v>0</v>
      </c>
      <c r="CA116" s="15"/>
      <c r="CB116" s="15"/>
      <c r="CC116" s="133">
        <f>1*'[1]Условные метры'!BS92</f>
        <v>0</v>
      </c>
      <c r="CD116" s="15"/>
      <c r="CE116" s="15"/>
      <c r="CF116" s="97">
        <f t="shared" si="4"/>
        <v>0</v>
      </c>
      <c r="CG116" s="97">
        <f t="shared" si="5"/>
        <v>0</v>
      </c>
      <c r="CH116" s="133">
        <f>1*'[1]Условные метры'!BU92</f>
        <v>0</v>
      </c>
      <c r="CI116" s="15"/>
      <c r="CJ116" s="15"/>
      <c r="CK116" s="133">
        <f>1*'[1]Условные метры'!BW92</f>
        <v>0</v>
      </c>
      <c r="CL116" s="15"/>
      <c r="CM116" s="15"/>
      <c r="CN116" s="97">
        <f t="shared" si="6"/>
        <v>0</v>
      </c>
      <c r="CO116" s="314">
        <f t="shared" si="7"/>
        <v>0</v>
      </c>
      <c r="CP116" s="323"/>
      <c r="CQ116" s="134"/>
      <c r="CR116" s="134"/>
      <c r="CS116" s="134"/>
      <c r="CT116" s="99" t="e">
        <f t="shared" si="8"/>
        <v>#REF!</v>
      </c>
      <c r="CU116" s="99">
        <f t="array" ref="CU116">BD116</f>
        <v>0</v>
      </c>
      <c r="CV116" s="101"/>
      <c r="CW116" s="101"/>
      <c r="CX116" s="101"/>
      <c r="CY116" s="101"/>
      <c r="CZ116" s="101"/>
      <c r="DA116" s="101"/>
      <c r="DB116" s="101"/>
    </row>
    <row r="117" spans="1:107" ht="39" customHeight="1" outlineLevel="3" x14ac:dyDescent="0.25">
      <c r="A117" s="2" t="b">
        <f t="array" ref="A117">A116</f>
        <v>1</v>
      </c>
      <c r="C117" s="2" t="s">
        <v>129</v>
      </c>
      <c r="D117" s="2" t="s">
        <v>130</v>
      </c>
      <c r="E117" s="2" t="s">
        <v>74</v>
      </c>
      <c r="F117" s="4" t="s">
        <v>75</v>
      </c>
      <c r="G117" s="2" t="s">
        <v>74</v>
      </c>
      <c r="H117" s="2" t="s">
        <v>74</v>
      </c>
      <c r="I117" s="2" t="s">
        <v>74</v>
      </c>
      <c r="K117" s="5" t="s">
        <v>74</v>
      </c>
      <c r="L117" s="2" t="s">
        <v>118</v>
      </c>
      <c r="M117" s="8" t="str">
        <f t="array" ref="M117">Y107</f>
        <v>1ВО::1.1</v>
      </c>
      <c r="AA117" s="107" t="str">
        <f>AA115&amp;".2"</f>
        <v>1.1.3.2</v>
      </c>
      <c r="AB117" s="132" t="s">
        <v>131</v>
      </c>
      <c r="AC117" s="109" t="s">
        <v>114</v>
      </c>
      <c r="AD117" s="12"/>
      <c r="AE117" s="12"/>
      <c r="AG117" s="15"/>
      <c r="AH117" s="15"/>
      <c r="AI117" s="12"/>
      <c r="AJ117" s="15"/>
      <c r="AK117" s="15"/>
      <c r="AL117" s="15"/>
      <c r="AM117" s="15"/>
      <c r="AN117" s="135" t="e">
        <f t="array" ref="AN117">#REF!</f>
        <v>#REF!</v>
      </c>
      <c r="AP117" s="15"/>
      <c r="AQ117" s="15"/>
      <c r="AR117" s="12"/>
      <c r="AS117" s="15"/>
      <c r="AT117" s="15"/>
      <c r="AU117" s="136" t="e">
        <f t="array" ref="AU117">#REF!</f>
        <v>#REF!</v>
      </c>
      <c r="AW117" s="15"/>
      <c r="AX117" s="15"/>
      <c r="AY117" s="12"/>
      <c r="AZ117" s="15"/>
      <c r="BA117" s="15"/>
      <c r="BB117" s="15"/>
      <c r="BC117" s="15"/>
      <c r="BD117" s="135"/>
      <c r="BE117" s="15"/>
      <c r="BF117" s="15"/>
      <c r="BG117" s="12"/>
      <c r="BH117" s="97" t="e">
        <f>BD117-#REF!</f>
        <v>#REF!</v>
      </c>
      <c r="BI117" s="12"/>
      <c r="BJ117" s="135"/>
      <c r="BK117" s="15"/>
      <c r="BL117" s="15"/>
      <c r="BM117" s="135"/>
      <c r="BN117" s="15"/>
      <c r="BO117" s="15"/>
      <c r="BP117" s="97">
        <f t="shared" si="0"/>
        <v>0</v>
      </c>
      <c r="BQ117" s="97">
        <f t="shared" si="1"/>
        <v>0</v>
      </c>
      <c r="BR117" s="135"/>
      <c r="BS117" s="15"/>
      <c r="BT117" s="15"/>
      <c r="BU117" s="135"/>
      <c r="BV117" s="15"/>
      <c r="BW117" s="15"/>
      <c r="BX117" s="97">
        <f t="shared" si="2"/>
        <v>0</v>
      </c>
      <c r="BY117" s="314">
        <f t="shared" si="3"/>
        <v>0</v>
      </c>
      <c r="BZ117" s="135"/>
      <c r="CA117" s="15"/>
      <c r="CB117" s="15"/>
      <c r="CC117" s="135"/>
      <c r="CD117" s="15"/>
      <c r="CE117" s="15"/>
      <c r="CF117" s="97">
        <f t="shared" si="4"/>
        <v>0</v>
      </c>
      <c r="CG117" s="97">
        <f t="shared" si="5"/>
        <v>0</v>
      </c>
      <c r="CH117" s="135"/>
      <c r="CI117" s="15"/>
      <c r="CJ117" s="15"/>
      <c r="CK117" s="135"/>
      <c r="CL117" s="15"/>
      <c r="CM117" s="15"/>
      <c r="CN117" s="97">
        <f t="shared" si="6"/>
        <v>0</v>
      </c>
      <c r="CO117" s="314">
        <f t="shared" si="7"/>
        <v>0</v>
      </c>
      <c r="CP117" s="323"/>
      <c r="CQ117" s="134"/>
      <c r="CR117" s="134"/>
      <c r="CS117" s="134"/>
      <c r="CT117" s="99" t="e">
        <f t="shared" si="8"/>
        <v>#REF!</v>
      </c>
      <c r="CU117" s="99">
        <f t="array" ref="CU117">BD117</f>
        <v>0</v>
      </c>
      <c r="CV117" s="101"/>
      <c r="CW117" s="101"/>
      <c r="CX117" s="101"/>
      <c r="CY117" s="101"/>
      <c r="CZ117" s="101"/>
      <c r="DA117" s="101"/>
      <c r="DB117" s="101"/>
    </row>
    <row r="118" spans="1:107" ht="14.25" customHeight="1" outlineLevel="3" x14ac:dyDescent="0.25">
      <c r="A118" s="2" t="b">
        <f t="array" ref="A118">A117</f>
        <v>1</v>
      </c>
      <c r="C118" s="2" t="s">
        <v>132</v>
      </c>
      <c r="D118" s="2" t="s">
        <v>133</v>
      </c>
      <c r="E118" s="2" t="s">
        <v>74</v>
      </c>
      <c r="F118" s="4" t="s">
        <v>75</v>
      </c>
      <c r="G118" s="2" t="s">
        <v>74</v>
      </c>
      <c r="H118" s="2" t="s">
        <v>74</v>
      </c>
      <c r="I118" s="2" t="s">
        <v>74</v>
      </c>
      <c r="K118" s="5" t="s">
        <v>74</v>
      </c>
      <c r="L118" s="2" t="s">
        <v>118</v>
      </c>
      <c r="M118" s="8" t="str">
        <f t="array" ref="M118">Y107</f>
        <v>1ВО::1.1</v>
      </c>
      <c r="AA118" s="107" t="str">
        <f>AA115&amp;".3"</f>
        <v>1.1.3.3</v>
      </c>
      <c r="AB118" s="132" t="s">
        <v>134</v>
      </c>
      <c r="AC118" s="109"/>
      <c r="AD118" s="12"/>
      <c r="AE118" s="12"/>
      <c r="AG118" s="15"/>
      <c r="AH118" s="15"/>
      <c r="AI118" s="12"/>
      <c r="AJ118" s="15"/>
      <c r="AK118" s="15"/>
      <c r="AL118" s="15"/>
      <c r="AM118" s="15"/>
      <c r="AN118" s="137" t="e">
        <f t="array" ref="AN118">#REF!</f>
        <v>#REF!</v>
      </c>
      <c r="AP118" s="15"/>
      <c r="AQ118" s="15"/>
      <c r="AR118" s="12"/>
      <c r="AS118" s="15"/>
      <c r="AT118" s="15"/>
      <c r="AU118" s="12"/>
      <c r="AW118" s="15"/>
      <c r="AX118" s="15"/>
      <c r="AY118" s="12"/>
      <c r="AZ118" s="15"/>
      <c r="BA118" s="15"/>
      <c r="BB118" s="15"/>
      <c r="BC118" s="15"/>
      <c r="BD118" s="12"/>
      <c r="BE118" s="15"/>
      <c r="BF118" s="15"/>
      <c r="BG118" s="12"/>
      <c r="BH118" s="12"/>
      <c r="BI118" s="12"/>
      <c r="BJ118" s="12"/>
      <c r="BK118" s="15"/>
      <c r="BL118" s="15"/>
      <c r="BM118" s="12"/>
      <c r="BN118" s="15"/>
      <c r="BO118" s="15"/>
      <c r="BP118" s="12"/>
      <c r="BQ118" s="12"/>
      <c r="BR118" s="12"/>
      <c r="BS118" s="15"/>
      <c r="BT118" s="15"/>
      <c r="BU118" s="12"/>
      <c r="BV118" s="15"/>
      <c r="BW118" s="15"/>
      <c r="BX118" s="12"/>
      <c r="BY118" s="12"/>
      <c r="BZ118" s="12"/>
      <c r="CA118" s="15"/>
      <c r="CB118" s="15"/>
      <c r="CC118" s="12"/>
      <c r="CD118" s="15"/>
      <c r="CE118" s="15"/>
      <c r="CF118" s="12"/>
      <c r="CG118" s="12"/>
      <c r="CH118" s="12"/>
      <c r="CI118" s="15"/>
      <c r="CJ118" s="15"/>
      <c r="CK118" s="12"/>
      <c r="CL118" s="15"/>
      <c r="CM118" s="15"/>
      <c r="CN118" s="12"/>
      <c r="CO118" s="12"/>
      <c r="CP118" s="323"/>
      <c r="CQ118" s="134"/>
      <c r="CR118" s="134"/>
      <c r="CS118" s="134"/>
      <c r="CT118" s="99" t="e">
        <f t="shared" si="8"/>
        <v>#REF!</v>
      </c>
      <c r="CU118" s="99">
        <f t="array" ref="CU118">BD118</f>
        <v>0</v>
      </c>
      <c r="CV118" s="101"/>
      <c r="CW118" s="101"/>
      <c r="CX118" s="101"/>
      <c r="CY118" s="101"/>
      <c r="CZ118" s="101"/>
      <c r="DA118" s="101"/>
      <c r="DB118" s="101"/>
    </row>
    <row r="119" spans="1:107" ht="14.25" customHeight="1" outlineLevel="2" x14ac:dyDescent="0.25">
      <c r="A119" s="2" t="b">
        <f t="array" ref="A119">A118</f>
        <v>1</v>
      </c>
      <c r="C119" s="2" t="s">
        <v>116</v>
      </c>
      <c r="D119" s="2" t="s">
        <v>117</v>
      </c>
      <c r="E119" s="2" t="s">
        <v>135</v>
      </c>
      <c r="F119" s="4" t="s">
        <v>75</v>
      </c>
      <c r="G119" s="2" t="s">
        <v>74</v>
      </c>
      <c r="H119" s="2" t="s">
        <v>74</v>
      </c>
      <c r="I119" s="2" t="s">
        <v>74</v>
      </c>
      <c r="K119" s="5" t="s">
        <v>74</v>
      </c>
      <c r="L119" s="2" t="s">
        <v>136</v>
      </c>
      <c r="M119" s="8" t="str">
        <f t="array" ref="M119">Y107</f>
        <v>1ВО::1.1</v>
      </c>
      <c r="AA119" s="107" t="str">
        <f>AA111&amp;".4"</f>
        <v>1.1.4</v>
      </c>
      <c r="AB119" s="117" t="s">
        <v>135</v>
      </c>
      <c r="AC119" s="109"/>
      <c r="AD119" s="12"/>
      <c r="AE119" s="138">
        <v>1</v>
      </c>
      <c r="AF119" s="139">
        <f>IF(AE89=0,0,AF89/AE89)</f>
        <v>1</v>
      </c>
      <c r="AG119" s="15"/>
      <c r="AH119" s="15"/>
      <c r="AI119" s="138" t="e">
        <f>IF(#REF!=0,0,AI89/#REF!)</f>
        <v>#REF!</v>
      </c>
      <c r="AJ119" s="15"/>
      <c r="AK119" s="15"/>
      <c r="AL119" s="15"/>
      <c r="AM119" s="15"/>
      <c r="AN119" s="138" t="e">
        <f t="array" ref="AN119">AI119</f>
        <v>#REF!</v>
      </c>
      <c r="AO119" s="140">
        <v>1</v>
      </c>
      <c r="AP119" s="15"/>
      <c r="AQ119" s="15"/>
      <c r="AR119" s="131">
        <f>IF(AI89=0,0,AR89/AI89)</f>
        <v>1</v>
      </c>
      <c r="AS119" s="15"/>
      <c r="AT119" s="15"/>
      <c r="AU119" s="131">
        <f t="array" ref="AU119">AR119</f>
        <v>1</v>
      </c>
      <c r="AV119" s="131">
        <v>1</v>
      </c>
      <c r="AW119" s="15"/>
      <c r="AX119" s="15"/>
      <c r="AY119" s="131">
        <f>IF(AR89=0,0,AY89/AR89)</f>
        <v>1</v>
      </c>
      <c r="AZ119" s="15"/>
      <c r="BA119" s="15"/>
      <c r="BB119" s="15"/>
      <c r="BC119" s="15"/>
      <c r="BD119" s="138">
        <f>IF(AR89=0,0,BD89/AR89)</f>
        <v>1</v>
      </c>
      <c r="BE119" s="15"/>
      <c r="BF119" s="15"/>
      <c r="BG119" s="97">
        <f>IF(AR119=0,0,BD119/AR119)*100</f>
        <v>100</v>
      </c>
      <c r="BH119" s="97" t="e">
        <f>BD119-#REF!</f>
        <v>#REF!</v>
      </c>
      <c r="BI119" s="12"/>
      <c r="BJ119" s="138" t="e">
        <f>IF(#REF!=0,0,BJ89/#REF!)</f>
        <v>#REF!</v>
      </c>
      <c r="BK119" s="15"/>
      <c r="BL119" s="15"/>
      <c r="BM119" s="138">
        <f>IF(BD89=0,0,BM89/BD89)</f>
        <v>1</v>
      </c>
      <c r="BN119" s="15"/>
      <c r="BO119" s="15"/>
      <c r="BP119" s="97">
        <f>IF(BD119=0,0,BM119/BD119)*100</f>
        <v>100</v>
      </c>
      <c r="BQ119" s="97" t="e">
        <f>BM119-BJ119</f>
        <v>#REF!</v>
      </c>
      <c r="BR119" s="138">
        <f>IF(BJ89=0,0,BR89/BJ89)</f>
        <v>1</v>
      </c>
      <c r="BS119" s="15"/>
      <c r="BT119" s="15"/>
      <c r="BU119" s="138">
        <f>IF(BM89=0,0,BU89/BM89)</f>
        <v>1</v>
      </c>
      <c r="BV119" s="15"/>
      <c r="BW119" s="15"/>
      <c r="BX119" s="97">
        <f>IF(BM119=0,0,BU119/BM119)*100</f>
        <v>100</v>
      </c>
      <c r="BY119" s="97">
        <f>BU119-BR119</f>
        <v>0</v>
      </c>
      <c r="BZ119" s="138">
        <f>IF(BR89=0,0,BZ89/BR89)</f>
        <v>1</v>
      </c>
      <c r="CA119" s="15"/>
      <c r="CB119" s="15"/>
      <c r="CC119" s="138">
        <f>IF(BU89=0,0,CC89/BU89)</f>
        <v>1</v>
      </c>
      <c r="CD119" s="15"/>
      <c r="CE119" s="15"/>
      <c r="CF119" s="97">
        <f>IF(BU119=0,0,CC119/BU119)*100</f>
        <v>100</v>
      </c>
      <c r="CG119" s="97">
        <f>CC119-BZ119</f>
        <v>0</v>
      </c>
      <c r="CH119" s="138">
        <f>IF(BZ89=0,0,CH89/BZ89)</f>
        <v>1</v>
      </c>
      <c r="CI119" s="15"/>
      <c r="CJ119" s="15"/>
      <c r="CK119" s="138">
        <f>IF(CC89=0,0,CK89/CC89)</f>
        <v>1</v>
      </c>
      <c r="CL119" s="15"/>
      <c r="CM119" s="15"/>
      <c r="CN119" s="97">
        <f>IF(CC119=0,0,CK119/CC119)*100</f>
        <v>100</v>
      </c>
      <c r="CO119" s="314">
        <f>CK119-CH119</f>
        <v>0</v>
      </c>
      <c r="CP119" s="323"/>
      <c r="CQ119" s="134"/>
      <c r="CR119" s="134"/>
      <c r="CS119" s="134"/>
      <c r="CT119" s="99" t="e">
        <f t="shared" si="8"/>
        <v>#REF!</v>
      </c>
      <c r="CU119" s="99">
        <f t="array" ref="CU119">BD119</f>
        <v>1</v>
      </c>
      <c r="CV119" s="101"/>
      <c r="CW119" s="101"/>
      <c r="CX119" s="101"/>
      <c r="CY119" s="101"/>
      <c r="CZ119" s="101"/>
      <c r="DA119" s="101"/>
      <c r="DB119" s="101"/>
    </row>
    <row r="120" spans="1:107" ht="14.25" customHeight="1" outlineLevel="1" x14ac:dyDescent="0.25">
      <c r="A120" s="2" t="b">
        <f t="array" ref="A120">A119</f>
        <v>1</v>
      </c>
      <c r="C120" s="2" t="s">
        <v>116</v>
      </c>
      <c r="D120" s="2" t="s">
        <v>117</v>
      </c>
      <c r="E120" s="2" t="s">
        <v>137</v>
      </c>
      <c r="F120" s="4" t="s">
        <v>75</v>
      </c>
      <c r="G120" s="2" t="s">
        <v>74</v>
      </c>
      <c r="H120" s="2" t="s">
        <v>74</v>
      </c>
      <c r="I120" s="2" t="s">
        <v>74</v>
      </c>
      <c r="K120" s="5" t="s">
        <v>74</v>
      </c>
      <c r="L120" s="2" t="s">
        <v>138</v>
      </c>
      <c r="M120" s="8" t="str">
        <f t="array" ref="M120">Y107</f>
        <v>1ВО::1.1</v>
      </c>
      <c r="AA120" s="107" t="str">
        <f>AA110&amp;".2"</f>
        <v>1.2</v>
      </c>
      <c r="AB120" s="108" t="s">
        <v>137</v>
      </c>
      <c r="AC120" s="109"/>
      <c r="AD120" s="141"/>
      <c r="AE120" s="142">
        <v>3.8000000000000034E-2</v>
      </c>
      <c r="AF120" s="143">
        <f>[1]Индексы!AG95-1</f>
        <v>9.000000000000008E-2</v>
      </c>
      <c r="AG120" s="144"/>
      <c r="AH120" s="144"/>
      <c r="AI120" s="124">
        <f>[1]Индексы!AT95-1</f>
        <v>9.000000000000008E-2</v>
      </c>
      <c r="AJ120" s="144"/>
      <c r="AK120" s="144"/>
      <c r="AL120" s="144"/>
      <c r="AM120" s="144"/>
      <c r="AN120" s="124">
        <f>[1]Индексы!AU95-1</f>
        <v>9.000000000000008E-2</v>
      </c>
      <c r="AO120" s="145">
        <v>9.099999999999997E-2</v>
      </c>
      <c r="AP120" s="144"/>
      <c r="AQ120" s="144"/>
      <c r="AR120" s="125">
        <f>[1]Индексы!AV95-1</f>
        <v>9.099999999999997E-2</v>
      </c>
      <c r="AS120" s="144"/>
      <c r="AT120" s="144"/>
      <c r="AU120" s="125">
        <f>[1]Индексы!AW95-1</f>
        <v>9.099999999999997E-2</v>
      </c>
      <c r="AW120" s="144"/>
      <c r="AX120" s="144"/>
      <c r="AY120" s="12"/>
      <c r="AZ120" s="144"/>
      <c r="BA120" s="144"/>
      <c r="BB120" s="144"/>
      <c r="BC120" s="144"/>
      <c r="BD120" s="124">
        <f>[1]Индексы!AX95-1</f>
        <v>6.0000000000000053E-2</v>
      </c>
      <c r="BE120" s="144"/>
      <c r="BF120" s="144"/>
      <c r="BG120" s="97">
        <f>IF(AR120=0,0,BD120/AR120)*100</f>
        <v>65.934065934066012</v>
      </c>
      <c r="BH120" s="97" t="e">
        <f>BD120-#REF!</f>
        <v>#REF!</v>
      </c>
      <c r="BI120" s="12"/>
      <c r="BJ120" s="124">
        <f>[1]Индексы!AL95-1</f>
        <v>5.0000000000000044E-2</v>
      </c>
      <c r="BK120" s="144"/>
      <c r="BL120" s="144"/>
      <c r="BM120" s="124">
        <f>[1]Индексы!AY95-1</f>
        <v>5.0000000000000044E-2</v>
      </c>
      <c r="BN120" s="144"/>
      <c r="BO120" s="144"/>
      <c r="BP120" s="97">
        <f>IF(BD120=0,0,BM120/BD120)*100</f>
        <v>83.333333333333343</v>
      </c>
      <c r="BQ120" s="97">
        <f>BM120-BJ120</f>
        <v>0</v>
      </c>
      <c r="BR120" s="124">
        <f>[1]Индексы!AM95-1</f>
        <v>5.0000000000000044E-2</v>
      </c>
      <c r="BS120" s="144"/>
      <c r="BT120" s="144"/>
      <c r="BU120" s="124">
        <f>[1]Индексы!AZ95-1</f>
        <v>5.0000000000000044E-2</v>
      </c>
      <c r="BV120" s="144"/>
      <c r="BW120" s="144"/>
      <c r="BX120" s="97">
        <f>IF(BM120=0,0,BU120/BM120)*100</f>
        <v>100</v>
      </c>
      <c r="BY120" s="97">
        <f>BU120-BR120</f>
        <v>0</v>
      </c>
      <c r="BZ120" s="124">
        <f>[1]Индексы!AN95-1</f>
        <v>5.0000000000000044E-2</v>
      </c>
      <c r="CA120" s="144"/>
      <c r="CB120" s="144"/>
      <c r="CC120" s="124">
        <f>[1]Индексы!BA95-1</f>
        <v>5.0000000000000044E-2</v>
      </c>
      <c r="CD120" s="144"/>
      <c r="CE120" s="144"/>
      <c r="CF120" s="97">
        <f>IF(BU120=0,0,CC120/BU120)*100</f>
        <v>100</v>
      </c>
      <c r="CG120" s="97">
        <f>CC120-BZ120</f>
        <v>0</v>
      </c>
      <c r="CH120" s="124">
        <f>[1]Индексы!AO95-1</f>
        <v>5.0000000000000044E-2</v>
      </c>
      <c r="CI120" s="144"/>
      <c r="CJ120" s="144"/>
      <c r="CK120" s="124">
        <f>[1]Индексы!BB95-1</f>
        <v>5.0000000000000044E-2</v>
      </c>
      <c r="CL120" s="144"/>
      <c r="CM120" s="144"/>
      <c r="CN120" s="97">
        <f>IF(CC120=0,0,CK120/CC120)*100</f>
        <v>100</v>
      </c>
      <c r="CO120" s="314">
        <f>CK120-CH120</f>
        <v>0</v>
      </c>
      <c r="CP120" s="323"/>
      <c r="CQ120" s="134"/>
      <c r="CR120" s="134"/>
      <c r="CS120" s="134"/>
      <c r="CT120" s="99" t="e">
        <f t="shared" si="8"/>
        <v>#REF!</v>
      </c>
      <c r="CU120" s="99">
        <f t="array" ref="CU120">BD120</f>
        <v>6.0000000000000053E-2</v>
      </c>
      <c r="CV120" s="101"/>
      <c r="CW120" s="101"/>
      <c r="CX120" s="101"/>
      <c r="CY120" s="101"/>
      <c r="CZ120" s="101"/>
      <c r="DA120" s="101"/>
      <c r="DB120" s="101"/>
    </row>
    <row r="121" spans="1:107" ht="14.25" hidden="1" customHeight="1" x14ac:dyDescent="0.25">
      <c r="A121" s="2" t="b">
        <f>$U107="Водоснабжение"</f>
        <v>0</v>
      </c>
      <c r="B121" s="12"/>
      <c r="C121" s="8" t="s">
        <v>76</v>
      </c>
      <c r="D121" s="2" t="s">
        <v>77</v>
      </c>
      <c r="E121" s="12"/>
      <c r="F121" s="4" t="s">
        <v>75</v>
      </c>
      <c r="G121" s="2" t="s">
        <v>74</v>
      </c>
      <c r="H121" s="2" t="s">
        <v>74</v>
      </c>
      <c r="I121" s="2" t="s">
        <v>74</v>
      </c>
      <c r="J121" s="12"/>
      <c r="K121" s="5" t="s">
        <v>74</v>
      </c>
      <c r="L121" s="12"/>
      <c r="M121" s="8" t="str">
        <f t="array" ref="M121">Y107</f>
        <v>1ВО::1.1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5"/>
      <c r="AA121" s="63"/>
      <c r="AB121" s="64"/>
      <c r="AC121" s="325"/>
      <c r="AD121" s="151"/>
      <c r="AE121" s="326"/>
      <c r="AF121" s="327"/>
      <c r="AG121" s="151"/>
      <c r="AH121" s="151"/>
      <c r="AI121" s="327"/>
      <c r="AJ121" s="151"/>
      <c r="AK121" s="151"/>
      <c r="AL121" s="151"/>
      <c r="AM121" s="151"/>
      <c r="AN121" s="327"/>
      <c r="AO121" s="177"/>
      <c r="AP121" s="151"/>
      <c r="AQ121" s="151"/>
      <c r="AR121" s="177"/>
      <c r="AS121" s="151"/>
      <c r="AT121" s="151"/>
      <c r="AU121" s="177"/>
      <c r="AV121" s="177"/>
      <c r="AW121" s="151"/>
      <c r="AX121" s="151"/>
      <c r="AY121" s="328"/>
      <c r="AZ121" s="151"/>
      <c r="BA121" s="151"/>
      <c r="BB121" s="151"/>
      <c r="BC121" s="151"/>
      <c r="BD121" s="151"/>
      <c r="BE121" s="151"/>
      <c r="BF121" s="151"/>
      <c r="BG121" s="98"/>
      <c r="BH121" s="98"/>
      <c r="BI121" s="329"/>
      <c r="BJ121" s="151"/>
      <c r="BK121" s="151"/>
      <c r="BL121" s="151"/>
      <c r="BM121" s="151"/>
      <c r="BN121" s="151"/>
      <c r="BO121" s="151"/>
      <c r="BP121" s="98"/>
      <c r="BQ121" s="98"/>
      <c r="BR121" s="151"/>
      <c r="BS121" s="151"/>
      <c r="BT121" s="151"/>
      <c r="BU121" s="151"/>
      <c r="BV121" s="151"/>
      <c r="BW121" s="151"/>
      <c r="BX121" s="98"/>
      <c r="BY121" s="98"/>
      <c r="BZ121" s="151"/>
      <c r="CA121" s="151"/>
      <c r="CB121" s="151"/>
      <c r="CC121" s="151"/>
      <c r="CD121" s="151"/>
      <c r="CE121" s="151"/>
      <c r="CF121" s="98"/>
      <c r="CG121" s="98"/>
      <c r="CH121" s="151"/>
      <c r="CI121" s="151"/>
      <c r="CJ121" s="151"/>
      <c r="CK121" s="151"/>
      <c r="CL121" s="151"/>
      <c r="CM121" s="151"/>
      <c r="CN121" s="98"/>
      <c r="CO121" s="330"/>
      <c r="CP121" s="331"/>
      <c r="CQ121" s="332"/>
      <c r="CR121" s="332"/>
      <c r="CS121" s="332"/>
      <c r="CT121" s="170"/>
      <c r="CU121" s="178"/>
      <c r="CV121" s="68"/>
      <c r="CW121" s="68"/>
      <c r="CX121" s="68"/>
      <c r="CY121" s="68"/>
      <c r="CZ121" s="68"/>
      <c r="DA121" s="68"/>
      <c r="DB121" s="68"/>
      <c r="DC121" s="15"/>
    </row>
    <row r="122" spans="1:107" ht="14.25" hidden="1" customHeight="1" outlineLevel="2" x14ac:dyDescent="0.25">
      <c r="A122" s="2" t="b">
        <f>AND(A121)</f>
        <v>0</v>
      </c>
      <c r="B122" s="8" t="b">
        <f>AND(OR(isFIRST_PERIOD="да",$AC$56="нет"),A121)</f>
        <v>0</v>
      </c>
      <c r="C122" s="69" t="s">
        <v>79</v>
      </c>
      <c r="D122" s="70" t="s">
        <v>80</v>
      </c>
      <c r="E122" s="70" t="s">
        <v>74</v>
      </c>
      <c r="F122" s="154" t="s">
        <v>75</v>
      </c>
      <c r="G122" s="70" t="s">
        <v>74</v>
      </c>
      <c r="H122" s="70" t="s">
        <v>74</v>
      </c>
      <c r="I122" s="70" t="s">
        <v>74</v>
      </c>
      <c r="J122" s="70" t="s">
        <v>74</v>
      </c>
      <c r="K122" s="70" t="s">
        <v>74</v>
      </c>
      <c r="L122" s="70"/>
      <c r="M122" s="8" t="str">
        <f t="array" ref="M122">Y107</f>
        <v>1ВО::1.1</v>
      </c>
      <c r="N122" s="70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5"/>
      <c r="AA122" s="167"/>
      <c r="AB122" s="181"/>
      <c r="AC122" s="169"/>
      <c r="AD122" s="333"/>
      <c r="AE122" s="165"/>
      <c r="AF122" s="165"/>
      <c r="AG122" s="15"/>
      <c r="AH122" s="15"/>
      <c r="AI122" s="165"/>
      <c r="AJ122" s="15"/>
      <c r="AK122" s="15"/>
      <c r="AL122" s="15"/>
      <c r="AM122" s="15"/>
      <c r="AN122" s="165"/>
      <c r="AO122" s="165"/>
      <c r="AP122" s="15"/>
      <c r="AQ122" s="15"/>
      <c r="AR122" s="165"/>
      <c r="AS122" s="15"/>
      <c r="AT122" s="15"/>
      <c r="AU122" s="165"/>
      <c r="AV122" s="165"/>
      <c r="AW122" s="15"/>
      <c r="AX122" s="15"/>
      <c r="AY122" s="166"/>
      <c r="AZ122" s="15"/>
      <c r="BA122" s="15"/>
      <c r="BB122" s="15"/>
      <c r="BC122" s="15"/>
      <c r="BD122" s="334"/>
      <c r="BE122" s="15"/>
      <c r="BF122" s="15"/>
      <c r="BG122" s="98"/>
      <c r="BH122" s="98"/>
      <c r="BI122" s="329"/>
      <c r="BJ122" s="334"/>
      <c r="BK122" s="15"/>
      <c r="BL122" s="15"/>
      <c r="BM122" s="334"/>
      <c r="BN122" s="15"/>
      <c r="BO122" s="15"/>
      <c r="BP122" s="98"/>
      <c r="BQ122" s="98"/>
      <c r="BR122" s="334"/>
      <c r="BS122" s="15"/>
      <c r="BT122" s="15"/>
      <c r="BU122" s="334"/>
      <c r="BV122" s="15"/>
      <c r="BW122" s="15"/>
      <c r="BX122" s="98"/>
      <c r="BY122" s="98"/>
      <c r="BZ122" s="334"/>
      <c r="CA122" s="15"/>
      <c r="CB122" s="15"/>
      <c r="CC122" s="333"/>
      <c r="CD122" s="15"/>
      <c r="CE122" s="15"/>
      <c r="CF122" s="335"/>
      <c r="CG122" s="335"/>
      <c r="CH122" s="333"/>
      <c r="CI122" s="15"/>
      <c r="CJ122" s="15"/>
      <c r="CK122" s="333"/>
      <c r="CL122" s="15"/>
      <c r="CM122" s="15"/>
      <c r="CN122" s="335"/>
      <c r="CO122" s="336"/>
      <c r="CP122" s="331"/>
      <c r="CQ122" s="332"/>
      <c r="CR122" s="332"/>
      <c r="CS122" s="332"/>
      <c r="CT122" s="170"/>
      <c r="CU122" s="170"/>
      <c r="CV122" s="68"/>
      <c r="CW122" s="68"/>
      <c r="CX122" s="68"/>
      <c r="CY122" s="68"/>
      <c r="CZ122" s="68"/>
      <c r="DA122" s="68"/>
      <c r="DB122" s="68"/>
      <c r="DC122" s="15"/>
    </row>
    <row r="123" spans="1:107" ht="14.25" hidden="1" customHeight="1" outlineLevel="2" x14ac:dyDescent="0.25">
      <c r="A123" s="2" t="b">
        <f>AND(A121)</f>
        <v>0</v>
      </c>
      <c r="B123" s="8" t="b">
        <f>AND(OR(isFIRST_PERIOD="да",$AC$56="нет"),A121)</f>
        <v>0</v>
      </c>
      <c r="C123" s="69" t="s">
        <v>82</v>
      </c>
      <c r="D123" s="70" t="s">
        <v>83</v>
      </c>
      <c r="E123" s="70" t="s">
        <v>74</v>
      </c>
      <c r="F123" s="154" t="s">
        <v>75</v>
      </c>
      <c r="G123" s="70" t="s">
        <v>74</v>
      </c>
      <c r="H123" s="70" t="s">
        <v>74</v>
      </c>
      <c r="I123" s="70" t="s">
        <v>74</v>
      </c>
      <c r="J123" s="70" t="s">
        <v>74</v>
      </c>
      <c r="K123" s="70" t="s">
        <v>74</v>
      </c>
      <c r="L123" s="70"/>
      <c r="M123" s="8" t="str">
        <f t="array" ref="M123">Y107</f>
        <v>1ВО::1.1</v>
      </c>
      <c r="N123" s="70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5"/>
      <c r="AA123" s="167"/>
      <c r="AB123" s="181"/>
      <c r="AC123" s="169"/>
      <c r="AD123" s="165"/>
      <c r="AE123" s="165"/>
      <c r="AF123" s="165"/>
      <c r="AG123" s="144"/>
      <c r="AH123" s="144"/>
      <c r="AI123" s="165"/>
      <c r="AJ123" s="144"/>
      <c r="AK123" s="144"/>
      <c r="AL123" s="144"/>
      <c r="AM123" s="144"/>
      <c r="AN123" s="165"/>
      <c r="AO123" s="165"/>
      <c r="AP123" s="144"/>
      <c r="AQ123" s="144"/>
      <c r="AR123" s="165"/>
      <c r="AS123" s="144"/>
      <c r="AT123" s="144"/>
      <c r="AU123" s="165"/>
      <c r="AV123" s="165"/>
      <c r="AW123" s="144"/>
      <c r="AX123" s="144"/>
      <c r="AY123" s="166"/>
      <c r="AZ123" s="144"/>
      <c r="BA123" s="144"/>
      <c r="BB123" s="144"/>
      <c r="BC123" s="144"/>
      <c r="BD123" s="334"/>
      <c r="BE123" s="144"/>
      <c r="BF123" s="144"/>
      <c r="BG123" s="98"/>
      <c r="BH123" s="98"/>
      <c r="BI123" s="337"/>
      <c r="BJ123" s="333"/>
      <c r="BK123" s="144"/>
      <c r="BL123" s="144"/>
      <c r="BM123" s="333"/>
      <c r="BN123" s="144"/>
      <c r="BO123" s="144"/>
      <c r="BP123" s="335"/>
      <c r="BQ123" s="335"/>
      <c r="BR123" s="333"/>
      <c r="BS123" s="144"/>
      <c r="BT123" s="144"/>
      <c r="BU123" s="333"/>
      <c r="BV123" s="144"/>
      <c r="BW123" s="144"/>
      <c r="BX123" s="335"/>
      <c r="BY123" s="335"/>
      <c r="BZ123" s="333"/>
      <c r="CA123" s="144"/>
      <c r="CB123" s="144"/>
      <c r="CC123" s="165"/>
      <c r="CD123" s="144"/>
      <c r="CE123" s="144"/>
      <c r="CF123" s="275"/>
      <c r="CG123" s="275"/>
      <c r="CH123" s="165"/>
      <c r="CI123" s="144"/>
      <c r="CJ123" s="144"/>
      <c r="CK123" s="165"/>
      <c r="CL123" s="144"/>
      <c r="CM123" s="144"/>
      <c r="CN123" s="275"/>
      <c r="CO123" s="338"/>
      <c r="CP123" s="331"/>
      <c r="CQ123" s="332"/>
      <c r="CR123" s="332"/>
      <c r="CS123" s="332"/>
      <c r="CT123" s="170"/>
      <c r="CU123" s="170"/>
      <c r="CV123" s="68"/>
      <c r="CW123" s="68"/>
      <c r="CX123" s="68"/>
      <c r="CY123" s="68"/>
      <c r="CZ123" s="68"/>
      <c r="DA123" s="68"/>
      <c r="DB123" s="68"/>
      <c r="DC123" s="15"/>
    </row>
    <row r="124" spans="1:107" ht="14.25" hidden="1" customHeight="1" outlineLevel="3" x14ac:dyDescent="0.25">
      <c r="A124" s="2" t="b">
        <f>AND($U107="Водоснабжение",$T107&lt;&gt;"Тариф на транспортировку воды")</f>
        <v>0</v>
      </c>
      <c r="B124" s="12"/>
      <c r="C124" s="160" t="s">
        <v>143</v>
      </c>
      <c r="D124" s="160" t="s">
        <v>144</v>
      </c>
      <c r="E124" s="154" t="s">
        <v>145</v>
      </c>
      <c r="F124" s="154" t="s">
        <v>75</v>
      </c>
      <c r="G124" s="154" t="s">
        <v>74</v>
      </c>
      <c r="H124" s="154" t="s">
        <v>74</v>
      </c>
      <c r="I124" s="154" t="s">
        <v>74</v>
      </c>
      <c r="J124" s="154" t="s">
        <v>74</v>
      </c>
      <c r="K124" s="154" t="s">
        <v>74</v>
      </c>
      <c r="L124" s="154"/>
      <c r="M124" s="8" t="str">
        <f t="array" ref="M124">Y107</f>
        <v>1ВО::1.1</v>
      </c>
      <c r="N124" s="154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2">
        <v>1</v>
      </c>
      <c r="Z124" s="15"/>
      <c r="AA124" s="167"/>
      <c r="AB124" s="182"/>
      <c r="AC124" s="169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4"/>
      <c r="AZ124" s="164"/>
      <c r="BA124" s="164"/>
      <c r="BB124" s="339"/>
      <c r="BC124" s="339"/>
      <c r="BD124" s="339"/>
      <c r="BE124" s="339"/>
      <c r="BF124" s="339"/>
      <c r="BG124" s="98"/>
      <c r="BH124" s="98"/>
      <c r="BI124" s="337"/>
      <c r="BJ124" s="162"/>
      <c r="BK124" s="162"/>
      <c r="BL124" s="162"/>
      <c r="BM124" s="162"/>
      <c r="BN124" s="162"/>
      <c r="BO124" s="162"/>
      <c r="BP124" s="275"/>
      <c r="BQ124" s="275"/>
      <c r="BR124" s="162"/>
      <c r="BS124" s="162"/>
      <c r="BT124" s="162"/>
      <c r="BU124" s="162"/>
      <c r="BV124" s="162"/>
      <c r="BW124" s="162"/>
      <c r="BX124" s="275"/>
      <c r="BY124" s="275"/>
      <c r="BZ124" s="162"/>
      <c r="CA124" s="162"/>
      <c r="CB124" s="162"/>
      <c r="CC124" s="162"/>
      <c r="CD124" s="162"/>
      <c r="CE124" s="162"/>
      <c r="CF124" s="275"/>
      <c r="CG124" s="275"/>
      <c r="CH124" s="162"/>
      <c r="CI124" s="162"/>
      <c r="CJ124" s="162"/>
      <c r="CK124" s="162"/>
      <c r="CL124" s="162"/>
      <c r="CM124" s="162"/>
      <c r="CN124" s="275"/>
      <c r="CO124" s="275"/>
      <c r="CP124" s="340"/>
      <c r="CQ124" s="62"/>
      <c r="CR124" s="62"/>
      <c r="CS124" s="62"/>
      <c r="CT124" s="170"/>
      <c r="CU124" s="170"/>
      <c r="CV124" s="68"/>
      <c r="CW124" s="68"/>
      <c r="CX124" s="68"/>
      <c r="CY124" s="68"/>
      <c r="CZ124" s="68"/>
      <c r="DA124" s="68"/>
      <c r="DB124" s="68"/>
      <c r="DC124" s="15"/>
    </row>
    <row r="125" spans="1:107" ht="14.25" hidden="1" customHeight="1" outlineLevel="3" x14ac:dyDescent="0.25">
      <c r="A125" s="2" t="b">
        <f>AND($U107="Водоснабжение",$T107&lt;&gt;"Тариф на транспортировку воды",region_name&lt;&gt;"Белгородская область")</f>
        <v>0</v>
      </c>
      <c r="B125" s="12"/>
      <c r="C125" s="160" t="s">
        <v>143</v>
      </c>
      <c r="D125" s="160" t="s">
        <v>144</v>
      </c>
      <c r="E125" s="154" t="s">
        <v>147</v>
      </c>
      <c r="F125" s="154" t="s">
        <v>75</v>
      </c>
      <c r="G125" s="154" t="s">
        <v>74</v>
      </c>
      <c r="H125" s="154" t="s">
        <v>74</v>
      </c>
      <c r="I125" s="154" t="s">
        <v>74</v>
      </c>
      <c r="J125" s="154" t="s">
        <v>74</v>
      </c>
      <c r="K125" s="154" t="s">
        <v>74</v>
      </c>
      <c r="L125" s="154"/>
      <c r="M125" s="8" t="str">
        <f t="array" ref="M125">Y107</f>
        <v>1ВО::1.1</v>
      </c>
      <c r="N125" s="154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2">
        <f>COUNT($Y124:Y124)+1</f>
        <v>2</v>
      </c>
      <c r="Z125" s="15"/>
      <c r="AA125" s="167"/>
      <c r="AB125" s="182"/>
      <c r="AC125" s="169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6"/>
      <c r="AZ125" s="166"/>
      <c r="BA125" s="166"/>
      <c r="BB125" s="334"/>
      <c r="BC125" s="334"/>
      <c r="BD125" s="334"/>
      <c r="BE125" s="334"/>
      <c r="BF125" s="334"/>
      <c r="BG125" s="98"/>
      <c r="BH125" s="98"/>
      <c r="BI125" s="337"/>
      <c r="BJ125" s="165"/>
      <c r="BK125" s="165"/>
      <c r="BL125" s="165"/>
      <c r="BM125" s="165"/>
      <c r="BN125" s="165"/>
      <c r="BO125" s="165"/>
      <c r="BP125" s="275"/>
      <c r="BQ125" s="275"/>
      <c r="BR125" s="165"/>
      <c r="BS125" s="165"/>
      <c r="BT125" s="165"/>
      <c r="BU125" s="165"/>
      <c r="BV125" s="165"/>
      <c r="BW125" s="165"/>
      <c r="BX125" s="275"/>
      <c r="BY125" s="275"/>
      <c r="BZ125" s="165"/>
      <c r="CA125" s="165"/>
      <c r="CB125" s="165"/>
      <c r="CC125" s="165"/>
      <c r="CD125" s="165"/>
      <c r="CE125" s="165"/>
      <c r="CF125" s="275"/>
      <c r="CG125" s="275"/>
      <c r="CH125" s="165"/>
      <c r="CI125" s="165"/>
      <c r="CJ125" s="165"/>
      <c r="CK125" s="165"/>
      <c r="CL125" s="165"/>
      <c r="CM125" s="165"/>
      <c r="CN125" s="275"/>
      <c r="CO125" s="275"/>
      <c r="CP125" s="68"/>
      <c r="CQ125" s="62"/>
      <c r="CR125" s="62"/>
      <c r="CS125" s="62"/>
      <c r="CT125" s="170"/>
      <c r="CU125" s="170"/>
      <c r="CV125" s="68"/>
      <c r="CW125" s="68"/>
      <c r="CX125" s="68"/>
      <c r="CY125" s="68"/>
      <c r="CZ125" s="68"/>
      <c r="DA125" s="68"/>
      <c r="DB125" s="68"/>
      <c r="DC125" s="15"/>
    </row>
    <row r="126" spans="1:107" ht="14.25" hidden="1" customHeight="1" outlineLevel="3" x14ac:dyDescent="0.25">
      <c r="A126" s="2" t="b">
        <f>$U107="Водоснабжение"</f>
        <v>0</v>
      </c>
      <c r="B126" s="12"/>
      <c r="C126" s="160" t="s">
        <v>143</v>
      </c>
      <c r="D126" s="160" t="s">
        <v>144</v>
      </c>
      <c r="E126" s="154" t="s">
        <v>148</v>
      </c>
      <c r="F126" s="154" t="s">
        <v>75</v>
      </c>
      <c r="G126" s="154" t="s">
        <v>74</v>
      </c>
      <c r="H126" s="154" t="s">
        <v>74</v>
      </c>
      <c r="I126" s="154" t="s">
        <v>74</v>
      </c>
      <c r="J126" s="154" t="s">
        <v>74</v>
      </c>
      <c r="K126" s="154" t="s">
        <v>74</v>
      </c>
      <c r="L126" s="154"/>
      <c r="M126" s="8" t="str">
        <f t="array" ref="M126">Y107</f>
        <v>1ВО::1.1</v>
      </c>
      <c r="N126" s="154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2">
        <f>COUNT($Y124:Y125)+1</f>
        <v>3</v>
      </c>
      <c r="Z126" s="15"/>
      <c r="AA126" s="167"/>
      <c r="AB126" s="182"/>
      <c r="AC126" s="169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6"/>
      <c r="AZ126" s="166"/>
      <c r="BA126" s="166"/>
      <c r="BB126" s="334"/>
      <c r="BC126" s="334"/>
      <c r="BD126" s="334"/>
      <c r="BE126" s="334"/>
      <c r="BF126" s="334"/>
      <c r="BG126" s="98"/>
      <c r="BH126" s="98"/>
      <c r="BI126" s="337"/>
      <c r="BJ126" s="165"/>
      <c r="BK126" s="165"/>
      <c r="BL126" s="165"/>
      <c r="BM126" s="165"/>
      <c r="BN126" s="165"/>
      <c r="BO126" s="165"/>
      <c r="BP126" s="275"/>
      <c r="BQ126" s="275"/>
      <c r="BR126" s="165"/>
      <c r="BS126" s="165"/>
      <c r="BT126" s="165"/>
      <c r="BU126" s="165"/>
      <c r="BV126" s="165"/>
      <c r="BW126" s="165"/>
      <c r="BX126" s="275"/>
      <c r="BY126" s="275"/>
      <c r="BZ126" s="165"/>
      <c r="CA126" s="165"/>
      <c r="CB126" s="165"/>
      <c r="CC126" s="165"/>
      <c r="CD126" s="165"/>
      <c r="CE126" s="165"/>
      <c r="CF126" s="275"/>
      <c r="CG126" s="275"/>
      <c r="CH126" s="165"/>
      <c r="CI126" s="165"/>
      <c r="CJ126" s="165"/>
      <c r="CK126" s="165"/>
      <c r="CL126" s="165"/>
      <c r="CM126" s="165"/>
      <c r="CN126" s="275"/>
      <c r="CO126" s="275"/>
      <c r="CP126" s="68"/>
      <c r="CQ126" s="62"/>
      <c r="CR126" s="62"/>
      <c r="CS126" s="62"/>
      <c r="CT126" s="170"/>
      <c r="CU126" s="170"/>
      <c r="CV126" s="68"/>
      <c r="CW126" s="68"/>
      <c r="CX126" s="68"/>
      <c r="CY126" s="68"/>
      <c r="CZ126" s="68"/>
      <c r="DA126" s="68"/>
      <c r="DB126" s="68"/>
      <c r="DC126" s="15"/>
    </row>
    <row r="127" spans="1:107" ht="14.25" hidden="1" customHeight="1" outlineLevel="3" x14ac:dyDescent="0.25">
      <c r="A127" s="2" t="b">
        <f t="array" ref="A127">A126</f>
        <v>0</v>
      </c>
      <c r="B127" s="12"/>
      <c r="C127" s="160" t="s">
        <v>143</v>
      </c>
      <c r="D127" s="160" t="s">
        <v>144</v>
      </c>
      <c r="E127" s="154" t="s">
        <v>149</v>
      </c>
      <c r="F127" s="154" t="s">
        <v>75</v>
      </c>
      <c r="G127" s="154" t="s">
        <v>74</v>
      </c>
      <c r="H127" s="154" t="s">
        <v>74</v>
      </c>
      <c r="I127" s="154" t="s">
        <v>74</v>
      </c>
      <c r="J127" s="154" t="s">
        <v>74</v>
      </c>
      <c r="K127" s="154" t="s">
        <v>74</v>
      </c>
      <c r="L127" s="154"/>
      <c r="M127" s="8" t="str">
        <f t="array" ref="M127">Y107</f>
        <v>1ВО::1.1</v>
      </c>
      <c r="N127" s="154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2">
        <f>COUNT($Y124:Y126)+1</f>
        <v>4</v>
      </c>
      <c r="Z127" s="15"/>
      <c r="AA127" s="167"/>
      <c r="AB127" s="182"/>
      <c r="AC127" s="169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4"/>
      <c r="AZ127" s="164"/>
      <c r="BA127" s="164"/>
      <c r="BB127" s="339"/>
      <c r="BC127" s="339"/>
      <c r="BD127" s="339"/>
      <c r="BE127" s="339"/>
      <c r="BF127" s="339"/>
      <c r="BG127" s="98"/>
      <c r="BH127" s="98"/>
      <c r="BI127" s="337"/>
      <c r="BJ127" s="162"/>
      <c r="BK127" s="162"/>
      <c r="BL127" s="162"/>
      <c r="BM127" s="162"/>
      <c r="BN127" s="162"/>
      <c r="BO127" s="162"/>
      <c r="BP127" s="275"/>
      <c r="BQ127" s="275"/>
      <c r="BR127" s="162"/>
      <c r="BS127" s="162"/>
      <c r="BT127" s="162"/>
      <c r="BU127" s="162"/>
      <c r="BV127" s="162"/>
      <c r="BW127" s="162"/>
      <c r="BX127" s="275"/>
      <c r="BY127" s="275"/>
      <c r="BZ127" s="162"/>
      <c r="CA127" s="162"/>
      <c r="CB127" s="162"/>
      <c r="CC127" s="162"/>
      <c r="CD127" s="162"/>
      <c r="CE127" s="162"/>
      <c r="CF127" s="275"/>
      <c r="CG127" s="275"/>
      <c r="CH127" s="162"/>
      <c r="CI127" s="162"/>
      <c r="CJ127" s="162"/>
      <c r="CK127" s="162"/>
      <c r="CL127" s="162"/>
      <c r="CM127" s="162"/>
      <c r="CN127" s="275"/>
      <c r="CO127" s="275"/>
      <c r="CP127" s="68"/>
      <c r="CQ127" s="62"/>
      <c r="CR127" s="62"/>
      <c r="CS127" s="62"/>
      <c r="CT127" s="170"/>
      <c r="CU127" s="170"/>
      <c r="CV127" s="68"/>
      <c r="CW127" s="68"/>
      <c r="CX127" s="68"/>
      <c r="CY127" s="68"/>
      <c r="CZ127" s="68"/>
      <c r="DA127" s="68"/>
      <c r="DB127" s="68"/>
      <c r="DC127" s="15"/>
    </row>
    <row r="128" spans="1:107" ht="14.25" hidden="1" customHeight="1" outlineLevel="3" x14ac:dyDescent="0.25">
      <c r="A128" s="2" t="b">
        <f>AND($U107="Водоснабжение",$AC$51&lt;&gt;"ФАС")</f>
        <v>0</v>
      </c>
      <c r="B128" s="12"/>
      <c r="C128" s="160" t="s">
        <v>143</v>
      </c>
      <c r="D128" s="160" t="s">
        <v>144</v>
      </c>
      <c r="E128" s="154" t="s">
        <v>150</v>
      </c>
      <c r="F128" s="154" t="s">
        <v>75</v>
      </c>
      <c r="G128" s="154" t="s">
        <v>74</v>
      </c>
      <c r="H128" s="154" t="s">
        <v>74</v>
      </c>
      <c r="I128" s="154" t="s">
        <v>74</v>
      </c>
      <c r="J128" s="154" t="s">
        <v>74</v>
      </c>
      <c r="K128" s="154" t="s">
        <v>74</v>
      </c>
      <c r="L128" s="154"/>
      <c r="M128" s="8" t="str">
        <f t="array" ref="M128">Y107</f>
        <v>1ВО::1.1</v>
      </c>
      <c r="N128" s="154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5"/>
      <c r="AA128" s="167"/>
      <c r="AB128" s="168"/>
      <c r="AC128" s="169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333"/>
      <c r="BC128" s="333"/>
      <c r="BD128" s="333"/>
      <c r="BE128" s="333"/>
      <c r="BF128" s="333"/>
      <c r="BG128" s="335"/>
      <c r="BH128" s="335"/>
      <c r="BI128" s="275"/>
      <c r="BJ128" s="165"/>
      <c r="BK128" s="165"/>
      <c r="BL128" s="165"/>
      <c r="BM128" s="165"/>
      <c r="BN128" s="165"/>
      <c r="BO128" s="165"/>
      <c r="BP128" s="275"/>
      <c r="BQ128" s="275"/>
      <c r="BR128" s="165"/>
      <c r="BS128" s="165"/>
      <c r="BT128" s="165"/>
      <c r="BU128" s="165"/>
      <c r="BV128" s="165"/>
      <c r="BW128" s="165"/>
      <c r="BX128" s="275"/>
      <c r="BY128" s="275"/>
      <c r="BZ128" s="165"/>
      <c r="CA128" s="165"/>
      <c r="CB128" s="165"/>
      <c r="CC128" s="165"/>
      <c r="CD128" s="165"/>
      <c r="CE128" s="165"/>
      <c r="CF128" s="275"/>
      <c r="CG128" s="275"/>
      <c r="CH128" s="165"/>
      <c r="CI128" s="165"/>
      <c r="CJ128" s="165"/>
      <c r="CK128" s="165"/>
      <c r="CL128" s="165"/>
      <c r="CM128" s="165"/>
      <c r="CN128" s="275"/>
      <c r="CO128" s="275"/>
      <c r="CP128" s="68"/>
      <c r="CQ128" s="62"/>
      <c r="CR128" s="62"/>
      <c r="CS128" s="62"/>
      <c r="CT128" s="170"/>
      <c r="CU128" s="170"/>
      <c r="CV128" s="68"/>
      <c r="CW128" s="68"/>
      <c r="CX128" s="68"/>
      <c r="CY128" s="68"/>
      <c r="CZ128" s="68"/>
      <c r="DA128" s="68"/>
      <c r="DB128" s="68"/>
      <c r="DC128" s="15"/>
    </row>
    <row r="129" spans="1:107" ht="14.25" hidden="1" customHeight="1" outlineLevel="3" x14ac:dyDescent="0.25">
      <c r="A129" s="2" t="b">
        <f>$U107="Водоснабжение"</f>
        <v>0</v>
      </c>
      <c r="B129" s="12"/>
      <c r="C129" s="160" t="s">
        <v>143</v>
      </c>
      <c r="D129" s="160" t="s">
        <v>144</v>
      </c>
      <c r="E129" s="154" t="s">
        <v>151</v>
      </c>
      <c r="F129" s="154" t="s">
        <v>75</v>
      </c>
      <c r="G129" s="154" t="s">
        <v>74</v>
      </c>
      <c r="H129" s="154" t="s">
        <v>74</v>
      </c>
      <c r="I129" s="154" t="s">
        <v>74</v>
      </c>
      <c r="J129" s="154" t="s">
        <v>74</v>
      </c>
      <c r="K129" s="154" t="s">
        <v>74</v>
      </c>
      <c r="L129" s="154"/>
      <c r="M129" s="8" t="str">
        <f t="array" ref="M129">Y107</f>
        <v>1ВО::1.1</v>
      </c>
      <c r="N129" s="154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5"/>
      <c r="AA129" s="167"/>
      <c r="AB129" s="168"/>
      <c r="AC129" s="169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275"/>
      <c r="BH129" s="275"/>
      <c r="BI129" s="275"/>
      <c r="BJ129" s="165"/>
      <c r="BK129" s="165"/>
      <c r="BL129" s="165"/>
      <c r="BM129" s="165"/>
      <c r="BN129" s="165"/>
      <c r="BO129" s="165"/>
      <c r="BP129" s="275"/>
      <c r="BQ129" s="275"/>
      <c r="BR129" s="165"/>
      <c r="BS129" s="165"/>
      <c r="BT129" s="165"/>
      <c r="BU129" s="165"/>
      <c r="BV129" s="165"/>
      <c r="BW129" s="165"/>
      <c r="BX129" s="275"/>
      <c r="BY129" s="275"/>
      <c r="BZ129" s="165"/>
      <c r="CA129" s="165"/>
      <c r="CB129" s="165"/>
      <c r="CC129" s="165"/>
      <c r="CD129" s="165"/>
      <c r="CE129" s="165"/>
      <c r="CF129" s="275"/>
      <c r="CG129" s="275"/>
      <c r="CH129" s="165"/>
      <c r="CI129" s="165"/>
      <c r="CJ129" s="165"/>
      <c r="CK129" s="165"/>
      <c r="CL129" s="165"/>
      <c r="CM129" s="165"/>
      <c r="CN129" s="275"/>
      <c r="CO129" s="275"/>
      <c r="CP129" s="68"/>
      <c r="CQ129" s="62"/>
      <c r="CR129" s="62"/>
      <c r="CS129" s="62"/>
      <c r="CT129" s="170"/>
      <c r="CU129" s="170"/>
      <c r="CV129" s="68"/>
      <c r="CW129" s="68"/>
      <c r="CX129" s="68"/>
      <c r="CY129" s="68"/>
      <c r="CZ129" s="68"/>
      <c r="DA129" s="68"/>
      <c r="DB129" s="68"/>
      <c r="DC129" s="15"/>
    </row>
    <row r="130" spans="1:107" ht="14.25" hidden="1" customHeight="1" outlineLevel="3" x14ac:dyDescent="0.25">
      <c r="A130" s="2" t="b">
        <f t="array" ref="A130">A129</f>
        <v>0</v>
      </c>
      <c r="B130" s="12"/>
      <c r="C130" s="160" t="s">
        <v>152</v>
      </c>
      <c r="D130" s="160" t="s">
        <v>153</v>
      </c>
      <c r="E130" s="154" t="s">
        <v>74</v>
      </c>
      <c r="F130" s="154" t="s">
        <v>75</v>
      </c>
      <c r="G130" s="154" t="s">
        <v>74</v>
      </c>
      <c r="H130" s="154" t="s">
        <v>74</v>
      </c>
      <c r="I130" s="154" t="s">
        <v>74</v>
      </c>
      <c r="J130" s="154" t="s">
        <v>74</v>
      </c>
      <c r="K130" s="154" t="s">
        <v>74</v>
      </c>
      <c r="L130" s="154"/>
      <c r="M130" s="8" t="str">
        <f t="array" ref="M130">Y107</f>
        <v>1ВО::1.1</v>
      </c>
      <c r="N130" s="154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5"/>
      <c r="AA130" s="167"/>
      <c r="AB130" s="341"/>
      <c r="AC130" s="169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275"/>
      <c r="BH130" s="275"/>
      <c r="BI130" s="275"/>
      <c r="BJ130" s="174"/>
      <c r="BK130" s="174"/>
      <c r="BL130" s="174"/>
      <c r="BM130" s="174"/>
      <c r="BN130" s="174"/>
      <c r="BO130" s="174"/>
      <c r="BP130" s="275"/>
      <c r="BQ130" s="275"/>
      <c r="BR130" s="174"/>
      <c r="BS130" s="174"/>
      <c r="BT130" s="174"/>
      <c r="BU130" s="174"/>
      <c r="BV130" s="174"/>
      <c r="BW130" s="174"/>
      <c r="BX130" s="275"/>
      <c r="BY130" s="275"/>
      <c r="BZ130" s="174"/>
      <c r="CA130" s="174"/>
      <c r="CB130" s="174"/>
      <c r="CC130" s="174"/>
      <c r="CD130" s="174"/>
      <c r="CE130" s="174"/>
      <c r="CF130" s="275"/>
      <c r="CG130" s="275"/>
      <c r="CH130" s="174"/>
      <c r="CI130" s="174"/>
      <c r="CJ130" s="174"/>
      <c r="CK130" s="174"/>
      <c r="CL130" s="174"/>
      <c r="CM130" s="174"/>
      <c r="CN130" s="275"/>
      <c r="CO130" s="275"/>
      <c r="CP130" s="68"/>
      <c r="CQ130" s="62"/>
      <c r="CR130" s="62"/>
      <c r="CS130" s="62"/>
      <c r="CT130" s="170"/>
      <c r="CU130" s="170"/>
      <c r="CV130" s="68"/>
      <c r="CW130" s="68"/>
      <c r="CX130" s="68"/>
      <c r="CY130" s="68"/>
      <c r="CZ130" s="68"/>
      <c r="DA130" s="68"/>
      <c r="DB130" s="68"/>
      <c r="DC130" s="15"/>
    </row>
    <row r="131" spans="1:107" ht="14.25" hidden="1" customHeight="1" outlineLevel="3" x14ac:dyDescent="0.25">
      <c r="A131" s="2" t="b">
        <f t="array" ref="A131">A130</f>
        <v>0</v>
      </c>
      <c r="B131" s="12"/>
      <c r="C131" s="160" t="s">
        <v>143</v>
      </c>
      <c r="D131" s="160" t="s">
        <v>144</v>
      </c>
      <c r="E131" s="154" t="s">
        <v>155</v>
      </c>
      <c r="F131" s="154" t="s">
        <v>75</v>
      </c>
      <c r="G131" s="154" t="s">
        <v>74</v>
      </c>
      <c r="H131" s="154" t="s">
        <v>74</v>
      </c>
      <c r="I131" s="154" t="s">
        <v>74</v>
      </c>
      <c r="J131" s="154" t="s">
        <v>74</v>
      </c>
      <c r="K131" s="154" t="s">
        <v>74</v>
      </c>
      <c r="L131" s="154"/>
      <c r="M131" s="8" t="str">
        <f t="array" ref="M131">Y107</f>
        <v>1ВО::1.1</v>
      </c>
      <c r="N131" s="154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2">
        <f>COUNT($Y124:Y130)+1</f>
        <v>5</v>
      </c>
      <c r="Z131" s="15"/>
      <c r="AA131" s="167"/>
      <c r="AB131" s="182"/>
      <c r="AC131" s="169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275"/>
      <c r="BH131" s="275"/>
      <c r="BI131" s="275"/>
      <c r="BJ131" s="162"/>
      <c r="BK131" s="162"/>
      <c r="BL131" s="162"/>
      <c r="BM131" s="162"/>
      <c r="BN131" s="162"/>
      <c r="BO131" s="162"/>
      <c r="BP131" s="275"/>
      <c r="BQ131" s="275"/>
      <c r="BR131" s="162"/>
      <c r="BS131" s="162"/>
      <c r="BT131" s="162"/>
      <c r="BU131" s="162"/>
      <c r="BV131" s="162"/>
      <c r="BW131" s="162"/>
      <c r="BX131" s="275"/>
      <c r="BY131" s="275"/>
      <c r="BZ131" s="162"/>
      <c r="CA131" s="162"/>
      <c r="CB131" s="162"/>
      <c r="CC131" s="162"/>
      <c r="CD131" s="162"/>
      <c r="CE131" s="162"/>
      <c r="CF131" s="275"/>
      <c r="CG131" s="275"/>
      <c r="CH131" s="162"/>
      <c r="CI131" s="162"/>
      <c r="CJ131" s="162"/>
      <c r="CK131" s="162"/>
      <c r="CL131" s="162"/>
      <c r="CM131" s="162"/>
      <c r="CN131" s="275"/>
      <c r="CO131" s="275"/>
      <c r="CP131" s="68"/>
      <c r="CQ131" s="62"/>
      <c r="CR131" s="62"/>
      <c r="CS131" s="62"/>
      <c r="CT131" s="170"/>
      <c r="CU131" s="170"/>
      <c r="CV131" s="68"/>
      <c r="CW131" s="68"/>
      <c r="CX131" s="68"/>
      <c r="CY131" s="68"/>
      <c r="CZ131" s="68"/>
      <c r="DA131" s="68"/>
      <c r="DB131" s="68"/>
      <c r="DC131" s="15"/>
    </row>
    <row r="132" spans="1:107" ht="14.25" hidden="1" customHeight="1" outlineLevel="3" x14ac:dyDescent="0.25">
      <c r="A132" s="2" t="b">
        <f t="array" ref="A132">A131</f>
        <v>0</v>
      </c>
      <c r="B132" s="12"/>
      <c r="C132" s="160" t="s">
        <v>143</v>
      </c>
      <c r="D132" s="160" t="s">
        <v>144</v>
      </c>
      <c r="E132" s="154" t="s">
        <v>157</v>
      </c>
      <c r="F132" s="154" t="s">
        <v>75</v>
      </c>
      <c r="G132" s="154" t="s">
        <v>74</v>
      </c>
      <c r="H132" s="154" t="s">
        <v>74</v>
      </c>
      <c r="I132" s="154" t="s">
        <v>74</v>
      </c>
      <c r="J132" s="154" t="s">
        <v>74</v>
      </c>
      <c r="K132" s="154" t="s">
        <v>74</v>
      </c>
      <c r="L132" s="154"/>
      <c r="M132" s="8" t="str">
        <f t="array" ref="M132">Y107</f>
        <v>1ВО::1.1</v>
      </c>
      <c r="N132" s="154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5"/>
      <c r="AA132" s="167"/>
      <c r="AB132" s="168"/>
      <c r="AC132" s="169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275"/>
      <c r="BH132" s="275"/>
      <c r="BI132" s="275"/>
      <c r="BJ132" s="165"/>
      <c r="BK132" s="165"/>
      <c r="BL132" s="165"/>
      <c r="BM132" s="165"/>
      <c r="BN132" s="165"/>
      <c r="BO132" s="165"/>
      <c r="BP132" s="275"/>
      <c r="BQ132" s="275"/>
      <c r="BR132" s="165"/>
      <c r="BS132" s="165"/>
      <c r="BT132" s="165"/>
      <c r="BU132" s="165"/>
      <c r="BV132" s="165"/>
      <c r="BW132" s="165"/>
      <c r="BX132" s="275"/>
      <c r="BY132" s="275"/>
      <c r="BZ132" s="165"/>
      <c r="CA132" s="165"/>
      <c r="CB132" s="165"/>
      <c r="CC132" s="165"/>
      <c r="CD132" s="165"/>
      <c r="CE132" s="165"/>
      <c r="CF132" s="275"/>
      <c r="CG132" s="275"/>
      <c r="CH132" s="165"/>
      <c r="CI132" s="165"/>
      <c r="CJ132" s="165"/>
      <c r="CK132" s="165"/>
      <c r="CL132" s="165"/>
      <c r="CM132" s="165"/>
      <c r="CN132" s="275"/>
      <c r="CO132" s="275"/>
      <c r="CP132" s="68"/>
      <c r="CQ132" s="62"/>
      <c r="CR132" s="62"/>
      <c r="CS132" s="62"/>
      <c r="CT132" s="170"/>
      <c r="CU132" s="170"/>
      <c r="CV132" s="68"/>
      <c r="CW132" s="68"/>
      <c r="CX132" s="68"/>
      <c r="CY132" s="68"/>
      <c r="CZ132" s="68"/>
      <c r="DA132" s="68"/>
      <c r="DB132" s="68"/>
      <c r="DC132" s="15"/>
    </row>
    <row r="133" spans="1:107" ht="14.25" hidden="1" customHeight="1" outlineLevel="3" x14ac:dyDescent="0.25">
      <c r="A133" s="2" t="b">
        <f t="array" ref="A133">A132</f>
        <v>0</v>
      </c>
      <c r="B133" s="12"/>
      <c r="C133" s="160" t="s">
        <v>143</v>
      </c>
      <c r="D133" s="160" t="s">
        <v>144</v>
      </c>
      <c r="E133" s="154" t="s">
        <v>159</v>
      </c>
      <c r="F133" s="154" t="s">
        <v>75</v>
      </c>
      <c r="G133" s="154" t="s">
        <v>74</v>
      </c>
      <c r="H133" s="154" t="s">
        <v>74</v>
      </c>
      <c r="I133" s="154" t="s">
        <v>74</v>
      </c>
      <c r="J133" s="154" t="s">
        <v>74</v>
      </c>
      <c r="K133" s="154" t="s">
        <v>74</v>
      </c>
      <c r="L133" s="154"/>
      <c r="M133" s="8" t="str">
        <f t="array" ref="M133">Y107</f>
        <v>1ВО::1.1</v>
      </c>
      <c r="N133" s="154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5"/>
      <c r="AA133" s="167"/>
      <c r="AB133" s="168"/>
      <c r="AC133" s="169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275"/>
      <c r="BH133" s="275"/>
      <c r="BI133" s="275"/>
      <c r="BJ133" s="162"/>
      <c r="BK133" s="162"/>
      <c r="BL133" s="162"/>
      <c r="BM133" s="162"/>
      <c r="BN133" s="162"/>
      <c r="BO133" s="162"/>
      <c r="BP133" s="275"/>
      <c r="BQ133" s="275"/>
      <c r="BR133" s="162"/>
      <c r="BS133" s="162"/>
      <c r="BT133" s="162"/>
      <c r="BU133" s="162"/>
      <c r="BV133" s="162"/>
      <c r="BW133" s="162"/>
      <c r="BX133" s="275"/>
      <c r="BY133" s="275"/>
      <c r="BZ133" s="162"/>
      <c r="CA133" s="162"/>
      <c r="CB133" s="162"/>
      <c r="CC133" s="162"/>
      <c r="CD133" s="162"/>
      <c r="CE133" s="162"/>
      <c r="CF133" s="275"/>
      <c r="CG133" s="275"/>
      <c r="CH133" s="162"/>
      <c r="CI133" s="162"/>
      <c r="CJ133" s="162"/>
      <c r="CK133" s="162"/>
      <c r="CL133" s="162"/>
      <c r="CM133" s="162"/>
      <c r="CN133" s="275"/>
      <c r="CO133" s="275"/>
      <c r="CP133" s="68"/>
      <c r="CQ133" s="62"/>
      <c r="CR133" s="62"/>
      <c r="CS133" s="62"/>
      <c r="CT133" s="170"/>
      <c r="CU133" s="170"/>
      <c r="CV133" s="68"/>
      <c r="CW133" s="68"/>
      <c r="CX133" s="68"/>
      <c r="CY133" s="68"/>
      <c r="CZ133" s="68"/>
      <c r="DA133" s="68"/>
      <c r="DB133" s="68"/>
      <c r="DC133" s="15"/>
    </row>
    <row r="134" spans="1:107" ht="14.25" hidden="1" customHeight="1" outlineLevel="3" x14ac:dyDescent="0.25">
      <c r="A134" s="2" t="b">
        <f t="array" ref="A134">A133</f>
        <v>0</v>
      </c>
      <c r="B134" s="12"/>
      <c r="C134" s="160" t="s">
        <v>143</v>
      </c>
      <c r="D134" s="160" t="s">
        <v>144</v>
      </c>
      <c r="E134" s="154" t="s">
        <v>161</v>
      </c>
      <c r="F134" s="154" t="s">
        <v>75</v>
      </c>
      <c r="G134" s="154" t="s">
        <v>74</v>
      </c>
      <c r="H134" s="154" t="s">
        <v>74</v>
      </c>
      <c r="I134" s="154" t="s">
        <v>74</v>
      </c>
      <c r="J134" s="154" t="s">
        <v>74</v>
      </c>
      <c r="K134" s="154" t="s">
        <v>74</v>
      </c>
      <c r="L134" s="154"/>
      <c r="M134" s="8" t="str">
        <f t="array" ref="M134">Y107</f>
        <v>1ВО::1.1</v>
      </c>
      <c r="N134" s="154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5"/>
      <c r="AA134" s="167"/>
      <c r="AB134" s="183"/>
      <c r="AC134" s="169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275"/>
      <c r="BH134" s="275"/>
      <c r="BI134" s="275"/>
      <c r="BJ134" s="165"/>
      <c r="BK134" s="165"/>
      <c r="BL134" s="165"/>
      <c r="BM134" s="165"/>
      <c r="BN134" s="165"/>
      <c r="BO134" s="165"/>
      <c r="BP134" s="275"/>
      <c r="BQ134" s="275"/>
      <c r="BR134" s="165"/>
      <c r="BS134" s="165"/>
      <c r="BT134" s="165"/>
      <c r="BU134" s="165"/>
      <c r="BV134" s="165"/>
      <c r="BW134" s="165"/>
      <c r="BX134" s="275"/>
      <c r="BY134" s="275"/>
      <c r="BZ134" s="165"/>
      <c r="CA134" s="165"/>
      <c r="CB134" s="165"/>
      <c r="CC134" s="165"/>
      <c r="CD134" s="165"/>
      <c r="CE134" s="165"/>
      <c r="CF134" s="275"/>
      <c r="CG134" s="275"/>
      <c r="CH134" s="165"/>
      <c r="CI134" s="165"/>
      <c r="CJ134" s="165"/>
      <c r="CK134" s="165"/>
      <c r="CL134" s="165"/>
      <c r="CM134" s="165"/>
      <c r="CN134" s="275"/>
      <c r="CO134" s="275"/>
      <c r="CP134" s="68"/>
      <c r="CQ134" s="62"/>
      <c r="CR134" s="62"/>
      <c r="CS134" s="62"/>
      <c r="CT134" s="170"/>
      <c r="CU134" s="170"/>
      <c r="CV134" s="68"/>
      <c r="CW134" s="68"/>
      <c r="CX134" s="68"/>
      <c r="CY134" s="68"/>
      <c r="CZ134" s="68"/>
      <c r="DA134" s="68"/>
      <c r="DB134" s="68"/>
      <c r="DC134" s="15"/>
    </row>
    <row r="135" spans="1:107" ht="14.25" hidden="1" customHeight="1" outlineLevel="3" x14ac:dyDescent="0.25">
      <c r="A135" s="2" t="b">
        <f t="array" ref="A135">A134</f>
        <v>0</v>
      </c>
      <c r="B135" s="12"/>
      <c r="C135" s="160" t="s">
        <v>143</v>
      </c>
      <c r="D135" s="160" t="s">
        <v>144</v>
      </c>
      <c r="E135" s="154" t="s">
        <v>163</v>
      </c>
      <c r="F135" s="154" t="s">
        <v>75</v>
      </c>
      <c r="G135" s="154" t="s">
        <v>74</v>
      </c>
      <c r="H135" s="154" t="s">
        <v>74</v>
      </c>
      <c r="I135" s="154" t="s">
        <v>74</v>
      </c>
      <c r="J135" s="154" t="s">
        <v>74</v>
      </c>
      <c r="K135" s="154" t="s">
        <v>74</v>
      </c>
      <c r="L135" s="154"/>
      <c r="M135" s="8" t="str">
        <f t="array" ref="M135">Y107</f>
        <v>1ВО::1.1</v>
      </c>
      <c r="N135" s="154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5"/>
      <c r="AA135" s="167"/>
      <c r="AB135" s="183"/>
      <c r="AC135" s="169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275"/>
      <c r="BH135" s="275"/>
      <c r="BI135" s="275"/>
      <c r="BJ135" s="165"/>
      <c r="BK135" s="165"/>
      <c r="BL135" s="165"/>
      <c r="BM135" s="165"/>
      <c r="BN135" s="165"/>
      <c r="BO135" s="165"/>
      <c r="BP135" s="275"/>
      <c r="BQ135" s="275"/>
      <c r="BR135" s="165"/>
      <c r="BS135" s="165"/>
      <c r="BT135" s="165"/>
      <c r="BU135" s="165"/>
      <c r="BV135" s="165"/>
      <c r="BW135" s="165"/>
      <c r="BX135" s="275"/>
      <c r="BY135" s="275"/>
      <c r="BZ135" s="165"/>
      <c r="CA135" s="165"/>
      <c r="CB135" s="165"/>
      <c r="CC135" s="165"/>
      <c r="CD135" s="165"/>
      <c r="CE135" s="165"/>
      <c r="CF135" s="275"/>
      <c r="CG135" s="275"/>
      <c r="CH135" s="165"/>
      <c r="CI135" s="165"/>
      <c r="CJ135" s="165"/>
      <c r="CK135" s="165"/>
      <c r="CL135" s="165"/>
      <c r="CM135" s="165"/>
      <c r="CN135" s="275"/>
      <c r="CO135" s="275"/>
      <c r="CP135" s="68"/>
      <c r="CQ135" s="62"/>
      <c r="CR135" s="62"/>
      <c r="CS135" s="62"/>
      <c r="CT135" s="170"/>
      <c r="CU135" s="170"/>
      <c r="CV135" s="68"/>
      <c r="CW135" s="68"/>
      <c r="CX135" s="68"/>
      <c r="CY135" s="68"/>
      <c r="CZ135" s="68"/>
      <c r="DA135" s="68"/>
      <c r="DB135" s="68"/>
      <c r="DC135" s="15"/>
    </row>
    <row r="136" spans="1:107" ht="14.25" hidden="1" customHeight="1" outlineLevel="3" x14ac:dyDescent="0.25">
      <c r="A136" s="2" t="b">
        <f t="array" ref="A136">A135</f>
        <v>0</v>
      </c>
      <c r="B136" s="12"/>
      <c r="C136" s="160" t="s">
        <v>143</v>
      </c>
      <c r="D136" s="160" t="s">
        <v>144</v>
      </c>
      <c r="E136" s="154" t="s">
        <v>165</v>
      </c>
      <c r="F136" s="154" t="s">
        <v>75</v>
      </c>
      <c r="G136" s="154" t="s">
        <v>74</v>
      </c>
      <c r="H136" s="154" t="s">
        <v>74</v>
      </c>
      <c r="I136" s="154" t="s">
        <v>74</v>
      </c>
      <c r="J136" s="154" t="s">
        <v>74</v>
      </c>
      <c r="K136" s="154" t="s">
        <v>74</v>
      </c>
      <c r="L136" s="154"/>
      <c r="M136" s="8" t="str">
        <f t="array" ref="M136">Y107</f>
        <v>1ВО::1.1</v>
      </c>
      <c r="N136" s="154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5"/>
      <c r="AA136" s="167"/>
      <c r="AB136" s="183"/>
      <c r="AC136" s="169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275"/>
      <c r="BH136" s="275"/>
      <c r="BI136" s="275"/>
      <c r="BJ136" s="165"/>
      <c r="BK136" s="165"/>
      <c r="BL136" s="165"/>
      <c r="BM136" s="165"/>
      <c r="BN136" s="165"/>
      <c r="BO136" s="165"/>
      <c r="BP136" s="275"/>
      <c r="BQ136" s="275"/>
      <c r="BR136" s="165"/>
      <c r="BS136" s="165"/>
      <c r="BT136" s="165"/>
      <c r="BU136" s="165"/>
      <c r="BV136" s="165"/>
      <c r="BW136" s="165"/>
      <c r="BX136" s="275"/>
      <c r="BY136" s="275"/>
      <c r="BZ136" s="165"/>
      <c r="CA136" s="165"/>
      <c r="CB136" s="165"/>
      <c r="CC136" s="165"/>
      <c r="CD136" s="165"/>
      <c r="CE136" s="165"/>
      <c r="CF136" s="275"/>
      <c r="CG136" s="275"/>
      <c r="CH136" s="165"/>
      <c r="CI136" s="165"/>
      <c r="CJ136" s="165"/>
      <c r="CK136" s="165"/>
      <c r="CL136" s="165"/>
      <c r="CM136" s="165"/>
      <c r="CN136" s="275"/>
      <c r="CO136" s="275"/>
      <c r="CP136" s="68"/>
      <c r="CQ136" s="62"/>
      <c r="CR136" s="62"/>
      <c r="CS136" s="62"/>
      <c r="CT136" s="170"/>
      <c r="CU136" s="170"/>
      <c r="CV136" s="68"/>
      <c r="CW136" s="68"/>
      <c r="CX136" s="68"/>
      <c r="CY136" s="68"/>
      <c r="CZ136" s="68"/>
      <c r="DA136" s="68"/>
      <c r="DB136" s="68"/>
      <c r="DC136" s="15"/>
    </row>
    <row r="137" spans="1:107" ht="14.25" hidden="1" customHeight="1" outlineLevel="3" x14ac:dyDescent="0.25">
      <c r="A137" s="2" t="b">
        <f t="array" ref="A137">A136</f>
        <v>0</v>
      </c>
      <c r="B137" s="12"/>
      <c r="C137" s="160" t="s">
        <v>143</v>
      </c>
      <c r="D137" s="160" t="s">
        <v>144</v>
      </c>
      <c r="E137" s="154" t="s">
        <v>167</v>
      </c>
      <c r="F137" s="154" t="s">
        <v>75</v>
      </c>
      <c r="G137" s="154" t="s">
        <v>74</v>
      </c>
      <c r="H137" s="154" t="s">
        <v>74</v>
      </c>
      <c r="I137" s="154" t="s">
        <v>74</v>
      </c>
      <c r="J137" s="154" t="s">
        <v>74</v>
      </c>
      <c r="K137" s="154" t="s">
        <v>74</v>
      </c>
      <c r="L137" s="154"/>
      <c r="M137" s="8" t="str">
        <f t="array" ref="M137">Y107</f>
        <v>1ВО::1.1</v>
      </c>
      <c r="N137" s="154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5"/>
      <c r="AA137" s="167"/>
      <c r="AB137" s="183"/>
      <c r="AC137" s="169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275"/>
      <c r="BH137" s="275"/>
      <c r="BI137" s="275"/>
      <c r="BJ137" s="165"/>
      <c r="BK137" s="165"/>
      <c r="BL137" s="165"/>
      <c r="BM137" s="165"/>
      <c r="BN137" s="165"/>
      <c r="BO137" s="165"/>
      <c r="BP137" s="275"/>
      <c r="BQ137" s="275"/>
      <c r="BR137" s="165"/>
      <c r="BS137" s="165"/>
      <c r="BT137" s="165"/>
      <c r="BU137" s="165"/>
      <c r="BV137" s="165"/>
      <c r="BW137" s="165"/>
      <c r="BX137" s="275"/>
      <c r="BY137" s="275"/>
      <c r="BZ137" s="165"/>
      <c r="CA137" s="165"/>
      <c r="CB137" s="165"/>
      <c r="CC137" s="165"/>
      <c r="CD137" s="165"/>
      <c r="CE137" s="165"/>
      <c r="CF137" s="275"/>
      <c r="CG137" s="275"/>
      <c r="CH137" s="165"/>
      <c r="CI137" s="165"/>
      <c r="CJ137" s="165"/>
      <c r="CK137" s="165"/>
      <c r="CL137" s="165"/>
      <c r="CM137" s="165"/>
      <c r="CN137" s="275"/>
      <c r="CO137" s="275"/>
      <c r="CP137" s="68"/>
      <c r="CQ137" s="62"/>
      <c r="CR137" s="62"/>
      <c r="CS137" s="62"/>
      <c r="CT137" s="170"/>
      <c r="CU137" s="170"/>
      <c r="CV137" s="68"/>
      <c r="CW137" s="68"/>
      <c r="CX137" s="68"/>
      <c r="CY137" s="68"/>
      <c r="CZ137" s="68"/>
      <c r="DA137" s="68"/>
      <c r="DB137" s="68"/>
      <c r="DC137" s="15"/>
    </row>
    <row r="138" spans="1:107" ht="14.25" customHeight="1" x14ac:dyDescent="0.25">
      <c r="A138" s="2" t="b">
        <f>$U107="Водоотведение"</f>
        <v>1</v>
      </c>
      <c r="C138" s="8" t="s">
        <v>169</v>
      </c>
      <c r="D138" s="8" t="s">
        <v>170</v>
      </c>
      <c r="E138" s="176" t="s">
        <v>74</v>
      </c>
      <c r="F138" s="154" t="s">
        <v>75</v>
      </c>
      <c r="G138" s="154" t="s">
        <v>74</v>
      </c>
      <c r="H138" s="154" t="s">
        <v>74</v>
      </c>
      <c r="I138" s="154" t="s">
        <v>74</v>
      </c>
      <c r="J138" s="154" t="s">
        <v>74</v>
      </c>
      <c r="K138" s="154" t="s">
        <v>74</v>
      </c>
      <c r="L138" s="154"/>
      <c r="M138" s="8" t="str">
        <f t="array" ref="M138">Y107</f>
        <v>1ВО::1.1</v>
      </c>
      <c r="AA138" s="146">
        <f>AA110+1</f>
        <v>2</v>
      </c>
      <c r="AB138" s="103" t="s">
        <v>170</v>
      </c>
      <c r="AC138" s="342" t="s">
        <v>140</v>
      </c>
      <c r="AD138" s="152">
        <v>35860.413</v>
      </c>
      <c r="AE138" s="152">
        <v>36202.410175916004</v>
      </c>
      <c r="AF138" s="152">
        <v>39019.356</v>
      </c>
      <c r="AG138" s="177"/>
      <c r="AH138" s="177"/>
      <c r="AI138" s="152">
        <f t="array" ref="AI138">AI143</f>
        <v>39027.551109780099</v>
      </c>
      <c r="AJ138" s="177"/>
      <c r="AK138" s="177"/>
      <c r="AL138" s="177"/>
      <c r="AM138" s="177"/>
      <c r="AN138" s="152">
        <f t="array" ref="AN138">AN143</f>
        <v>38157.791673</v>
      </c>
      <c r="AO138" s="152">
        <v>37611.42</v>
      </c>
      <c r="AP138" s="177"/>
      <c r="AQ138" s="177"/>
      <c r="AR138" s="152">
        <f t="array" ref="AR138">AR143</f>
        <v>37611.42</v>
      </c>
      <c r="AS138" s="177"/>
      <c r="AT138" s="177"/>
      <c r="AU138" s="152">
        <f t="array" ref="AU138">AU143</f>
        <v>112.012</v>
      </c>
      <c r="AV138" s="152">
        <v>37611.42</v>
      </c>
      <c r="AW138" s="177"/>
      <c r="AX138" s="177"/>
      <c r="AY138" s="152">
        <f t="array" ref="AY138">AY143</f>
        <v>37611.42</v>
      </c>
      <c r="AZ138" s="177"/>
      <c r="BA138" s="177"/>
      <c r="BB138" s="177"/>
      <c r="BC138" s="177"/>
      <c r="BD138" s="152">
        <f t="array" ref="BD138">BD143</f>
        <v>112.54</v>
      </c>
      <c r="BE138" s="177"/>
      <c r="BF138" s="177"/>
      <c r="BG138" s="267">
        <f>IF(AR138=0,0,BD138/AR138)*100</f>
        <v>0.29921763124072426</v>
      </c>
      <c r="BH138" s="267" t="e">
        <f>BD138-#REF!</f>
        <v>#REF!</v>
      </c>
      <c r="BI138" s="267">
        <f>BD138-AY138</f>
        <v>-37498.879999999997</v>
      </c>
      <c r="BJ138" s="152">
        <f t="array" ref="BJ138">BJ143</f>
        <v>0</v>
      </c>
      <c r="BK138" s="177"/>
      <c r="BL138" s="177"/>
      <c r="BM138" s="152">
        <f t="array" ref="BM138">BM143</f>
        <v>112.54</v>
      </c>
      <c r="BN138" s="177"/>
      <c r="BO138" s="177"/>
      <c r="BP138" s="267">
        <f>IF(BD138=0,0,BM138/BD138)*100</f>
        <v>100</v>
      </c>
      <c r="BQ138" s="267">
        <f>BM138-BJ138</f>
        <v>112.54</v>
      </c>
      <c r="BR138" s="152">
        <f t="array" ref="BR138">BR143</f>
        <v>0</v>
      </c>
      <c r="BS138" s="177"/>
      <c r="BT138" s="177"/>
      <c r="BU138" s="152">
        <f t="array" ref="BU138">BU143</f>
        <v>112.54</v>
      </c>
      <c r="BV138" s="177"/>
      <c r="BW138" s="177"/>
      <c r="BX138" s="267">
        <f>IF(BM138=0,0,BU138/BM138)*100</f>
        <v>100</v>
      </c>
      <c r="BY138" s="267">
        <f>BU138-BR138</f>
        <v>112.54</v>
      </c>
      <c r="BZ138" s="152">
        <f t="array" ref="BZ138">BZ143</f>
        <v>0</v>
      </c>
      <c r="CA138" s="177"/>
      <c r="CB138" s="177"/>
      <c r="CC138" s="152">
        <f t="array" ref="CC138">CC143</f>
        <v>112.54</v>
      </c>
      <c r="CD138" s="177"/>
      <c r="CE138" s="177"/>
      <c r="CF138" s="267">
        <f>IF(BU138=0,0,CC138/BU138)*100</f>
        <v>100</v>
      </c>
      <c r="CG138" s="267">
        <f>CC138-BZ138</f>
        <v>112.54</v>
      </c>
      <c r="CH138" s="152">
        <f t="array" ref="CH138">CH143</f>
        <v>0</v>
      </c>
      <c r="CI138" s="177"/>
      <c r="CJ138" s="177"/>
      <c r="CK138" s="152">
        <f t="array" ref="CK138">CK143</f>
        <v>112.54</v>
      </c>
      <c r="CL138" s="177"/>
      <c r="CM138" s="177"/>
      <c r="CN138" s="267">
        <f>IF(CC138=0,0,CK138/CC138)*100</f>
        <v>100</v>
      </c>
      <c r="CO138" s="267">
        <f>CK138-CH138</f>
        <v>112.54</v>
      </c>
      <c r="CP138" s="92"/>
      <c r="CQ138" s="85"/>
      <c r="CR138" s="85"/>
      <c r="CS138" s="85"/>
      <c r="CT138" s="99" t="e">
        <f>SUM(AD138:CO138)</f>
        <v>#REF!</v>
      </c>
      <c r="CU138" s="100">
        <f t="array" ref="CU138">CU143</f>
        <v>112.54</v>
      </c>
      <c r="CV138" s="101"/>
      <c r="CW138" s="101"/>
      <c r="CX138" s="101"/>
      <c r="CY138" s="101"/>
      <c r="CZ138" s="101"/>
      <c r="DA138" s="101"/>
      <c r="DB138" s="101"/>
    </row>
    <row r="139" spans="1:107" ht="14.25" customHeight="1" outlineLevel="2" x14ac:dyDescent="0.25">
      <c r="A139" s="2" t="b">
        <f>AND(A138)</f>
        <v>1</v>
      </c>
      <c r="B139" s="8" t="b">
        <f>AND(OR(isFIRST_PERIOD="да",$AC$56="нет"),A138)</f>
        <v>1</v>
      </c>
      <c r="C139" s="176" t="s">
        <v>171</v>
      </c>
      <c r="D139" s="179" t="s">
        <v>172</v>
      </c>
      <c r="E139" s="176" t="s">
        <v>74</v>
      </c>
      <c r="F139" s="176" t="s">
        <v>75</v>
      </c>
      <c r="G139" s="176" t="s">
        <v>74</v>
      </c>
      <c r="H139" s="176" t="s">
        <v>74</v>
      </c>
      <c r="I139" s="176" t="s">
        <v>74</v>
      </c>
      <c r="J139" s="176" t="s">
        <v>74</v>
      </c>
      <c r="K139" s="176" t="s">
        <v>74</v>
      </c>
      <c r="L139" s="176"/>
      <c r="M139" s="8" t="str">
        <f t="array" ref="M139">Y107</f>
        <v>1ВО::1.1</v>
      </c>
      <c r="N139" s="180"/>
      <c r="AA139" s="107" t="str">
        <f>AA138&amp;".I"</f>
        <v>2.I</v>
      </c>
      <c r="AB139" s="155" t="s">
        <v>141</v>
      </c>
      <c r="AC139" s="156" t="s">
        <v>140</v>
      </c>
      <c r="AD139" s="158">
        <v>17930.2065</v>
      </c>
      <c r="AE139" s="158">
        <v>18101.205087958002</v>
      </c>
      <c r="AF139" s="158">
        <v>19513.775554889999</v>
      </c>
      <c r="AG139" s="15"/>
      <c r="AH139" s="15"/>
      <c r="AI139" s="158">
        <f>1*'[1]Объемы ВО'!BP97</f>
        <v>19513.775554889999</v>
      </c>
      <c r="AJ139" s="15"/>
      <c r="AK139" s="15"/>
      <c r="AL139" s="15"/>
      <c r="AM139" s="15"/>
      <c r="AN139" s="158">
        <f>1*'[1]Объемы ВО'!BX97</f>
        <v>19078.8958365</v>
      </c>
      <c r="AO139" s="158">
        <v>18805.71</v>
      </c>
      <c r="AP139" s="15"/>
      <c r="AQ139" s="15"/>
      <c r="AR139" s="158">
        <f>1*'[1]Объемы ВО'!CD97</f>
        <v>18805.71</v>
      </c>
      <c r="AS139" s="15"/>
      <c r="AT139" s="15"/>
      <c r="AU139" s="158">
        <f>1*'[1]Объемы ВО'!CK97</f>
        <v>56.006</v>
      </c>
      <c r="AV139" s="158">
        <v>18805.71</v>
      </c>
      <c r="AW139" s="15"/>
      <c r="AX139" s="15"/>
      <c r="AY139" s="158">
        <f>1*'[1]Объемы ВО'!CQ97</f>
        <v>18805.71</v>
      </c>
      <c r="AZ139" s="15"/>
      <c r="BA139" s="15"/>
      <c r="BB139" s="15"/>
      <c r="BC139" s="15"/>
      <c r="BD139" s="158">
        <f>1*'[1]Объемы ВО'!DJ97</f>
        <v>56.27</v>
      </c>
      <c r="BE139" s="15"/>
      <c r="BF139" s="15"/>
      <c r="BG139" s="267">
        <f>IF(AR139=0,0,BD139/AR139)*100</f>
        <v>0.29921763124072426</v>
      </c>
      <c r="BH139" s="267" t="e">
        <f>BD139-#REF!</f>
        <v>#REF!</v>
      </c>
      <c r="BI139" s="267">
        <f>BD139-AY139</f>
        <v>-18749.439999999999</v>
      </c>
      <c r="BJ139" s="158">
        <f>1*'[1]Объемы ВО'!CW97</f>
        <v>0</v>
      </c>
      <c r="BK139" s="15"/>
      <c r="BL139" s="15"/>
      <c r="BM139" s="158">
        <f>1*'[1]Объемы ВО'!DM97</f>
        <v>56.27</v>
      </c>
      <c r="BN139" s="15"/>
      <c r="BO139" s="15"/>
      <c r="BP139" s="267">
        <f>IF(BD139=0,0,BM139/BD139)*100</f>
        <v>100</v>
      </c>
      <c r="BQ139" s="267">
        <f>BM139-BJ139</f>
        <v>56.27</v>
      </c>
      <c r="BR139" s="158">
        <f>1*'[1]Объемы ВО'!CZ97</f>
        <v>0</v>
      </c>
      <c r="BS139" s="15"/>
      <c r="BT139" s="15"/>
      <c r="BU139" s="158">
        <f>1*'[1]Объемы ВО'!DP97</f>
        <v>56.27</v>
      </c>
      <c r="BV139" s="15"/>
      <c r="BW139" s="15"/>
      <c r="BX139" s="267">
        <f>IF(BM139=0,0,BU139/BM139)*100</f>
        <v>100</v>
      </c>
      <c r="BY139" s="267">
        <f>BU139-BR139</f>
        <v>56.27</v>
      </c>
      <c r="BZ139" s="158">
        <f>1*'[1]Объемы ВО'!DC97</f>
        <v>0</v>
      </c>
      <c r="CA139" s="15"/>
      <c r="CB139" s="15"/>
      <c r="CC139" s="158">
        <f>1*'[1]Объемы ВО'!DS97</f>
        <v>56.27</v>
      </c>
      <c r="CD139" s="15"/>
      <c r="CE139" s="15"/>
      <c r="CF139" s="267">
        <f>IF(BU139=0,0,CC139/BU139)*100</f>
        <v>100</v>
      </c>
      <c r="CG139" s="267">
        <f>CC139-BZ139</f>
        <v>56.27</v>
      </c>
      <c r="CH139" s="158">
        <f>1*'[1]Объемы ВО'!DF97</f>
        <v>0</v>
      </c>
      <c r="CI139" s="15"/>
      <c r="CJ139" s="15"/>
      <c r="CK139" s="158">
        <f>1*'[1]Объемы ВО'!DV97</f>
        <v>56.27</v>
      </c>
      <c r="CL139" s="15"/>
      <c r="CM139" s="15"/>
      <c r="CN139" s="267">
        <f>IF(CC139=0,0,CK139/CC139)*100</f>
        <v>100</v>
      </c>
      <c r="CO139" s="267">
        <f>CK139-CH139</f>
        <v>56.27</v>
      </c>
      <c r="CP139" s="92"/>
      <c r="CQ139" s="85"/>
      <c r="CR139" s="85"/>
      <c r="CS139" s="85"/>
      <c r="CT139" s="99" t="e">
        <f>SUM(AD139:CO139)</f>
        <v>#REF!</v>
      </c>
      <c r="CU139" s="99">
        <f t="array" ref="CU139">BD139</f>
        <v>56.27</v>
      </c>
      <c r="CV139" s="101"/>
      <c r="CW139" s="101"/>
      <c r="CX139" s="101"/>
      <c r="CY139" s="101"/>
      <c r="CZ139" s="101"/>
      <c r="DA139" s="101"/>
      <c r="DB139" s="101"/>
    </row>
    <row r="140" spans="1:107" ht="14.25" customHeight="1" outlineLevel="2" collapsed="1" x14ac:dyDescent="0.25">
      <c r="A140" s="2" t="b">
        <f>AND(A138)</f>
        <v>1</v>
      </c>
      <c r="B140" s="8" t="b">
        <f>AND(OR(isFIRST_PERIOD="да",$AC$56="нет"),A138)</f>
        <v>1</v>
      </c>
      <c r="C140" s="176" t="s">
        <v>173</v>
      </c>
      <c r="D140" s="179" t="s">
        <v>174</v>
      </c>
      <c r="E140" s="176" t="s">
        <v>74</v>
      </c>
      <c r="F140" s="176" t="s">
        <v>75</v>
      </c>
      <c r="G140" s="176" t="s">
        <v>74</v>
      </c>
      <c r="H140" s="176" t="s">
        <v>74</v>
      </c>
      <c r="I140" s="176" t="s">
        <v>74</v>
      </c>
      <c r="J140" s="176" t="s">
        <v>74</v>
      </c>
      <c r="K140" s="176" t="s">
        <v>74</v>
      </c>
      <c r="L140" s="176"/>
      <c r="M140" s="8" t="str">
        <f t="array" ref="M140">Y107</f>
        <v>1ВО::1.1</v>
      </c>
      <c r="N140" s="180"/>
      <c r="AA140" s="107" t="str">
        <f>AA138&amp;".II"</f>
        <v>2.II</v>
      </c>
      <c r="AB140" s="155" t="s">
        <v>142</v>
      </c>
      <c r="AC140" s="156" t="s">
        <v>140</v>
      </c>
      <c r="AD140" s="158">
        <v>17930.2065</v>
      </c>
      <c r="AE140" s="158">
        <v>18101.205087958002</v>
      </c>
      <c r="AF140" s="158">
        <v>19505.580445110001</v>
      </c>
      <c r="AG140" s="144"/>
      <c r="AH140" s="144"/>
      <c r="AI140" s="158">
        <f>1*'[1]Объемы ВО'!BQ97</f>
        <v>19513.7755548901</v>
      </c>
      <c r="AJ140" s="144"/>
      <c r="AK140" s="144"/>
      <c r="AL140" s="144"/>
      <c r="AM140" s="144"/>
      <c r="AN140" s="158">
        <f>1*'[1]Объемы ВО'!BY97</f>
        <v>19078.8958365</v>
      </c>
      <c r="AO140" s="158">
        <v>18805.71</v>
      </c>
      <c r="AP140" s="144"/>
      <c r="AQ140" s="144"/>
      <c r="AR140" s="158">
        <f>1*'[1]Объемы ВО'!CE97</f>
        <v>18805.71</v>
      </c>
      <c r="AS140" s="144"/>
      <c r="AT140" s="144"/>
      <c r="AU140" s="158">
        <f>1*'[1]Объемы ВО'!CL97</f>
        <v>56.006</v>
      </c>
      <c r="AV140" s="158">
        <v>18805.71</v>
      </c>
      <c r="AW140" s="144"/>
      <c r="AX140" s="144"/>
      <c r="AY140" s="158">
        <f>1*'[1]Объемы ВО'!CR97</f>
        <v>18805.71</v>
      </c>
      <c r="AZ140" s="144"/>
      <c r="BA140" s="144"/>
      <c r="BB140" s="144"/>
      <c r="BC140" s="144"/>
      <c r="BD140" s="158">
        <f>1*'[1]Объемы ВО'!DK97</f>
        <v>56.27</v>
      </c>
      <c r="BE140" s="144"/>
      <c r="BF140" s="144"/>
      <c r="BG140" s="267">
        <f>IF(AR140=0,0,BD140/AR140)*100</f>
        <v>0.29921763124072426</v>
      </c>
      <c r="BH140" s="267" t="e">
        <f>BD140-#REF!</f>
        <v>#REF!</v>
      </c>
      <c r="BI140" s="267">
        <f>BD140-AY140</f>
        <v>-18749.439999999999</v>
      </c>
      <c r="BJ140" s="158">
        <f>1*'[1]Объемы ВО'!CX97</f>
        <v>0</v>
      </c>
      <c r="BK140" s="144"/>
      <c r="BL140" s="144"/>
      <c r="BM140" s="158">
        <f>1*'[1]Объемы ВО'!DN97</f>
        <v>56.27</v>
      </c>
      <c r="BN140" s="144"/>
      <c r="BO140" s="144"/>
      <c r="BP140" s="267">
        <f>IF(BD140=0,0,BM140/BD140)*100</f>
        <v>100</v>
      </c>
      <c r="BQ140" s="267">
        <f>BM140-BJ140</f>
        <v>56.27</v>
      </c>
      <c r="BR140" s="158">
        <f>1*'[1]Объемы ВО'!DA97</f>
        <v>0</v>
      </c>
      <c r="BS140" s="144"/>
      <c r="BT140" s="144"/>
      <c r="BU140" s="158">
        <f>1*'[1]Объемы ВО'!DQ97</f>
        <v>56.27</v>
      </c>
      <c r="BV140" s="144"/>
      <c r="BW140" s="144"/>
      <c r="BX140" s="267">
        <f>IF(BM140=0,0,BU140/BM140)*100</f>
        <v>100</v>
      </c>
      <c r="BY140" s="267">
        <f>BU140-BR140</f>
        <v>56.27</v>
      </c>
      <c r="BZ140" s="158">
        <f>1*'[1]Объемы ВО'!DD97</f>
        <v>0</v>
      </c>
      <c r="CA140" s="144"/>
      <c r="CB140" s="144"/>
      <c r="CC140" s="158">
        <f>1*'[1]Объемы ВО'!DT97</f>
        <v>56.27</v>
      </c>
      <c r="CD140" s="144"/>
      <c r="CE140" s="144"/>
      <c r="CF140" s="267">
        <f>IF(BU140=0,0,CC140/BU140)*100</f>
        <v>100</v>
      </c>
      <c r="CG140" s="267">
        <f>CC140-BZ140</f>
        <v>56.27</v>
      </c>
      <c r="CH140" s="158">
        <f>1*'[1]Объемы ВО'!DG97</f>
        <v>0</v>
      </c>
      <c r="CI140" s="144"/>
      <c r="CJ140" s="144"/>
      <c r="CK140" s="158">
        <f>1*'[1]Объемы ВО'!DW97</f>
        <v>56.27</v>
      </c>
      <c r="CL140" s="144"/>
      <c r="CM140" s="144"/>
      <c r="CN140" s="267">
        <f>IF(CC140=0,0,CK140/CC140)*100</f>
        <v>100</v>
      </c>
      <c r="CO140" s="267">
        <f>CK140-CH140</f>
        <v>56.27</v>
      </c>
      <c r="CP140" s="92"/>
      <c r="CQ140" s="85"/>
      <c r="CR140" s="85"/>
      <c r="CS140" s="85"/>
      <c r="CT140" s="99" t="e">
        <f>SUM(AD140:CO140)</f>
        <v>#REF!</v>
      </c>
      <c r="CU140" s="99">
        <f t="array" ref="CU140">BD140</f>
        <v>56.27</v>
      </c>
      <c r="CV140" s="101"/>
      <c r="CW140" s="101"/>
      <c r="CX140" s="101"/>
      <c r="CY140" s="101"/>
      <c r="CZ140" s="101"/>
      <c r="DA140" s="101"/>
      <c r="DB140" s="101"/>
    </row>
    <row r="141" spans="1:107" ht="14.25" hidden="1" customHeight="1" outlineLevel="3" x14ac:dyDescent="0.25">
      <c r="A141" s="2" t="b">
        <f>AND(A138,region_name="Республика Татарстан")</f>
        <v>0</v>
      </c>
      <c r="B141" s="12"/>
      <c r="C141" s="176" t="s">
        <v>143</v>
      </c>
      <c r="D141" s="176" t="s">
        <v>144</v>
      </c>
      <c r="E141" s="176" t="s">
        <v>175</v>
      </c>
      <c r="F141" s="176" t="s">
        <v>75</v>
      </c>
      <c r="G141" s="176" t="s">
        <v>74</v>
      </c>
      <c r="H141" s="176" t="s">
        <v>74</v>
      </c>
      <c r="I141" s="176" t="s">
        <v>74</v>
      </c>
      <c r="J141" s="176" t="s">
        <v>74</v>
      </c>
      <c r="K141" s="176" t="s">
        <v>74</v>
      </c>
      <c r="L141" s="176"/>
      <c r="M141" s="8" t="str">
        <f t="array" ref="M141">Y107</f>
        <v>1ВО::1.1</v>
      </c>
      <c r="N141" s="180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5"/>
      <c r="AA141" s="167"/>
      <c r="AB141" s="182"/>
      <c r="AC141" s="169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275"/>
      <c r="BH141" s="275"/>
      <c r="BI141" s="275"/>
      <c r="BJ141" s="165"/>
      <c r="BK141" s="165"/>
      <c r="BL141" s="165"/>
      <c r="BM141" s="165"/>
      <c r="BN141" s="165"/>
      <c r="BO141" s="165"/>
      <c r="BP141" s="275"/>
      <c r="BQ141" s="275"/>
      <c r="BR141" s="165"/>
      <c r="BS141" s="165"/>
      <c r="BT141" s="165"/>
      <c r="BU141" s="165"/>
      <c r="BV141" s="165"/>
      <c r="BW141" s="165"/>
      <c r="BX141" s="275"/>
      <c r="BY141" s="275"/>
      <c r="BZ141" s="165"/>
      <c r="CA141" s="165"/>
      <c r="CB141" s="165"/>
      <c r="CC141" s="165"/>
      <c r="CD141" s="165"/>
      <c r="CE141" s="165"/>
      <c r="CF141" s="275"/>
      <c r="CG141" s="275"/>
      <c r="CH141" s="165"/>
      <c r="CI141" s="165"/>
      <c r="CJ141" s="165"/>
      <c r="CK141" s="165"/>
      <c r="CL141" s="165"/>
      <c r="CM141" s="165"/>
      <c r="CN141" s="275"/>
      <c r="CO141" s="275"/>
      <c r="CP141" s="68"/>
      <c r="CQ141" s="62"/>
      <c r="CR141" s="62"/>
      <c r="CS141" s="62"/>
      <c r="CT141" s="170"/>
      <c r="CU141" s="170"/>
      <c r="CV141" s="68"/>
      <c r="CW141" s="68"/>
      <c r="CX141" s="68"/>
      <c r="CY141" s="68"/>
      <c r="CZ141" s="68"/>
      <c r="DA141" s="68"/>
      <c r="DB141" s="68"/>
      <c r="DC141" s="15"/>
    </row>
    <row r="142" spans="1:107" ht="14.25" hidden="1" customHeight="1" outlineLevel="3" x14ac:dyDescent="0.25">
      <c r="A142" s="2" t="b">
        <f>AND(A138,region_name="Республика Татарстан")</f>
        <v>0</v>
      </c>
      <c r="B142" s="12"/>
      <c r="C142" s="176" t="s">
        <v>143</v>
      </c>
      <c r="D142" s="176" t="s">
        <v>144</v>
      </c>
      <c r="E142" s="176" t="s">
        <v>176</v>
      </c>
      <c r="F142" s="176" t="s">
        <v>75</v>
      </c>
      <c r="G142" s="176" t="s">
        <v>74</v>
      </c>
      <c r="H142" s="176" t="s">
        <v>74</v>
      </c>
      <c r="I142" s="176" t="s">
        <v>74</v>
      </c>
      <c r="J142" s="176" t="s">
        <v>74</v>
      </c>
      <c r="K142" s="176" t="s">
        <v>74</v>
      </c>
      <c r="L142" s="176"/>
      <c r="M142" s="8" t="str">
        <f t="array" ref="M142">Y107</f>
        <v>1ВО::1.1</v>
      </c>
      <c r="N142" s="180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5"/>
      <c r="AA142" s="167"/>
      <c r="AB142" s="168"/>
      <c r="AC142" s="169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275"/>
      <c r="BH142" s="275"/>
      <c r="BI142" s="275"/>
      <c r="BJ142" s="165"/>
      <c r="BK142" s="165"/>
      <c r="BL142" s="165"/>
      <c r="BM142" s="165"/>
      <c r="BN142" s="165"/>
      <c r="BO142" s="165"/>
      <c r="BP142" s="275"/>
      <c r="BQ142" s="275"/>
      <c r="BR142" s="165"/>
      <c r="BS142" s="165"/>
      <c r="BT142" s="165"/>
      <c r="BU142" s="165"/>
      <c r="BV142" s="165"/>
      <c r="BW142" s="165"/>
      <c r="BX142" s="275"/>
      <c r="BY142" s="275"/>
      <c r="BZ142" s="165"/>
      <c r="CA142" s="165"/>
      <c r="CB142" s="165"/>
      <c r="CC142" s="165"/>
      <c r="CD142" s="165"/>
      <c r="CE142" s="165"/>
      <c r="CF142" s="275"/>
      <c r="CG142" s="275"/>
      <c r="CH142" s="165"/>
      <c r="CI142" s="165"/>
      <c r="CJ142" s="165"/>
      <c r="CK142" s="165"/>
      <c r="CL142" s="165"/>
      <c r="CM142" s="165"/>
      <c r="CN142" s="275"/>
      <c r="CO142" s="275"/>
      <c r="CP142" s="68"/>
      <c r="CQ142" s="62"/>
      <c r="CR142" s="62"/>
      <c r="CS142" s="62"/>
      <c r="CT142" s="170"/>
      <c r="CU142" s="170"/>
      <c r="CV142" s="68"/>
      <c r="CW142" s="68"/>
      <c r="CX142" s="68"/>
      <c r="CY142" s="68"/>
      <c r="CZ142" s="68"/>
      <c r="DA142" s="68"/>
      <c r="DB142" s="68"/>
      <c r="DC142" s="15"/>
    </row>
    <row r="143" spans="1:107" ht="14.25" customHeight="1" outlineLevel="3" x14ac:dyDescent="0.25">
      <c r="A143" s="2" t="b">
        <f t="array" ref="A143">A138</f>
        <v>1</v>
      </c>
      <c r="C143" s="176" t="s">
        <v>143</v>
      </c>
      <c r="D143" s="176" t="s">
        <v>144</v>
      </c>
      <c r="E143" s="176" t="s">
        <v>177</v>
      </c>
      <c r="F143" s="176" t="s">
        <v>75</v>
      </c>
      <c r="G143" s="176" t="s">
        <v>74</v>
      </c>
      <c r="H143" s="176" t="s">
        <v>74</v>
      </c>
      <c r="I143" s="176" t="s">
        <v>74</v>
      </c>
      <c r="J143" s="176" t="s">
        <v>74</v>
      </c>
      <c r="K143" s="176" t="s">
        <v>74</v>
      </c>
      <c r="L143" s="176"/>
      <c r="M143" s="8" t="str">
        <f t="array" ref="M143">Y107</f>
        <v>1ВО::1.1</v>
      </c>
      <c r="N143" s="180"/>
      <c r="AA143" s="107" t="str">
        <f>AA138&amp;".1"</f>
        <v>2.1</v>
      </c>
      <c r="AB143" s="161" t="s">
        <v>548</v>
      </c>
      <c r="AC143" s="156" t="s">
        <v>140</v>
      </c>
      <c r="AD143" s="158">
        <v>35860.413</v>
      </c>
      <c r="AE143" s="158">
        <v>36202.410175916004</v>
      </c>
      <c r="AF143" s="158">
        <v>39019.356</v>
      </c>
      <c r="AG143" s="165"/>
      <c r="AH143" s="165"/>
      <c r="AI143" s="158">
        <f>1*'[1]Объемы ВО'!BO97</f>
        <v>39027.551109780099</v>
      </c>
      <c r="AJ143" s="165"/>
      <c r="AK143" s="165"/>
      <c r="AL143" s="165"/>
      <c r="AM143" s="165"/>
      <c r="AN143" s="158">
        <f>1*'[1]Объемы ВО'!BW97</f>
        <v>38157.791673</v>
      </c>
      <c r="AO143" s="158">
        <v>37611.42</v>
      </c>
      <c r="AP143" s="165"/>
      <c r="AQ143" s="165"/>
      <c r="AR143" s="158">
        <f>1*'[1]Объемы ВО'!CC97</f>
        <v>37611.42</v>
      </c>
      <c r="AS143" s="165"/>
      <c r="AT143" s="165"/>
      <c r="AU143" s="158">
        <f>1*'[1]Объемы ВО'!CJ97</f>
        <v>112.012</v>
      </c>
      <c r="AV143" s="158">
        <v>37611.42</v>
      </c>
      <c r="AW143" s="165"/>
      <c r="AX143" s="165"/>
      <c r="AY143" s="158">
        <f>1*'[1]Объемы ВО'!CP97</f>
        <v>37611.42</v>
      </c>
      <c r="AZ143" s="165"/>
      <c r="BA143" s="165"/>
      <c r="BB143" s="165"/>
      <c r="BC143" s="165"/>
      <c r="BD143" s="158">
        <f>1*'[1]Объемы ВО'!DI97</f>
        <v>112.54</v>
      </c>
      <c r="BE143" s="165"/>
      <c r="BF143" s="165"/>
      <c r="BG143" s="267">
        <f t="shared" ref="BG143:BG188" si="9">IF(AR143=0,0,BD143/AR143)*100</f>
        <v>0.29921763124072426</v>
      </c>
      <c r="BH143" s="267" t="e">
        <f>BD143-#REF!</f>
        <v>#REF!</v>
      </c>
      <c r="BI143" s="267">
        <f t="shared" ref="BI143:BI188" si="10">BD143-AY143</f>
        <v>-37498.879999999997</v>
      </c>
      <c r="BJ143" s="158">
        <f>1*'[1]Объемы ВО'!CV97</f>
        <v>0</v>
      </c>
      <c r="BK143" s="165"/>
      <c r="BL143" s="165"/>
      <c r="BM143" s="158">
        <f>1*'[1]Объемы ВО'!DL97</f>
        <v>112.54</v>
      </c>
      <c r="BN143" s="165"/>
      <c r="BO143" s="165"/>
      <c r="BP143" s="267">
        <f t="shared" ref="BP143:BP158" si="11">IF(BD143=0,0,BM143/BD143)*100</f>
        <v>100</v>
      </c>
      <c r="BQ143" s="267">
        <f t="shared" ref="BQ143:BQ158" si="12">BM143-BJ143</f>
        <v>112.54</v>
      </c>
      <c r="BR143" s="158">
        <f>1*'[1]Объемы ВО'!CY97</f>
        <v>0</v>
      </c>
      <c r="BS143" s="165"/>
      <c r="BT143" s="165"/>
      <c r="BU143" s="158">
        <f>1*'[1]Объемы ВО'!DO97</f>
        <v>112.54</v>
      </c>
      <c r="BV143" s="165"/>
      <c r="BW143" s="165"/>
      <c r="BX143" s="267">
        <f t="shared" ref="BX143:BX158" si="13">IF(BM143=0,0,BU143/BM143)*100</f>
        <v>100</v>
      </c>
      <c r="BY143" s="267">
        <f t="shared" ref="BY143:BY158" si="14">BU143-BR143</f>
        <v>112.54</v>
      </c>
      <c r="BZ143" s="158">
        <f>1*'[1]Объемы ВО'!DB97</f>
        <v>0</v>
      </c>
      <c r="CA143" s="165"/>
      <c r="CB143" s="165"/>
      <c r="CC143" s="158">
        <f>1*'[1]Объемы ВО'!DR97</f>
        <v>112.54</v>
      </c>
      <c r="CD143" s="165"/>
      <c r="CE143" s="165"/>
      <c r="CF143" s="267">
        <f t="shared" ref="CF143:CF158" si="15">IF(BU143=0,0,CC143/BU143)*100</f>
        <v>100</v>
      </c>
      <c r="CG143" s="267">
        <f t="shared" ref="CG143:CG158" si="16">CC143-BZ143</f>
        <v>112.54</v>
      </c>
      <c r="CH143" s="158">
        <f>1*'[1]Объемы ВО'!DE97</f>
        <v>0</v>
      </c>
      <c r="CI143" s="165"/>
      <c r="CJ143" s="165"/>
      <c r="CK143" s="158">
        <f>1*'[1]Объемы ВО'!DU97</f>
        <v>112.54</v>
      </c>
      <c r="CL143" s="165"/>
      <c r="CM143" s="165"/>
      <c r="CN143" s="267">
        <f t="shared" ref="CN143:CN158" si="17">IF(CC143=0,0,CK143/CC143)*100</f>
        <v>100</v>
      </c>
      <c r="CO143" s="267">
        <f t="shared" ref="CO143:CO158" si="18">CK143-CH143</f>
        <v>112.54</v>
      </c>
      <c r="CP143" s="92"/>
      <c r="CQ143" s="85"/>
      <c r="CR143" s="85"/>
      <c r="CS143" s="85"/>
      <c r="CT143" s="99" t="e">
        <f t="shared" ref="CT143:CT188" si="19">SUM(AD143:CO143)</f>
        <v>#REF!</v>
      </c>
      <c r="CU143" s="99">
        <f t="array" ref="CU143">BD143</f>
        <v>112.54</v>
      </c>
      <c r="CV143" s="101"/>
      <c r="CW143" s="101"/>
      <c r="CX143" s="101"/>
      <c r="CY143" s="101"/>
      <c r="CZ143" s="101"/>
      <c r="DA143" s="101"/>
      <c r="DB143" s="101"/>
    </row>
    <row r="144" spans="1:107" ht="14.25" customHeight="1" outlineLevel="3" x14ac:dyDescent="0.25">
      <c r="A144" s="2" t="b">
        <f t="array" ref="A144">A143</f>
        <v>1</v>
      </c>
      <c r="C144" s="176" t="s">
        <v>143</v>
      </c>
      <c r="D144" s="176" t="s">
        <v>144</v>
      </c>
      <c r="E144" s="176" t="s">
        <v>178</v>
      </c>
      <c r="F144" s="176" t="s">
        <v>75</v>
      </c>
      <c r="G144" s="176" t="s">
        <v>74</v>
      </c>
      <c r="H144" s="176" t="s">
        <v>74</v>
      </c>
      <c r="I144" s="176" t="s">
        <v>74</v>
      </c>
      <c r="J144" s="176" t="s">
        <v>74</v>
      </c>
      <c r="K144" s="176" t="s">
        <v>74</v>
      </c>
      <c r="L144" s="176"/>
      <c r="M144" s="8" t="str">
        <f t="array" ref="M144">Y107</f>
        <v>1ВО::1.1</v>
      </c>
      <c r="N144" s="180"/>
      <c r="AA144" s="107" t="str">
        <f>AA143&amp;".1"</f>
        <v>2.1.1</v>
      </c>
      <c r="AB144" s="171" t="s">
        <v>549</v>
      </c>
      <c r="AC144" s="156" t="s">
        <v>140</v>
      </c>
      <c r="AD144" s="158">
        <v>0</v>
      </c>
      <c r="AE144" s="158">
        <v>0</v>
      </c>
      <c r="AF144" s="158">
        <v>0</v>
      </c>
      <c r="AG144" s="165"/>
      <c r="AH144" s="165"/>
      <c r="AI144" s="158">
        <f>1*'[1]Объемы ВО'!BO98</f>
        <v>0</v>
      </c>
      <c r="AJ144" s="165"/>
      <c r="AK144" s="165"/>
      <c r="AL144" s="165"/>
      <c r="AM144" s="165"/>
      <c r="AN144" s="158">
        <f>1*'[1]Объемы ВО'!BW98</f>
        <v>0</v>
      </c>
      <c r="AO144" s="158">
        <v>0</v>
      </c>
      <c r="AP144" s="165"/>
      <c r="AQ144" s="165"/>
      <c r="AR144" s="158">
        <f>1*'[1]Объемы ВО'!CC98</f>
        <v>0</v>
      </c>
      <c r="AS144" s="165"/>
      <c r="AT144" s="165"/>
      <c r="AU144" s="158">
        <f>1*'[1]Объемы ВО'!CJ98</f>
        <v>0</v>
      </c>
      <c r="AV144" s="158">
        <v>0</v>
      </c>
      <c r="AW144" s="165"/>
      <c r="AX144" s="165"/>
      <c r="AY144" s="158">
        <f>1*'[1]Объемы ВО'!CP98</f>
        <v>0</v>
      </c>
      <c r="AZ144" s="165"/>
      <c r="BA144" s="165"/>
      <c r="BB144" s="165"/>
      <c r="BC144" s="165"/>
      <c r="BD144" s="158">
        <f>1*'[1]Объемы ВО'!DI98</f>
        <v>0</v>
      </c>
      <c r="BE144" s="165"/>
      <c r="BF144" s="165"/>
      <c r="BG144" s="267">
        <f t="shared" si="9"/>
        <v>0</v>
      </c>
      <c r="BH144" s="267" t="e">
        <f>BD144-#REF!</f>
        <v>#REF!</v>
      </c>
      <c r="BI144" s="267">
        <f t="shared" si="10"/>
        <v>0</v>
      </c>
      <c r="BJ144" s="158">
        <f>1*'[1]Объемы ВО'!CV98</f>
        <v>0</v>
      </c>
      <c r="BK144" s="165"/>
      <c r="BL144" s="165"/>
      <c r="BM144" s="158">
        <f>1*'[1]Объемы ВО'!DL98</f>
        <v>0</v>
      </c>
      <c r="BN144" s="165"/>
      <c r="BO144" s="165"/>
      <c r="BP144" s="267">
        <f t="shared" si="11"/>
        <v>0</v>
      </c>
      <c r="BQ144" s="267">
        <f t="shared" si="12"/>
        <v>0</v>
      </c>
      <c r="BR144" s="158">
        <f>1*'[1]Объемы ВО'!CY98</f>
        <v>0</v>
      </c>
      <c r="BS144" s="165"/>
      <c r="BT144" s="165"/>
      <c r="BU144" s="158">
        <f>1*'[1]Объемы ВО'!DO98</f>
        <v>0</v>
      </c>
      <c r="BV144" s="165"/>
      <c r="BW144" s="165"/>
      <c r="BX144" s="267">
        <f t="shared" si="13"/>
        <v>0</v>
      </c>
      <c r="BY144" s="267">
        <f t="shared" si="14"/>
        <v>0</v>
      </c>
      <c r="BZ144" s="158">
        <f>1*'[1]Объемы ВО'!DB98</f>
        <v>0</v>
      </c>
      <c r="CA144" s="165"/>
      <c r="CB144" s="165"/>
      <c r="CC144" s="158">
        <f>1*'[1]Объемы ВО'!DR98</f>
        <v>0</v>
      </c>
      <c r="CD144" s="165"/>
      <c r="CE144" s="165"/>
      <c r="CF144" s="267">
        <f t="shared" si="15"/>
        <v>0</v>
      </c>
      <c r="CG144" s="267">
        <f t="shared" si="16"/>
        <v>0</v>
      </c>
      <c r="CH144" s="158">
        <f>1*'[1]Объемы ВО'!DE98</f>
        <v>0</v>
      </c>
      <c r="CI144" s="165"/>
      <c r="CJ144" s="165"/>
      <c r="CK144" s="158">
        <f>1*'[1]Объемы ВО'!DU98</f>
        <v>0</v>
      </c>
      <c r="CL144" s="165"/>
      <c r="CM144" s="165"/>
      <c r="CN144" s="267">
        <f t="shared" si="17"/>
        <v>0</v>
      </c>
      <c r="CO144" s="267">
        <f t="shared" si="18"/>
        <v>0</v>
      </c>
      <c r="CP144" s="92"/>
      <c r="CQ144" s="85"/>
      <c r="CR144" s="85"/>
      <c r="CS144" s="85"/>
      <c r="CT144" s="99" t="e">
        <f t="shared" si="19"/>
        <v>#REF!</v>
      </c>
      <c r="CU144" s="99">
        <f t="array" ref="CU144">BD144</f>
        <v>0</v>
      </c>
      <c r="CV144" s="101"/>
      <c r="CW144" s="101"/>
      <c r="CX144" s="101"/>
      <c r="CY144" s="101"/>
      <c r="CZ144" s="101"/>
      <c r="DA144" s="101"/>
      <c r="DB144" s="101"/>
    </row>
    <row r="145" spans="1:106" ht="14.25" customHeight="1" outlineLevel="3" x14ac:dyDescent="0.25">
      <c r="A145" s="2" t="b">
        <f t="array" ref="A145">A144</f>
        <v>1</v>
      </c>
      <c r="C145" s="176" t="s">
        <v>143</v>
      </c>
      <c r="D145" s="176" t="s">
        <v>144</v>
      </c>
      <c r="E145" s="176" t="s">
        <v>179</v>
      </c>
      <c r="F145" s="176" t="s">
        <v>75</v>
      </c>
      <c r="G145" s="176" t="s">
        <v>74</v>
      </c>
      <c r="H145" s="176" t="s">
        <v>74</v>
      </c>
      <c r="I145" s="176" t="s">
        <v>74</v>
      </c>
      <c r="J145" s="176" t="s">
        <v>74</v>
      </c>
      <c r="K145" s="176" t="s">
        <v>74</v>
      </c>
      <c r="L145" s="176"/>
      <c r="M145" s="8" t="str">
        <f t="array" ref="M145">Y107</f>
        <v>1ВО::1.1</v>
      </c>
      <c r="N145" s="180"/>
      <c r="AA145" s="107" t="str">
        <f>AA143&amp;".2"</f>
        <v>2.1.2</v>
      </c>
      <c r="AB145" s="171" t="s">
        <v>550</v>
      </c>
      <c r="AC145" s="156" t="s">
        <v>140</v>
      </c>
      <c r="AD145" s="131">
        <v>35860.413</v>
      </c>
      <c r="AE145" s="131">
        <v>36202.410175916004</v>
      </c>
      <c r="AF145" s="131">
        <v>39019.356</v>
      </c>
      <c r="AG145" s="162"/>
      <c r="AH145" s="162"/>
      <c r="AI145" s="131">
        <f>AI146+AI150</f>
        <v>39027.551109780099</v>
      </c>
      <c r="AJ145" s="162"/>
      <c r="AK145" s="162"/>
      <c r="AL145" s="162"/>
      <c r="AM145" s="162"/>
      <c r="AN145" s="131">
        <f>AN146+AN150</f>
        <v>38157.791673</v>
      </c>
      <c r="AO145" s="131">
        <v>37611.42</v>
      </c>
      <c r="AP145" s="162"/>
      <c r="AQ145" s="162"/>
      <c r="AR145" s="131">
        <f>AR146+AR150</f>
        <v>37611.42</v>
      </c>
      <c r="AS145" s="162"/>
      <c r="AT145" s="162"/>
      <c r="AU145" s="131">
        <f>AU146+AU150</f>
        <v>112.012</v>
      </c>
      <c r="AV145" s="131">
        <v>37611.42</v>
      </c>
      <c r="AW145" s="162"/>
      <c r="AX145" s="162"/>
      <c r="AY145" s="131">
        <f>AY146+AY150</f>
        <v>37611.42</v>
      </c>
      <c r="AZ145" s="162"/>
      <c r="BA145" s="162"/>
      <c r="BB145" s="162"/>
      <c r="BC145" s="162"/>
      <c r="BD145" s="131">
        <f>BD146+BD150</f>
        <v>112.54</v>
      </c>
      <c r="BE145" s="162"/>
      <c r="BF145" s="162"/>
      <c r="BG145" s="267">
        <f t="shared" si="9"/>
        <v>0.29921763124072426</v>
      </c>
      <c r="BH145" s="267" t="e">
        <f>BD145-#REF!</f>
        <v>#REF!</v>
      </c>
      <c r="BI145" s="267">
        <f t="shared" si="10"/>
        <v>-37498.879999999997</v>
      </c>
      <c r="BJ145" s="131">
        <f>BJ146+BJ150</f>
        <v>0</v>
      </c>
      <c r="BK145" s="162"/>
      <c r="BL145" s="162"/>
      <c r="BM145" s="131">
        <f>BM146+BM150</f>
        <v>112.54</v>
      </c>
      <c r="BN145" s="162"/>
      <c r="BO145" s="162"/>
      <c r="BP145" s="267">
        <f t="shared" si="11"/>
        <v>100</v>
      </c>
      <c r="BQ145" s="267">
        <f t="shared" si="12"/>
        <v>112.54</v>
      </c>
      <c r="BR145" s="131">
        <f>BR146+BR150</f>
        <v>0</v>
      </c>
      <c r="BS145" s="162"/>
      <c r="BT145" s="162"/>
      <c r="BU145" s="131">
        <f>BU146+BU150</f>
        <v>112.54</v>
      </c>
      <c r="BV145" s="162"/>
      <c r="BW145" s="162"/>
      <c r="BX145" s="267">
        <f t="shared" si="13"/>
        <v>100</v>
      </c>
      <c r="BY145" s="267">
        <f t="shared" si="14"/>
        <v>112.54</v>
      </c>
      <c r="BZ145" s="131">
        <f>BZ146+BZ150</f>
        <v>0</v>
      </c>
      <c r="CA145" s="162"/>
      <c r="CB145" s="162"/>
      <c r="CC145" s="131">
        <f>CC146+CC150</f>
        <v>112.54</v>
      </c>
      <c r="CD145" s="162"/>
      <c r="CE145" s="162"/>
      <c r="CF145" s="267">
        <f t="shared" si="15"/>
        <v>100</v>
      </c>
      <c r="CG145" s="267">
        <f t="shared" si="16"/>
        <v>112.54</v>
      </c>
      <c r="CH145" s="131">
        <f>CH146+CH150</f>
        <v>0</v>
      </c>
      <c r="CI145" s="162"/>
      <c r="CJ145" s="162"/>
      <c r="CK145" s="131">
        <f>CK146+CK150</f>
        <v>112.54</v>
      </c>
      <c r="CL145" s="162"/>
      <c r="CM145" s="162"/>
      <c r="CN145" s="267">
        <f t="shared" si="17"/>
        <v>100</v>
      </c>
      <c r="CO145" s="267">
        <f t="shared" si="18"/>
        <v>112.54</v>
      </c>
      <c r="CP145" s="92"/>
      <c r="CQ145" s="85"/>
      <c r="CR145" s="85"/>
      <c r="CS145" s="85"/>
      <c r="CT145" s="99" t="e">
        <f t="shared" si="19"/>
        <v>#REF!</v>
      </c>
      <c r="CU145" s="99">
        <f t="array" ref="CU145">BD145</f>
        <v>112.54</v>
      </c>
      <c r="CV145" s="101"/>
      <c r="CW145" s="101"/>
      <c r="CX145" s="101"/>
      <c r="CY145" s="101"/>
      <c r="CZ145" s="101"/>
      <c r="DA145" s="101"/>
      <c r="DB145" s="101"/>
    </row>
    <row r="146" spans="1:106" ht="14.25" customHeight="1" outlineLevel="3" x14ac:dyDescent="0.25">
      <c r="A146" s="2" t="b">
        <f t="array" ref="A146">A145</f>
        <v>1</v>
      </c>
      <c r="C146" s="154" t="s">
        <v>143</v>
      </c>
      <c r="D146" s="154" t="s">
        <v>144</v>
      </c>
      <c r="E146" s="154" t="s">
        <v>180</v>
      </c>
      <c r="F146" s="154" t="s">
        <v>75</v>
      </c>
      <c r="G146" s="154" t="s">
        <v>74</v>
      </c>
      <c r="H146" s="154" t="s">
        <v>74</v>
      </c>
      <c r="I146" s="154" t="s">
        <v>74</v>
      </c>
      <c r="J146" s="154" t="s">
        <v>74</v>
      </c>
      <c r="K146" s="154" t="s">
        <v>74</v>
      </c>
      <c r="L146" s="154"/>
      <c r="M146" s="8" t="str">
        <f t="array" ref="M146">Y107</f>
        <v>1ВО::1.1</v>
      </c>
      <c r="N146" s="154"/>
      <c r="AA146" s="107" t="str">
        <f>AA145&amp;".1"</f>
        <v>2.1.2.1</v>
      </c>
      <c r="AB146" s="175" t="s">
        <v>551</v>
      </c>
      <c r="AC146" s="156" t="s">
        <v>140</v>
      </c>
      <c r="AD146" s="131">
        <v>35763.563000000002</v>
      </c>
      <c r="AE146" s="131">
        <v>36105.560175916005</v>
      </c>
      <c r="AF146" s="131">
        <v>39019.356</v>
      </c>
      <c r="AG146" s="162"/>
      <c r="AH146" s="162"/>
      <c r="AI146" s="131">
        <f>AI147+AI148+AI149</f>
        <v>38930.701109780101</v>
      </c>
      <c r="AJ146" s="162"/>
      <c r="AK146" s="162"/>
      <c r="AL146" s="162"/>
      <c r="AM146" s="162"/>
      <c r="AN146" s="131">
        <f>AN147+AN148+AN149</f>
        <v>37979.048672999998</v>
      </c>
      <c r="AO146" s="131">
        <v>37514.57</v>
      </c>
      <c r="AP146" s="162"/>
      <c r="AQ146" s="162"/>
      <c r="AR146" s="131">
        <f>AR147+AR148+AR149</f>
        <v>37514.57</v>
      </c>
      <c r="AS146" s="162"/>
      <c r="AT146" s="162"/>
      <c r="AU146" s="131">
        <f>AU147+AU148+AU149</f>
        <v>0</v>
      </c>
      <c r="AV146" s="131">
        <v>37514.57</v>
      </c>
      <c r="AW146" s="162"/>
      <c r="AX146" s="162"/>
      <c r="AY146" s="131">
        <f>AY147+AY148+AY149</f>
        <v>37514.57</v>
      </c>
      <c r="AZ146" s="162"/>
      <c r="BA146" s="162"/>
      <c r="BB146" s="162"/>
      <c r="BC146" s="162"/>
      <c r="BD146" s="131">
        <f>BD147+BD148+BD149</f>
        <v>0</v>
      </c>
      <c r="BE146" s="162"/>
      <c r="BF146" s="162"/>
      <c r="BG146" s="267">
        <f t="shared" si="9"/>
        <v>0</v>
      </c>
      <c r="BH146" s="267" t="e">
        <f>BD146-#REF!</f>
        <v>#REF!</v>
      </c>
      <c r="BI146" s="267">
        <f t="shared" si="10"/>
        <v>-37514.57</v>
      </c>
      <c r="BJ146" s="131">
        <f>BJ147+BJ148+BJ149</f>
        <v>0</v>
      </c>
      <c r="BK146" s="162"/>
      <c r="BL146" s="162"/>
      <c r="BM146" s="131">
        <f>BM147+BM148+BM149</f>
        <v>0</v>
      </c>
      <c r="BN146" s="162"/>
      <c r="BO146" s="162"/>
      <c r="BP146" s="267">
        <f t="shared" si="11"/>
        <v>0</v>
      </c>
      <c r="BQ146" s="267">
        <f t="shared" si="12"/>
        <v>0</v>
      </c>
      <c r="BR146" s="131">
        <f>BR147+BR148+BR149</f>
        <v>0</v>
      </c>
      <c r="BS146" s="162"/>
      <c r="BT146" s="162"/>
      <c r="BU146" s="131">
        <f>BU147+BU148+BU149</f>
        <v>0</v>
      </c>
      <c r="BV146" s="162"/>
      <c r="BW146" s="162"/>
      <c r="BX146" s="267">
        <f t="shared" si="13"/>
        <v>0</v>
      </c>
      <c r="BY146" s="267">
        <f t="shared" si="14"/>
        <v>0</v>
      </c>
      <c r="BZ146" s="131">
        <f>BZ147+BZ148+BZ149</f>
        <v>0</v>
      </c>
      <c r="CA146" s="162"/>
      <c r="CB146" s="162"/>
      <c r="CC146" s="131">
        <f>CC147+CC148+CC149</f>
        <v>0</v>
      </c>
      <c r="CD146" s="162"/>
      <c r="CE146" s="162"/>
      <c r="CF146" s="267">
        <f t="shared" si="15"/>
        <v>0</v>
      </c>
      <c r="CG146" s="267">
        <f t="shared" si="16"/>
        <v>0</v>
      </c>
      <c r="CH146" s="131">
        <f>CH147+CH148+CH149</f>
        <v>0</v>
      </c>
      <c r="CI146" s="162"/>
      <c r="CJ146" s="162"/>
      <c r="CK146" s="131">
        <f>CK147+CK148+CK149</f>
        <v>0</v>
      </c>
      <c r="CL146" s="162"/>
      <c r="CM146" s="162"/>
      <c r="CN146" s="267">
        <f t="shared" si="17"/>
        <v>0</v>
      </c>
      <c r="CO146" s="267">
        <f t="shared" si="18"/>
        <v>0</v>
      </c>
      <c r="CP146" s="92"/>
      <c r="CQ146" s="85"/>
      <c r="CR146" s="85"/>
      <c r="CS146" s="85"/>
      <c r="CT146" s="99" t="e">
        <f t="shared" si="19"/>
        <v>#REF!</v>
      </c>
      <c r="CU146" s="99">
        <f t="array" ref="CU146">BD146</f>
        <v>0</v>
      </c>
      <c r="CV146" s="101"/>
      <c r="CW146" s="101"/>
      <c r="CX146" s="101"/>
      <c r="CY146" s="101"/>
      <c r="CZ146" s="101"/>
      <c r="DA146" s="101"/>
      <c r="DB146" s="101"/>
    </row>
    <row r="147" spans="1:106" ht="14.25" customHeight="1" outlineLevel="3" x14ac:dyDescent="0.25">
      <c r="A147" s="2" t="b">
        <f t="array" ref="A147">A146</f>
        <v>1</v>
      </c>
      <c r="C147" s="154" t="s">
        <v>143</v>
      </c>
      <c r="D147" s="154" t="s">
        <v>144</v>
      </c>
      <c r="E147" s="154" t="s">
        <v>181</v>
      </c>
      <c r="F147" s="154" t="s">
        <v>75</v>
      </c>
      <c r="G147" s="154" t="s">
        <v>74</v>
      </c>
      <c r="H147" s="154" t="s">
        <v>74</v>
      </c>
      <c r="I147" s="154" t="s">
        <v>74</v>
      </c>
      <c r="J147" s="154" t="s">
        <v>74</v>
      </c>
      <c r="K147" s="154" t="s">
        <v>74</v>
      </c>
      <c r="L147" s="154"/>
      <c r="M147" s="8" t="str">
        <f t="array" ref="M147">Y107</f>
        <v>1ВО::1.1</v>
      </c>
      <c r="N147" s="154"/>
      <c r="AA147" s="107" t="str">
        <f>AA146&amp;".1"</f>
        <v>2.1.2.1.1</v>
      </c>
      <c r="AB147" s="343" t="s">
        <v>181</v>
      </c>
      <c r="AC147" s="156" t="s">
        <v>140</v>
      </c>
      <c r="AD147" s="158">
        <v>3205.1109999999999</v>
      </c>
      <c r="AE147" s="158">
        <v>3218.5790000000002</v>
      </c>
      <c r="AF147" s="158">
        <v>3009.5329999999999</v>
      </c>
      <c r="AG147" s="165"/>
      <c r="AH147" s="165"/>
      <c r="AI147" s="158">
        <f>1*'[1]Объемы ВО'!BO103</f>
        <v>3469.6916438520998</v>
      </c>
      <c r="AJ147" s="165"/>
      <c r="AK147" s="165"/>
      <c r="AL147" s="165"/>
      <c r="AM147" s="165"/>
      <c r="AN147" s="158">
        <f>1*'[1]Объемы ВО'!BW103</f>
        <v>2980.677995</v>
      </c>
      <c r="AO147" s="158">
        <v>2716.33</v>
      </c>
      <c r="AP147" s="165"/>
      <c r="AQ147" s="165"/>
      <c r="AR147" s="158">
        <f>1*'[1]Объемы ВО'!CC103</f>
        <v>2716.33</v>
      </c>
      <c r="AS147" s="165"/>
      <c r="AT147" s="165"/>
      <c r="AU147" s="158">
        <f>1*'[1]Объемы ВО'!CJ103</f>
        <v>0</v>
      </c>
      <c r="AV147" s="158">
        <v>2716.33</v>
      </c>
      <c r="AW147" s="165"/>
      <c r="AX147" s="165"/>
      <c r="AY147" s="158">
        <f>1*'[1]Объемы ВО'!CP103</f>
        <v>2716.33</v>
      </c>
      <c r="AZ147" s="165"/>
      <c r="BA147" s="165"/>
      <c r="BB147" s="165"/>
      <c r="BC147" s="165"/>
      <c r="BD147" s="158">
        <f>1*'[1]Объемы ВО'!DI103</f>
        <v>0</v>
      </c>
      <c r="BE147" s="165"/>
      <c r="BF147" s="165"/>
      <c r="BG147" s="267">
        <f t="shared" si="9"/>
        <v>0</v>
      </c>
      <c r="BH147" s="267" t="e">
        <f>BD147-#REF!</f>
        <v>#REF!</v>
      </c>
      <c r="BI147" s="267">
        <f t="shared" si="10"/>
        <v>-2716.33</v>
      </c>
      <c r="BJ147" s="158">
        <f>1*'[1]Объемы ВО'!CV103</f>
        <v>0</v>
      </c>
      <c r="BK147" s="165"/>
      <c r="BL147" s="165"/>
      <c r="BM147" s="158">
        <f>1*'[1]Объемы ВО'!DL103</f>
        <v>0</v>
      </c>
      <c r="BN147" s="165"/>
      <c r="BO147" s="165"/>
      <c r="BP147" s="267">
        <f t="shared" si="11"/>
        <v>0</v>
      </c>
      <c r="BQ147" s="267">
        <f t="shared" si="12"/>
        <v>0</v>
      </c>
      <c r="BR147" s="158">
        <f>1*'[1]Объемы ВО'!CY103</f>
        <v>0</v>
      </c>
      <c r="BS147" s="165"/>
      <c r="BT147" s="165"/>
      <c r="BU147" s="158">
        <f>1*'[1]Объемы ВО'!DO103</f>
        <v>0</v>
      </c>
      <c r="BV147" s="165"/>
      <c r="BW147" s="165"/>
      <c r="BX147" s="267">
        <f t="shared" si="13"/>
        <v>0</v>
      </c>
      <c r="BY147" s="267">
        <f t="shared" si="14"/>
        <v>0</v>
      </c>
      <c r="BZ147" s="158">
        <f>1*'[1]Объемы ВО'!DB103</f>
        <v>0</v>
      </c>
      <c r="CA147" s="165"/>
      <c r="CB147" s="165"/>
      <c r="CC147" s="158">
        <f>1*'[1]Объемы ВО'!DR103</f>
        <v>0</v>
      </c>
      <c r="CD147" s="165"/>
      <c r="CE147" s="165"/>
      <c r="CF147" s="267">
        <f t="shared" si="15"/>
        <v>0</v>
      </c>
      <c r="CG147" s="267">
        <f t="shared" si="16"/>
        <v>0</v>
      </c>
      <c r="CH147" s="158">
        <f>1*'[1]Объемы ВО'!DE103</f>
        <v>0</v>
      </c>
      <c r="CI147" s="165"/>
      <c r="CJ147" s="165"/>
      <c r="CK147" s="158">
        <f>1*'[1]Объемы ВО'!DU103</f>
        <v>0</v>
      </c>
      <c r="CL147" s="165"/>
      <c r="CM147" s="165"/>
      <c r="CN147" s="267">
        <f t="shared" si="17"/>
        <v>0</v>
      </c>
      <c r="CO147" s="267">
        <f t="shared" si="18"/>
        <v>0</v>
      </c>
      <c r="CP147" s="92"/>
      <c r="CQ147" s="85"/>
      <c r="CR147" s="85"/>
      <c r="CS147" s="85"/>
      <c r="CT147" s="99" t="e">
        <f t="shared" si="19"/>
        <v>#REF!</v>
      </c>
      <c r="CU147" s="99">
        <f t="array" ref="CU147">BD147</f>
        <v>0</v>
      </c>
      <c r="CV147" s="101"/>
      <c r="CW147" s="101"/>
      <c r="CX147" s="101"/>
      <c r="CY147" s="101"/>
      <c r="CZ147" s="101"/>
      <c r="DA147" s="101"/>
      <c r="DB147" s="101"/>
    </row>
    <row r="148" spans="1:106" ht="14.25" customHeight="1" outlineLevel="3" x14ac:dyDescent="0.25">
      <c r="A148" s="2" t="b">
        <f t="array" ref="A148">A147</f>
        <v>1</v>
      </c>
      <c r="C148" s="154" t="s">
        <v>143</v>
      </c>
      <c r="D148" s="154" t="s">
        <v>144</v>
      </c>
      <c r="E148" s="154" t="s">
        <v>182</v>
      </c>
      <c r="F148" s="154" t="s">
        <v>75</v>
      </c>
      <c r="G148" s="154" t="s">
        <v>74</v>
      </c>
      <c r="H148" s="154" t="s">
        <v>74</v>
      </c>
      <c r="I148" s="154" t="s">
        <v>74</v>
      </c>
      <c r="J148" s="154" t="s">
        <v>74</v>
      </c>
      <c r="K148" s="154" t="s">
        <v>74</v>
      </c>
      <c r="L148" s="154"/>
      <c r="M148" s="8" t="str">
        <f t="array" ref="M148">Y107</f>
        <v>1ВО::1.1</v>
      </c>
      <c r="N148" s="154"/>
      <c r="AA148" s="107" t="str">
        <f>AA146&amp;".2"</f>
        <v>2.1.2.1.2</v>
      </c>
      <c r="AB148" s="343" t="s">
        <v>552</v>
      </c>
      <c r="AC148" s="156" t="s">
        <v>140</v>
      </c>
      <c r="AD148" s="158">
        <v>28083.595000000001</v>
      </c>
      <c r="AE148" s="158">
        <v>28364.431</v>
      </c>
      <c r="AF148" s="158">
        <v>30921.477999999999</v>
      </c>
      <c r="AG148" s="165"/>
      <c r="AH148" s="165"/>
      <c r="AI148" s="158">
        <f>1*'[1]Объемы ВО'!BO106</f>
        <v>30577.416065698199</v>
      </c>
      <c r="AJ148" s="165"/>
      <c r="AK148" s="165"/>
      <c r="AL148" s="165"/>
      <c r="AM148" s="165"/>
      <c r="AN148" s="158">
        <f>1*'[1]Объемы ВО'!BW106</f>
        <v>30125.443455000001</v>
      </c>
      <c r="AO148" s="158">
        <v>29958.87</v>
      </c>
      <c r="AP148" s="165"/>
      <c r="AQ148" s="165"/>
      <c r="AR148" s="158">
        <f>1*'[1]Объемы ВО'!CC106</f>
        <v>29958.87</v>
      </c>
      <c r="AS148" s="165"/>
      <c r="AT148" s="165"/>
      <c r="AU148" s="158">
        <f>1*'[1]Объемы ВО'!CJ106</f>
        <v>0</v>
      </c>
      <c r="AV148" s="158">
        <v>29958.87</v>
      </c>
      <c r="AW148" s="165"/>
      <c r="AX148" s="165"/>
      <c r="AY148" s="158">
        <f>1*'[1]Объемы ВО'!CP106</f>
        <v>29958.87</v>
      </c>
      <c r="AZ148" s="165"/>
      <c r="BA148" s="165"/>
      <c r="BB148" s="165"/>
      <c r="BC148" s="165"/>
      <c r="BD148" s="158">
        <f>1*'[1]Объемы ВО'!DI106</f>
        <v>0</v>
      </c>
      <c r="BE148" s="165"/>
      <c r="BF148" s="165"/>
      <c r="BG148" s="267">
        <f t="shared" si="9"/>
        <v>0</v>
      </c>
      <c r="BH148" s="267" t="e">
        <f>BD148-#REF!</f>
        <v>#REF!</v>
      </c>
      <c r="BI148" s="267">
        <f t="shared" si="10"/>
        <v>-29958.87</v>
      </c>
      <c r="BJ148" s="158">
        <f>1*'[1]Объемы ВО'!CV106</f>
        <v>0</v>
      </c>
      <c r="BK148" s="165"/>
      <c r="BL148" s="165"/>
      <c r="BM148" s="158">
        <f>1*'[1]Объемы ВО'!DL106</f>
        <v>0</v>
      </c>
      <c r="BN148" s="165"/>
      <c r="BO148" s="165"/>
      <c r="BP148" s="267">
        <f t="shared" si="11"/>
        <v>0</v>
      </c>
      <c r="BQ148" s="267">
        <f t="shared" si="12"/>
        <v>0</v>
      </c>
      <c r="BR148" s="158">
        <f>1*'[1]Объемы ВО'!CY106</f>
        <v>0</v>
      </c>
      <c r="BS148" s="165"/>
      <c r="BT148" s="165"/>
      <c r="BU148" s="158">
        <f>1*'[1]Объемы ВО'!DO106</f>
        <v>0</v>
      </c>
      <c r="BV148" s="165"/>
      <c r="BW148" s="165"/>
      <c r="BX148" s="267">
        <f t="shared" si="13"/>
        <v>0</v>
      </c>
      <c r="BY148" s="267">
        <f t="shared" si="14"/>
        <v>0</v>
      </c>
      <c r="BZ148" s="158">
        <f>1*'[1]Объемы ВО'!DB106</f>
        <v>0</v>
      </c>
      <c r="CA148" s="165"/>
      <c r="CB148" s="165"/>
      <c r="CC148" s="158">
        <f>1*'[1]Объемы ВО'!DR106</f>
        <v>0</v>
      </c>
      <c r="CD148" s="165"/>
      <c r="CE148" s="165"/>
      <c r="CF148" s="267">
        <f t="shared" si="15"/>
        <v>0</v>
      </c>
      <c r="CG148" s="267">
        <f t="shared" si="16"/>
        <v>0</v>
      </c>
      <c r="CH148" s="158">
        <f>1*'[1]Объемы ВО'!DE106</f>
        <v>0</v>
      </c>
      <c r="CI148" s="165"/>
      <c r="CJ148" s="165"/>
      <c r="CK148" s="158">
        <f>1*'[1]Объемы ВО'!DU106</f>
        <v>0</v>
      </c>
      <c r="CL148" s="165"/>
      <c r="CM148" s="165"/>
      <c r="CN148" s="267">
        <f t="shared" si="17"/>
        <v>0</v>
      </c>
      <c r="CO148" s="267">
        <f t="shared" si="18"/>
        <v>0</v>
      </c>
      <c r="CP148" s="92"/>
      <c r="CQ148" s="85"/>
      <c r="CR148" s="85"/>
      <c r="CS148" s="85"/>
      <c r="CT148" s="99" t="e">
        <f t="shared" si="19"/>
        <v>#REF!</v>
      </c>
      <c r="CU148" s="99">
        <f t="array" ref="CU148">BD148</f>
        <v>0</v>
      </c>
      <c r="CV148" s="101"/>
      <c r="CW148" s="101"/>
      <c r="CX148" s="101"/>
      <c r="CY148" s="101"/>
      <c r="CZ148" s="101"/>
      <c r="DA148" s="101"/>
      <c r="DB148" s="101"/>
    </row>
    <row r="149" spans="1:106" ht="14.25" customHeight="1" outlineLevel="3" x14ac:dyDescent="0.25">
      <c r="A149" s="2" t="b">
        <f t="array" ref="A149">A148</f>
        <v>1</v>
      </c>
      <c r="C149" s="154" t="s">
        <v>143</v>
      </c>
      <c r="D149" s="154" t="s">
        <v>144</v>
      </c>
      <c r="E149" s="154" t="s">
        <v>183</v>
      </c>
      <c r="F149" s="154" t="s">
        <v>75</v>
      </c>
      <c r="G149" s="154" t="s">
        <v>74</v>
      </c>
      <c r="H149" s="154" t="s">
        <v>74</v>
      </c>
      <c r="I149" s="154" t="s">
        <v>74</v>
      </c>
      <c r="J149" s="154" t="s">
        <v>74</v>
      </c>
      <c r="K149" s="154" t="s">
        <v>74</v>
      </c>
      <c r="L149" s="154"/>
      <c r="M149" s="8" t="str">
        <f t="array" ref="M149">Y107</f>
        <v>1ВО::1.1</v>
      </c>
      <c r="N149" s="154"/>
      <c r="AA149" s="107" t="str">
        <f>AA146&amp;".3"</f>
        <v>2.1.2.1.3</v>
      </c>
      <c r="AB149" s="343" t="s">
        <v>183</v>
      </c>
      <c r="AC149" s="156" t="s">
        <v>140</v>
      </c>
      <c r="AD149" s="158">
        <v>4474.857</v>
      </c>
      <c r="AE149" s="158">
        <v>4522.5501759159997</v>
      </c>
      <c r="AF149" s="158">
        <v>5088.3450000000003</v>
      </c>
      <c r="AG149" s="165"/>
      <c r="AH149" s="165"/>
      <c r="AI149" s="158">
        <f>1*'[1]Объемы ВО'!BO111</f>
        <v>4883.5934002298</v>
      </c>
      <c r="AJ149" s="165"/>
      <c r="AK149" s="165"/>
      <c r="AL149" s="165"/>
      <c r="AM149" s="165"/>
      <c r="AN149" s="158">
        <f>1*'[1]Объемы ВО'!BW111</f>
        <v>4872.9272230000006</v>
      </c>
      <c r="AO149" s="158">
        <v>4839.37</v>
      </c>
      <c r="AP149" s="165"/>
      <c r="AQ149" s="165"/>
      <c r="AR149" s="158">
        <f>1*'[1]Объемы ВО'!CC111</f>
        <v>4839.37</v>
      </c>
      <c r="AS149" s="165"/>
      <c r="AT149" s="165"/>
      <c r="AU149" s="158">
        <f>1*'[1]Объемы ВО'!CJ111</f>
        <v>0</v>
      </c>
      <c r="AV149" s="158">
        <v>4839.37</v>
      </c>
      <c r="AW149" s="165"/>
      <c r="AX149" s="165"/>
      <c r="AY149" s="158">
        <f>1*'[1]Объемы ВО'!CP111</f>
        <v>4839.37</v>
      </c>
      <c r="AZ149" s="165"/>
      <c r="BA149" s="165"/>
      <c r="BB149" s="165"/>
      <c r="BC149" s="165"/>
      <c r="BD149" s="158">
        <f>1*'[1]Объемы ВО'!DI111</f>
        <v>0</v>
      </c>
      <c r="BE149" s="165"/>
      <c r="BF149" s="165"/>
      <c r="BG149" s="267">
        <f t="shared" si="9"/>
        <v>0</v>
      </c>
      <c r="BH149" s="267" t="e">
        <f>BD149-#REF!</f>
        <v>#REF!</v>
      </c>
      <c r="BI149" s="267">
        <f t="shared" si="10"/>
        <v>-4839.37</v>
      </c>
      <c r="BJ149" s="158">
        <f>1*'[1]Объемы ВО'!CV111</f>
        <v>0</v>
      </c>
      <c r="BK149" s="165"/>
      <c r="BL149" s="165"/>
      <c r="BM149" s="158">
        <f>1*'[1]Объемы ВО'!DL111</f>
        <v>0</v>
      </c>
      <c r="BN149" s="165"/>
      <c r="BO149" s="165"/>
      <c r="BP149" s="267">
        <f t="shared" si="11"/>
        <v>0</v>
      </c>
      <c r="BQ149" s="267">
        <f t="shared" si="12"/>
        <v>0</v>
      </c>
      <c r="BR149" s="158">
        <f>1*'[1]Объемы ВО'!CY111</f>
        <v>0</v>
      </c>
      <c r="BS149" s="165"/>
      <c r="BT149" s="165"/>
      <c r="BU149" s="158">
        <f>1*'[1]Объемы ВО'!DO111</f>
        <v>0</v>
      </c>
      <c r="BV149" s="165"/>
      <c r="BW149" s="165"/>
      <c r="BX149" s="267">
        <f t="shared" si="13"/>
        <v>0</v>
      </c>
      <c r="BY149" s="267">
        <f t="shared" si="14"/>
        <v>0</v>
      </c>
      <c r="BZ149" s="158">
        <f>1*'[1]Объемы ВО'!DB111</f>
        <v>0</v>
      </c>
      <c r="CA149" s="165"/>
      <c r="CB149" s="165"/>
      <c r="CC149" s="158">
        <f>1*'[1]Объемы ВО'!DR111</f>
        <v>0</v>
      </c>
      <c r="CD149" s="165"/>
      <c r="CE149" s="165"/>
      <c r="CF149" s="267">
        <f t="shared" si="15"/>
        <v>0</v>
      </c>
      <c r="CG149" s="267">
        <f t="shared" si="16"/>
        <v>0</v>
      </c>
      <c r="CH149" s="158">
        <f>1*'[1]Объемы ВО'!DE111</f>
        <v>0</v>
      </c>
      <c r="CI149" s="165"/>
      <c r="CJ149" s="165"/>
      <c r="CK149" s="158">
        <f>1*'[1]Объемы ВО'!DU111</f>
        <v>0</v>
      </c>
      <c r="CL149" s="165"/>
      <c r="CM149" s="165"/>
      <c r="CN149" s="267">
        <f t="shared" si="17"/>
        <v>0</v>
      </c>
      <c r="CO149" s="267">
        <f t="shared" si="18"/>
        <v>0</v>
      </c>
      <c r="CP149" s="92"/>
      <c r="CQ149" s="85"/>
      <c r="CR149" s="85"/>
      <c r="CS149" s="85"/>
      <c r="CT149" s="99" t="e">
        <f t="shared" si="19"/>
        <v>#REF!</v>
      </c>
      <c r="CU149" s="99">
        <f t="array" ref="CU149">BD149</f>
        <v>0</v>
      </c>
      <c r="CV149" s="101"/>
      <c r="CW149" s="101"/>
      <c r="CX149" s="101"/>
      <c r="CY149" s="101"/>
      <c r="CZ149" s="101"/>
      <c r="DA149" s="101"/>
      <c r="DB149" s="101"/>
    </row>
    <row r="150" spans="1:106" ht="14.25" customHeight="1" outlineLevel="3" x14ac:dyDescent="0.25">
      <c r="A150" s="2" t="b">
        <f t="array" ref="A150">A149</f>
        <v>1</v>
      </c>
      <c r="C150" s="154" t="s">
        <v>143</v>
      </c>
      <c r="D150" s="154" t="s">
        <v>144</v>
      </c>
      <c r="E150" s="154" t="s">
        <v>184</v>
      </c>
      <c r="F150" s="154" t="s">
        <v>75</v>
      </c>
      <c r="G150" s="154" t="s">
        <v>74</v>
      </c>
      <c r="H150" s="154" t="s">
        <v>74</v>
      </c>
      <c r="I150" s="154" t="s">
        <v>74</v>
      </c>
      <c r="J150" s="154" t="s">
        <v>74</v>
      </c>
      <c r="K150" s="154" t="s">
        <v>74</v>
      </c>
      <c r="L150" s="154"/>
      <c r="M150" s="8" t="str">
        <f t="array" ref="M150">Y107</f>
        <v>1ВО::1.1</v>
      </c>
      <c r="N150" s="154"/>
      <c r="AA150" s="107" t="str">
        <f>AA145&amp;".2"</f>
        <v>2.1.2.2</v>
      </c>
      <c r="AB150" s="175" t="s">
        <v>184</v>
      </c>
      <c r="AC150" s="156" t="s">
        <v>140</v>
      </c>
      <c r="AD150" s="158">
        <v>96.85</v>
      </c>
      <c r="AE150" s="158">
        <v>96.85</v>
      </c>
      <c r="AF150" s="158">
        <v>0</v>
      </c>
      <c r="AG150" s="165"/>
      <c r="AH150" s="165"/>
      <c r="AI150" s="158">
        <f>1*'[1]Объемы ВО'!BO114</f>
        <v>96.85</v>
      </c>
      <c r="AJ150" s="165"/>
      <c r="AK150" s="165"/>
      <c r="AL150" s="165"/>
      <c r="AM150" s="165"/>
      <c r="AN150" s="158">
        <f>1*'[1]Объемы ВО'!BW114</f>
        <v>178.74299999999999</v>
      </c>
      <c r="AO150" s="158">
        <v>96.85</v>
      </c>
      <c r="AP150" s="165"/>
      <c r="AQ150" s="165"/>
      <c r="AR150" s="158">
        <f>1*'[1]Объемы ВО'!CC114</f>
        <v>96.85</v>
      </c>
      <c r="AS150" s="165"/>
      <c r="AT150" s="165"/>
      <c r="AU150" s="158">
        <f>1*'[1]Объемы ВО'!CJ114</f>
        <v>112.012</v>
      </c>
      <c r="AV150" s="158">
        <v>96.85</v>
      </c>
      <c r="AW150" s="165"/>
      <c r="AX150" s="165"/>
      <c r="AY150" s="158">
        <f>1*'[1]Объемы ВО'!CP114</f>
        <v>96.85</v>
      </c>
      <c r="AZ150" s="165"/>
      <c r="BA150" s="165"/>
      <c r="BB150" s="165"/>
      <c r="BC150" s="165"/>
      <c r="BD150" s="158">
        <f>1*'[1]Объемы ВО'!DI114</f>
        <v>112.54</v>
      </c>
      <c r="BE150" s="165"/>
      <c r="BF150" s="165"/>
      <c r="BG150" s="267">
        <f t="shared" si="9"/>
        <v>116.20030975735676</v>
      </c>
      <c r="BH150" s="267" t="e">
        <f>BD150-#REF!</f>
        <v>#REF!</v>
      </c>
      <c r="BI150" s="267">
        <f t="shared" si="10"/>
        <v>15.690000000000012</v>
      </c>
      <c r="BJ150" s="158">
        <f>1*'[1]Объемы ВО'!CV114</f>
        <v>0</v>
      </c>
      <c r="BK150" s="165"/>
      <c r="BL150" s="165"/>
      <c r="BM150" s="158">
        <f>1*'[1]Объемы ВО'!DL114</f>
        <v>112.54</v>
      </c>
      <c r="BN150" s="165"/>
      <c r="BO150" s="165"/>
      <c r="BP150" s="267">
        <f t="shared" si="11"/>
        <v>100</v>
      </c>
      <c r="BQ150" s="267">
        <f t="shared" si="12"/>
        <v>112.54</v>
      </c>
      <c r="BR150" s="158">
        <f>1*'[1]Объемы ВО'!CY114</f>
        <v>0</v>
      </c>
      <c r="BS150" s="165"/>
      <c r="BT150" s="165"/>
      <c r="BU150" s="158">
        <f>1*'[1]Объемы ВО'!DO114</f>
        <v>112.54</v>
      </c>
      <c r="BV150" s="165"/>
      <c r="BW150" s="165"/>
      <c r="BX150" s="267">
        <f t="shared" si="13"/>
        <v>100</v>
      </c>
      <c r="BY150" s="267">
        <f t="shared" si="14"/>
        <v>112.54</v>
      </c>
      <c r="BZ150" s="158">
        <f>1*'[1]Объемы ВО'!DB114</f>
        <v>0</v>
      </c>
      <c r="CA150" s="165"/>
      <c r="CB150" s="165"/>
      <c r="CC150" s="158">
        <f>1*'[1]Объемы ВО'!DR114</f>
        <v>112.54</v>
      </c>
      <c r="CD150" s="165"/>
      <c r="CE150" s="165"/>
      <c r="CF150" s="267">
        <f t="shared" si="15"/>
        <v>100</v>
      </c>
      <c r="CG150" s="267">
        <f t="shared" si="16"/>
        <v>112.54</v>
      </c>
      <c r="CH150" s="158">
        <f>1*'[1]Объемы ВО'!DE114</f>
        <v>0</v>
      </c>
      <c r="CI150" s="165"/>
      <c r="CJ150" s="165"/>
      <c r="CK150" s="158">
        <f>1*'[1]Объемы ВО'!DU114</f>
        <v>112.54</v>
      </c>
      <c r="CL150" s="165"/>
      <c r="CM150" s="165"/>
      <c r="CN150" s="267">
        <f t="shared" si="17"/>
        <v>100</v>
      </c>
      <c r="CO150" s="267">
        <f t="shared" si="18"/>
        <v>112.54</v>
      </c>
      <c r="CP150" s="92"/>
      <c r="CQ150" s="85"/>
      <c r="CR150" s="85"/>
      <c r="CS150" s="85"/>
      <c r="CT150" s="99" t="e">
        <f t="shared" si="19"/>
        <v>#REF!</v>
      </c>
      <c r="CU150" s="99">
        <f t="array" ref="CU150">BD150</f>
        <v>112.54</v>
      </c>
      <c r="CV150" s="101"/>
      <c r="CW150" s="101"/>
      <c r="CX150" s="101"/>
      <c r="CY150" s="101"/>
      <c r="CZ150" s="101"/>
      <c r="DA150" s="101"/>
      <c r="DB150" s="101"/>
    </row>
    <row r="151" spans="1:106" ht="14.25" customHeight="1" outlineLevel="3" x14ac:dyDescent="0.25">
      <c r="A151" s="2" t="b">
        <f t="array" ref="A151">A150</f>
        <v>1</v>
      </c>
      <c r="C151" s="154" t="s">
        <v>143</v>
      </c>
      <c r="D151" s="154" t="s">
        <v>144</v>
      </c>
      <c r="E151" s="154" t="s">
        <v>185</v>
      </c>
      <c r="F151" s="154" t="s">
        <v>75</v>
      </c>
      <c r="G151" s="154" t="s">
        <v>74</v>
      </c>
      <c r="H151" s="154" t="s">
        <v>74</v>
      </c>
      <c r="I151" s="154" t="s">
        <v>74</v>
      </c>
      <c r="J151" s="154" t="s">
        <v>74</v>
      </c>
      <c r="K151" s="154" t="s">
        <v>74</v>
      </c>
      <c r="L151" s="154"/>
      <c r="M151" s="8" t="str">
        <f t="array" ref="M151">Y107</f>
        <v>1ВО::1.1</v>
      </c>
      <c r="N151" s="154"/>
      <c r="AA151" s="107" t="str">
        <f>AA145&amp;".3"</f>
        <v>2.1.2.3</v>
      </c>
      <c r="AB151" s="171" t="s">
        <v>553</v>
      </c>
      <c r="AC151" s="156" t="s">
        <v>140</v>
      </c>
      <c r="AD151" s="158">
        <v>14210.240589999999</v>
      </c>
      <c r="AE151" s="158">
        <v>13830.066824084</v>
      </c>
      <c r="AF151" s="158">
        <v>0</v>
      </c>
      <c r="AG151" s="165"/>
      <c r="AH151" s="165"/>
      <c r="AI151" s="158">
        <f>1*'[1]Объемы ВО'!BO119</f>
        <v>15931.075543749999</v>
      </c>
      <c r="AJ151" s="165"/>
      <c r="AK151" s="165"/>
      <c r="AL151" s="165"/>
      <c r="AM151" s="165"/>
      <c r="AN151" s="158">
        <f>1*'[1]Объемы ВО'!BW119</f>
        <v>23264.988000000001</v>
      </c>
      <c r="AO151" s="158">
        <v>15931.07554</v>
      </c>
      <c r="AP151" s="165"/>
      <c r="AQ151" s="165"/>
      <c r="AR151" s="158">
        <f>1*'[1]Объемы ВО'!CC119</f>
        <v>15931.07554</v>
      </c>
      <c r="AS151" s="165"/>
      <c r="AT151" s="165"/>
      <c r="AU151" s="158">
        <f>1*'[1]Объемы ВО'!CJ119</f>
        <v>0</v>
      </c>
      <c r="AV151" s="158">
        <v>15931.07554</v>
      </c>
      <c r="AW151" s="165"/>
      <c r="AX151" s="165"/>
      <c r="AY151" s="158">
        <f>1*'[1]Объемы ВО'!CP119</f>
        <v>15931.07554</v>
      </c>
      <c r="AZ151" s="165"/>
      <c r="BA151" s="165"/>
      <c r="BB151" s="165"/>
      <c r="BC151" s="165"/>
      <c r="BD151" s="158">
        <f>1*'[1]Объемы ВО'!DI119</f>
        <v>0</v>
      </c>
      <c r="BE151" s="165"/>
      <c r="BF151" s="165"/>
      <c r="BG151" s="267">
        <f t="shared" si="9"/>
        <v>0</v>
      </c>
      <c r="BH151" s="267" t="e">
        <f>BD151-#REF!</f>
        <v>#REF!</v>
      </c>
      <c r="BI151" s="267">
        <f t="shared" si="10"/>
        <v>-15931.07554</v>
      </c>
      <c r="BJ151" s="158">
        <f>1*'[1]Объемы ВО'!CV119</f>
        <v>0</v>
      </c>
      <c r="BK151" s="165"/>
      <c r="BL151" s="165"/>
      <c r="BM151" s="158">
        <f>1*'[1]Объемы ВО'!DL119</f>
        <v>0</v>
      </c>
      <c r="BN151" s="165"/>
      <c r="BO151" s="165"/>
      <c r="BP151" s="267">
        <f t="shared" si="11"/>
        <v>0</v>
      </c>
      <c r="BQ151" s="267">
        <f t="shared" si="12"/>
        <v>0</v>
      </c>
      <c r="BR151" s="158">
        <f>1*'[1]Объемы ВО'!CY119</f>
        <v>0</v>
      </c>
      <c r="BS151" s="165"/>
      <c r="BT151" s="165"/>
      <c r="BU151" s="158">
        <f>1*'[1]Объемы ВО'!DO119</f>
        <v>0</v>
      </c>
      <c r="BV151" s="165"/>
      <c r="BW151" s="165"/>
      <c r="BX151" s="267">
        <f t="shared" si="13"/>
        <v>0</v>
      </c>
      <c r="BY151" s="267">
        <f t="shared" si="14"/>
        <v>0</v>
      </c>
      <c r="BZ151" s="158">
        <f>1*'[1]Объемы ВО'!DB119</f>
        <v>0</v>
      </c>
      <c r="CA151" s="165"/>
      <c r="CB151" s="165"/>
      <c r="CC151" s="158">
        <f>1*'[1]Объемы ВО'!DR119</f>
        <v>0</v>
      </c>
      <c r="CD151" s="165"/>
      <c r="CE151" s="165"/>
      <c r="CF151" s="267">
        <f t="shared" si="15"/>
        <v>0</v>
      </c>
      <c r="CG151" s="267">
        <f t="shared" si="16"/>
        <v>0</v>
      </c>
      <c r="CH151" s="158">
        <f>1*'[1]Объемы ВО'!DE119</f>
        <v>0</v>
      </c>
      <c r="CI151" s="165"/>
      <c r="CJ151" s="165"/>
      <c r="CK151" s="158">
        <f>1*'[1]Объемы ВО'!DU119</f>
        <v>0</v>
      </c>
      <c r="CL151" s="165"/>
      <c r="CM151" s="165"/>
      <c r="CN151" s="267">
        <f t="shared" si="17"/>
        <v>0</v>
      </c>
      <c r="CO151" s="267">
        <f t="shared" si="18"/>
        <v>0</v>
      </c>
      <c r="CP151" s="92"/>
      <c r="CQ151" s="85"/>
      <c r="CR151" s="85"/>
      <c r="CS151" s="85"/>
      <c r="CT151" s="99" t="e">
        <f t="shared" si="19"/>
        <v>#REF!</v>
      </c>
      <c r="CU151" s="99">
        <f t="array" ref="CU151">BD151</f>
        <v>0</v>
      </c>
      <c r="CV151" s="101"/>
      <c r="CW151" s="101"/>
      <c r="CX151" s="101"/>
      <c r="CY151" s="101"/>
      <c r="CZ151" s="101"/>
      <c r="DA151" s="101"/>
      <c r="DB151" s="101"/>
    </row>
    <row r="152" spans="1:106" ht="14.25" customHeight="1" outlineLevel="3" x14ac:dyDescent="0.25">
      <c r="A152" s="2" t="b">
        <f t="array" ref="A152">A151</f>
        <v>1</v>
      </c>
      <c r="C152" s="154" t="s">
        <v>143</v>
      </c>
      <c r="D152" s="154" t="s">
        <v>144</v>
      </c>
      <c r="E152" s="154" t="s">
        <v>186</v>
      </c>
      <c r="F152" s="154" t="s">
        <v>75</v>
      </c>
      <c r="G152" s="154" t="s">
        <v>74</v>
      </c>
      <c r="H152" s="154" t="s">
        <v>74</v>
      </c>
      <c r="I152" s="154" t="s">
        <v>74</v>
      </c>
      <c r="J152" s="154" t="s">
        <v>74</v>
      </c>
      <c r="K152" s="154" t="s">
        <v>74</v>
      </c>
      <c r="L152" s="154"/>
      <c r="M152" s="8" t="str">
        <f t="array" ref="M152">Y107</f>
        <v>1ВО::1.1</v>
      </c>
      <c r="N152" s="154"/>
      <c r="AA152" s="107" t="str">
        <f>AA138&amp;".2"</f>
        <v>2.2</v>
      </c>
      <c r="AB152" s="161" t="s">
        <v>186</v>
      </c>
      <c r="AC152" s="156" t="s">
        <v>140</v>
      </c>
      <c r="AD152" s="158">
        <v>50107.448000000004</v>
      </c>
      <c r="AE152" s="158">
        <v>50066.424999999996</v>
      </c>
      <c r="AF152" s="158">
        <v>54922.272000000004</v>
      </c>
      <c r="AG152" s="165"/>
      <c r="AH152" s="165"/>
      <c r="AI152" s="158">
        <f>1*'[1]Объемы ВО'!BO123</f>
        <v>54997.446653530096</v>
      </c>
      <c r="AJ152" s="165"/>
      <c r="AK152" s="165"/>
      <c r="AL152" s="165"/>
      <c r="AM152" s="165"/>
      <c r="AN152" s="158">
        <f>1*'[1]Объемы ВО'!BW123</f>
        <v>58659.491999999998</v>
      </c>
      <c r="AO152" s="158">
        <v>50643.702130000005</v>
      </c>
      <c r="AP152" s="165"/>
      <c r="AQ152" s="165"/>
      <c r="AR152" s="158">
        <f>1*'[1]Объемы ВО'!CC123</f>
        <v>50643.702130000005</v>
      </c>
      <c r="AS152" s="165"/>
      <c r="AT152" s="165"/>
      <c r="AU152" s="158">
        <f>1*'[1]Объемы ВО'!CJ123</f>
        <v>0</v>
      </c>
      <c r="AV152" s="158">
        <v>50643.702130000005</v>
      </c>
      <c r="AW152" s="165"/>
      <c r="AX152" s="165"/>
      <c r="AY152" s="158">
        <f>1*'[1]Объемы ВО'!CP123</f>
        <v>50643.702130000005</v>
      </c>
      <c r="AZ152" s="165"/>
      <c r="BA152" s="165"/>
      <c r="BB152" s="165"/>
      <c r="BC152" s="165"/>
      <c r="BD152" s="158">
        <f>1*'[1]Объемы ВО'!DI123</f>
        <v>0</v>
      </c>
      <c r="BE152" s="165"/>
      <c r="BF152" s="165"/>
      <c r="BG152" s="267">
        <f t="shared" si="9"/>
        <v>0</v>
      </c>
      <c r="BH152" s="267" t="e">
        <f>BD152-#REF!</f>
        <v>#REF!</v>
      </c>
      <c r="BI152" s="267">
        <f t="shared" si="10"/>
        <v>-50643.702130000005</v>
      </c>
      <c r="BJ152" s="158">
        <f>1*'[1]Объемы ВО'!CV123</f>
        <v>0</v>
      </c>
      <c r="BK152" s="165"/>
      <c r="BL152" s="165"/>
      <c r="BM152" s="158">
        <f>1*'[1]Объемы ВО'!DL123</f>
        <v>0</v>
      </c>
      <c r="BN152" s="165"/>
      <c r="BO152" s="165"/>
      <c r="BP152" s="267">
        <f t="shared" si="11"/>
        <v>0</v>
      </c>
      <c r="BQ152" s="267">
        <f t="shared" si="12"/>
        <v>0</v>
      </c>
      <c r="BR152" s="158">
        <f>1*'[1]Объемы ВО'!CY123</f>
        <v>0</v>
      </c>
      <c r="BS152" s="165"/>
      <c r="BT152" s="165"/>
      <c r="BU152" s="158">
        <f>1*'[1]Объемы ВО'!DO123</f>
        <v>0</v>
      </c>
      <c r="BV152" s="165"/>
      <c r="BW152" s="165"/>
      <c r="BX152" s="267">
        <f t="shared" si="13"/>
        <v>0</v>
      </c>
      <c r="BY152" s="267">
        <f t="shared" si="14"/>
        <v>0</v>
      </c>
      <c r="BZ152" s="158">
        <f>1*'[1]Объемы ВО'!DB123</f>
        <v>0</v>
      </c>
      <c r="CA152" s="165"/>
      <c r="CB152" s="165"/>
      <c r="CC152" s="158">
        <f>1*'[1]Объемы ВО'!DR123</f>
        <v>0</v>
      </c>
      <c r="CD152" s="165"/>
      <c r="CE152" s="165"/>
      <c r="CF152" s="267">
        <f t="shared" si="15"/>
        <v>0</v>
      </c>
      <c r="CG152" s="267">
        <f t="shared" si="16"/>
        <v>0</v>
      </c>
      <c r="CH152" s="158">
        <f>1*'[1]Объемы ВО'!DE123</f>
        <v>0</v>
      </c>
      <c r="CI152" s="165"/>
      <c r="CJ152" s="165"/>
      <c r="CK152" s="158">
        <f>1*'[1]Объемы ВО'!DU123</f>
        <v>0</v>
      </c>
      <c r="CL152" s="165"/>
      <c r="CM152" s="165"/>
      <c r="CN152" s="267">
        <f t="shared" si="17"/>
        <v>0</v>
      </c>
      <c r="CO152" s="267">
        <f t="shared" si="18"/>
        <v>0</v>
      </c>
      <c r="CP152" s="92"/>
      <c r="CQ152" s="85"/>
      <c r="CR152" s="85"/>
      <c r="CS152" s="85"/>
      <c r="CT152" s="99" t="e">
        <f t="shared" si="19"/>
        <v>#REF!</v>
      </c>
      <c r="CU152" s="99">
        <f t="array" ref="CU152">BD152</f>
        <v>0</v>
      </c>
      <c r="CV152" s="101"/>
      <c r="CW152" s="101"/>
      <c r="CX152" s="101"/>
      <c r="CY152" s="101"/>
      <c r="CZ152" s="101"/>
      <c r="DA152" s="101"/>
      <c r="DB152" s="101"/>
    </row>
    <row r="153" spans="1:106" ht="14.25" customHeight="1" outlineLevel="3" x14ac:dyDescent="0.25">
      <c r="A153" s="2" t="b">
        <f t="array" ref="A153">A152</f>
        <v>1</v>
      </c>
      <c r="C153" s="154" t="s">
        <v>143</v>
      </c>
      <c r="D153" s="154" t="s">
        <v>144</v>
      </c>
      <c r="E153" s="154" t="s">
        <v>187</v>
      </c>
      <c r="F153" s="154" t="s">
        <v>75</v>
      </c>
      <c r="G153" s="154" t="s">
        <v>74</v>
      </c>
      <c r="H153" s="154" t="s">
        <v>74</v>
      </c>
      <c r="I153" s="154" t="s">
        <v>74</v>
      </c>
      <c r="J153" s="154" t="s">
        <v>74</v>
      </c>
      <c r="K153" s="154" t="s">
        <v>74</v>
      </c>
      <c r="L153" s="154"/>
      <c r="M153" s="8" t="str">
        <f t="array" ref="M153">Y107</f>
        <v>1ВО::1.1</v>
      </c>
      <c r="N153" s="154"/>
      <c r="AA153" s="107" t="str">
        <f>AA152&amp;".1"</f>
        <v>2.2.1</v>
      </c>
      <c r="AB153" s="171" t="s">
        <v>554</v>
      </c>
      <c r="AC153" s="156" t="s">
        <v>140</v>
      </c>
      <c r="AD153" s="158">
        <v>50073.442000000003</v>
      </c>
      <c r="AE153" s="158">
        <v>50032.476999999999</v>
      </c>
      <c r="AF153" s="158">
        <v>54894.112000000001</v>
      </c>
      <c r="AG153" s="165"/>
      <c r="AH153" s="165"/>
      <c r="AI153" s="158">
        <f>1*'[1]Объемы ВО'!BO124</f>
        <v>54941.126653530097</v>
      </c>
      <c r="AJ153" s="165"/>
      <c r="AK153" s="165"/>
      <c r="AL153" s="165"/>
      <c r="AM153" s="165"/>
      <c r="AN153" s="158">
        <f>1*'[1]Объемы ВО'!BW124</f>
        <v>58626.417000000001</v>
      </c>
      <c r="AO153" s="158">
        <v>50612.762130000003</v>
      </c>
      <c r="AP153" s="165"/>
      <c r="AQ153" s="165"/>
      <c r="AR153" s="158">
        <f>1*'[1]Объемы ВО'!CC124</f>
        <v>50612.762130000003</v>
      </c>
      <c r="AS153" s="165"/>
      <c r="AT153" s="165"/>
      <c r="AU153" s="158">
        <f>1*'[1]Объемы ВО'!CJ124</f>
        <v>0</v>
      </c>
      <c r="AV153" s="158">
        <v>50612.762130000003</v>
      </c>
      <c r="AW153" s="165"/>
      <c r="AX153" s="165"/>
      <c r="AY153" s="158">
        <f>1*'[1]Объемы ВО'!CP124</f>
        <v>50612.762130000003</v>
      </c>
      <c r="AZ153" s="165"/>
      <c r="BA153" s="165"/>
      <c r="BB153" s="165"/>
      <c r="BC153" s="165"/>
      <c r="BD153" s="158">
        <f>1*'[1]Объемы ВО'!DI124</f>
        <v>0</v>
      </c>
      <c r="BE153" s="165"/>
      <c r="BF153" s="165"/>
      <c r="BG153" s="267">
        <f t="shared" si="9"/>
        <v>0</v>
      </c>
      <c r="BH153" s="267" t="e">
        <f>BD153-#REF!</f>
        <v>#REF!</v>
      </c>
      <c r="BI153" s="267">
        <f t="shared" si="10"/>
        <v>-50612.762130000003</v>
      </c>
      <c r="BJ153" s="158">
        <f>1*'[1]Объемы ВО'!CV124</f>
        <v>0</v>
      </c>
      <c r="BK153" s="165"/>
      <c r="BL153" s="165"/>
      <c r="BM153" s="158">
        <f>1*'[1]Объемы ВО'!DL124</f>
        <v>0</v>
      </c>
      <c r="BN153" s="165"/>
      <c r="BO153" s="165"/>
      <c r="BP153" s="267">
        <f t="shared" si="11"/>
        <v>0</v>
      </c>
      <c r="BQ153" s="267">
        <f t="shared" si="12"/>
        <v>0</v>
      </c>
      <c r="BR153" s="158">
        <f>1*'[1]Объемы ВО'!CY124</f>
        <v>0</v>
      </c>
      <c r="BS153" s="165"/>
      <c r="BT153" s="165"/>
      <c r="BU153" s="158">
        <f>1*'[1]Объемы ВО'!DO124</f>
        <v>0</v>
      </c>
      <c r="BV153" s="165"/>
      <c r="BW153" s="165"/>
      <c r="BX153" s="267">
        <f t="shared" si="13"/>
        <v>0</v>
      </c>
      <c r="BY153" s="267">
        <f t="shared" si="14"/>
        <v>0</v>
      </c>
      <c r="BZ153" s="158">
        <f>1*'[1]Объемы ВО'!DB124</f>
        <v>0</v>
      </c>
      <c r="CA153" s="165"/>
      <c r="CB153" s="165"/>
      <c r="CC153" s="158">
        <f>1*'[1]Объемы ВО'!DR124</f>
        <v>0</v>
      </c>
      <c r="CD153" s="165"/>
      <c r="CE153" s="165"/>
      <c r="CF153" s="267">
        <f t="shared" si="15"/>
        <v>0</v>
      </c>
      <c r="CG153" s="267">
        <f t="shared" si="16"/>
        <v>0</v>
      </c>
      <c r="CH153" s="158">
        <f>1*'[1]Объемы ВО'!DE124</f>
        <v>0</v>
      </c>
      <c r="CI153" s="165"/>
      <c r="CJ153" s="165"/>
      <c r="CK153" s="158">
        <f>1*'[1]Объемы ВО'!DU124</f>
        <v>0</v>
      </c>
      <c r="CL153" s="165"/>
      <c r="CM153" s="165"/>
      <c r="CN153" s="267">
        <f t="shared" si="17"/>
        <v>0</v>
      </c>
      <c r="CO153" s="267">
        <f t="shared" si="18"/>
        <v>0</v>
      </c>
      <c r="CP153" s="92"/>
      <c r="CQ153" s="85"/>
      <c r="CR153" s="85"/>
      <c r="CS153" s="85"/>
      <c r="CT153" s="99" t="e">
        <f t="shared" si="19"/>
        <v>#REF!</v>
      </c>
      <c r="CU153" s="99">
        <f t="array" ref="CU153">BD153</f>
        <v>0</v>
      </c>
      <c r="CV153" s="101"/>
      <c r="CW153" s="101"/>
      <c r="CX153" s="101"/>
      <c r="CY153" s="101"/>
      <c r="CZ153" s="101"/>
      <c r="DA153" s="101"/>
      <c r="DB153" s="101"/>
    </row>
    <row r="154" spans="1:106" ht="14.25" customHeight="1" outlineLevel="3" x14ac:dyDescent="0.25">
      <c r="A154" s="2" t="b">
        <f t="array" ref="A154">A153</f>
        <v>1</v>
      </c>
      <c r="C154" s="154" t="s">
        <v>143</v>
      </c>
      <c r="D154" s="154" t="s">
        <v>144</v>
      </c>
      <c r="E154" s="154" t="s">
        <v>188</v>
      </c>
      <c r="F154" s="154" t="s">
        <v>75</v>
      </c>
      <c r="G154" s="154" t="s">
        <v>74</v>
      </c>
      <c r="H154" s="154" t="s">
        <v>74</v>
      </c>
      <c r="I154" s="154" t="s">
        <v>74</v>
      </c>
      <c r="J154" s="154" t="s">
        <v>74</v>
      </c>
      <c r="K154" s="154" t="s">
        <v>74</v>
      </c>
      <c r="L154" s="154"/>
      <c r="M154" s="8" t="str">
        <f t="array" ref="M154">Y107</f>
        <v>1ВО::1.1</v>
      </c>
      <c r="N154" s="154"/>
      <c r="AA154" s="107" t="str">
        <f>AA152&amp;".2"</f>
        <v>2.2.2</v>
      </c>
      <c r="AB154" s="171" t="s">
        <v>555</v>
      </c>
      <c r="AC154" s="156" t="s">
        <v>140</v>
      </c>
      <c r="AD154" s="158">
        <v>34.006</v>
      </c>
      <c r="AE154" s="158">
        <v>33.948</v>
      </c>
      <c r="AF154" s="158">
        <v>28.16</v>
      </c>
      <c r="AG154" s="165"/>
      <c r="AH154" s="165"/>
      <c r="AI154" s="158">
        <f>1*'[1]Объемы ВО'!BO125</f>
        <v>56.32</v>
      </c>
      <c r="AJ154" s="165"/>
      <c r="AK154" s="165"/>
      <c r="AL154" s="165"/>
      <c r="AM154" s="165"/>
      <c r="AN154" s="158">
        <f>1*'[1]Объемы ВО'!BW125</f>
        <v>33.075000000000003</v>
      </c>
      <c r="AO154" s="158">
        <v>30.94</v>
      </c>
      <c r="AP154" s="165"/>
      <c r="AQ154" s="165"/>
      <c r="AR154" s="158">
        <f>1*'[1]Объемы ВО'!CC125</f>
        <v>30.939999999999998</v>
      </c>
      <c r="AS154" s="165"/>
      <c r="AT154" s="165"/>
      <c r="AU154" s="158">
        <f>1*'[1]Объемы ВО'!CJ125</f>
        <v>0</v>
      </c>
      <c r="AV154" s="158">
        <v>30.94</v>
      </c>
      <c r="AW154" s="165"/>
      <c r="AX154" s="165"/>
      <c r="AY154" s="158">
        <f>1*'[1]Объемы ВО'!CP125</f>
        <v>30.939999999999998</v>
      </c>
      <c r="AZ154" s="165"/>
      <c r="BA154" s="165"/>
      <c r="BB154" s="165"/>
      <c r="BC154" s="165"/>
      <c r="BD154" s="158">
        <f>1*'[1]Объемы ВО'!DI125</f>
        <v>0</v>
      </c>
      <c r="BE154" s="165"/>
      <c r="BF154" s="165"/>
      <c r="BG154" s="267">
        <f t="shared" si="9"/>
        <v>0</v>
      </c>
      <c r="BH154" s="267" t="e">
        <f>BD154-#REF!</f>
        <v>#REF!</v>
      </c>
      <c r="BI154" s="267">
        <f t="shared" si="10"/>
        <v>-30.939999999999998</v>
      </c>
      <c r="BJ154" s="158">
        <f>1*'[1]Объемы ВО'!CV125</f>
        <v>0</v>
      </c>
      <c r="BK154" s="165"/>
      <c r="BL154" s="165"/>
      <c r="BM154" s="158">
        <f>1*'[1]Объемы ВО'!DL125</f>
        <v>0</v>
      </c>
      <c r="BN154" s="165"/>
      <c r="BO154" s="165"/>
      <c r="BP154" s="267">
        <f t="shared" si="11"/>
        <v>0</v>
      </c>
      <c r="BQ154" s="267">
        <f t="shared" si="12"/>
        <v>0</v>
      </c>
      <c r="BR154" s="158">
        <f>1*'[1]Объемы ВО'!CY125</f>
        <v>0</v>
      </c>
      <c r="BS154" s="165"/>
      <c r="BT154" s="165"/>
      <c r="BU154" s="158">
        <f>1*'[1]Объемы ВО'!DO125</f>
        <v>0</v>
      </c>
      <c r="BV154" s="165"/>
      <c r="BW154" s="165"/>
      <c r="BX154" s="267">
        <f t="shared" si="13"/>
        <v>0</v>
      </c>
      <c r="BY154" s="267">
        <f t="shared" si="14"/>
        <v>0</v>
      </c>
      <c r="BZ154" s="158">
        <f>1*'[1]Объемы ВО'!DB125</f>
        <v>0</v>
      </c>
      <c r="CA154" s="165"/>
      <c r="CB154" s="165"/>
      <c r="CC154" s="158">
        <f>1*'[1]Объемы ВО'!DR125</f>
        <v>0</v>
      </c>
      <c r="CD154" s="165"/>
      <c r="CE154" s="165"/>
      <c r="CF154" s="267">
        <f t="shared" si="15"/>
        <v>0</v>
      </c>
      <c r="CG154" s="267">
        <f t="shared" si="16"/>
        <v>0</v>
      </c>
      <c r="CH154" s="158">
        <f>1*'[1]Объемы ВО'!DE125</f>
        <v>0</v>
      </c>
      <c r="CI154" s="165"/>
      <c r="CJ154" s="165"/>
      <c r="CK154" s="158">
        <f>1*'[1]Объемы ВО'!DU125</f>
        <v>0</v>
      </c>
      <c r="CL154" s="165"/>
      <c r="CM154" s="165"/>
      <c r="CN154" s="267">
        <f t="shared" si="17"/>
        <v>0</v>
      </c>
      <c r="CO154" s="267">
        <f t="shared" si="18"/>
        <v>0</v>
      </c>
      <c r="CP154" s="92"/>
      <c r="CQ154" s="85"/>
      <c r="CR154" s="85"/>
      <c r="CS154" s="85"/>
      <c r="CT154" s="99" t="e">
        <f t="shared" si="19"/>
        <v>#REF!</v>
      </c>
      <c r="CU154" s="99">
        <f t="array" ref="CU154">BD154</f>
        <v>0</v>
      </c>
      <c r="CV154" s="101"/>
      <c r="CW154" s="101"/>
      <c r="CX154" s="101"/>
      <c r="CY154" s="101"/>
      <c r="CZ154" s="101"/>
      <c r="DA154" s="101"/>
      <c r="DB154" s="101"/>
    </row>
    <row r="155" spans="1:106" ht="14.25" customHeight="1" outlineLevel="3" thickBot="1" x14ac:dyDescent="0.3">
      <c r="A155" s="2" t="b">
        <f t="array" ref="A155">A154</f>
        <v>1</v>
      </c>
      <c r="C155" s="185" t="s">
        <v>143</v>
      </c>
      <c r="D155" s="185" t="s">
        <v>144</v>
      </c>
      <c r="E155" s="185" t="s">
        <v>189</v>
      </c>
      <c r="F155" s="154" t="s">
        <v>75</v>
      </c>
      <c r="G155" s="185" t="s">
        <v>74</v>
      </c>
      <c r="H155" s="185" t="s">
        <v>74</v>
      </c>
      <c r="I155" s="185" t="s">
        <v>74</v>
      </c>
      <c r="J155" s="185" t="s">
        <v>74</v>
      </c>
      <c r="K155" s="185" t="s">
        <v>74</v>
      </c>
      <c r="L155" s="185"/>
      <c r="M155" s="8" t="str">
        <f t="array" ref="M155">Y107</f>
        <v>1ВО::1.1</v>
      </c>
      <c r="N155" s="154"/>
      <c r="AA155" s="107" t="str">
        <f>AA138&amp;".3"</f>
        <v>2.3</v>
      </c>
      <c r="AB155" s="161" t="s">
        <v>189</v>
      </c>
      <c r="AC155" s="156" t="s">
        <v>140</v>
      </c>
      <c r="AD155" s="158">
        <v>0</v>
      </c>
      <c r="AE155" s="158">
        <v>0</v>
      </c>
      <c r="AF155" s="158">
        <v>0</v>
      </c>
      <c r="AG155" s="165"/>
      <c r="AH155" s="165"/>
      <c r="AI155" s="158">
        <f>1*'[1]Объемы ВО'!BO138</f>
        <v>54958.626653530097</v>
      </c>
      <c r="AJ155" s="165"/>
      <c r="AK155" s="165"/>
      <c r="AL155" s="165"/>
      <c r="AM155" s="165"/>
      <c r="AN155" s="158">
        <f>1*'[1]Объемы ВО'!BW138</f>
        <v>61389.705000000002</v>
      </c>
      <c r="AO155" s="158">
        <v>53511.555999999997</v>
      </c>
      <c r="AP155" s="165"/>
      <c r="AQ155" s="165"/>
      <c r="AR155" s="158">
        <f>1*'[1]Объемы ВО'!CC138</f>
        <v>53511.555544000003</v>
      </c>
      <c r="AS155" s="165"/>
      <c r="AT155" s="165"/>
      <c r="AU155" s="158">
        <f>1*'[1]Объемы ВО'!CJ138</f>
        <v>0</v>
      </c>
      <c r="AV155" s="158">
        <v>53511.555544000003</v>
      </c>
      <c r="AW155" s="165"/>
      <c r="AX155" s="165"/>
      <c r="AY155" s="158">
        <f>1*'[1]Объемы ВО'!CP138</f>
        <v>53511.555544000003</v>
      </c>
      <c r="AZ155" s="165"/>
      <c r="BA155" s="165"/>
      <c r="BB155" s="165"/>
      <c r="BC155" s="165"/>
      <c r="BD155" s="158">
        <f>1*'[1]Объемы ВО'!DI138</f>
        <v>0</v>
      </c>
      <c r="BE155" s="165"/>
      <c r="BF155" s="165"/>
      <c r="BG155" s="267">
        <f t="shared" si="9"/>
        <v>0</v>
      </c>
      <c r="BH155" s="267" t="e">
        <f>BD155-#REF!</f>
        <v>#REF!</v>
      </c>
      <c r="BI155" s="267">
        <f t="shared" si="10"/>
        <v>-53511.555544000003</v>
      </c>
      <c r="BJ155" s="158">
        <f>1*'[1]Объемы ВО'!CV138</f>
        <v>0</v>
      </c>
      <c r="BK155" s="165"/>
      <c r="BL155" s="165"/>
      <c r="BM155" s="158">
        <f>1*'[1]Объемы ВО'!DL138</f>
        <v>0</v>
      </c>
      <c r="BN155" s="165"/>
      <c r="BO155" s="165"/>
      <c r="BP155" s="267">
        <f t="shared" si="11"/>
        <v>0</v>
      </c>
      <c r="BQ155" s="267">
        <f t="shared" si="12"/>
        <v>0</v>
      </c>
      <c r="BR155" s="158">
        <f>1*'[1]Объемы ВО'!CY138</f>
        <v>0</v>
      </c>
      <c r="BS155" s="165"/>
      <c r="BT155" s="165"/>
      <c r="BU155" s="158">
        <f>1*'[1]Объемы ВО'!DO138</f>
        <v>0</v>
      </c>
      <c r="BV155" s="165"/>
      <c r="BW155" s="165"/>
      <c r="BX155" s="267">
        <f t="shared" si="13"/>
        <v>0</v>
      </c>
      <c r="BY155" s="267">
        <f t="shared" si="14"/>
        <v>0</v>
      </c>
      <c r="BZ155" s="158">
        <f>1*'[1]Объемы ВО'!DB138</f>
        <v>0</v>
      </c>
      <c r="CA155" s="165"/>
      <c r="CB155" s="165"/>
      <c r="CC155" s="158">
        <f>1*'[1]Объемы ВО'!DR138</f>
        <v>0</v>
      </c>
      <c r="CD155" s="165"/>
      <c r="CE155" s="165"/>
      <c r="CF155" s="267">
        <f t="shared" si="15"/>
        <v>0</v>
      </c>
      <c r="CG155" s="267">
        <f t="shared" si="16"/>
        <v>0</v>
      </c>
      <c r="CH155" s="158">
        <f>1*'[1]Объемы ВО'!DE138</f>
        <v>0</v>
      </c>
      <c r="CI155" s="165"/>
      <c r="CJ155" s="165"/>
      <c r="CK155" s="158">
        <f>1*'[1]Объемы ВО'!DU138</f>
        <v>0</v>
      </c>
      <c r="CL155" s="165"/>
      <c r="CM155" s="165"/>
      <c r="CN155" s="267">
        <f t="shared" si="17"/>
        <v>0</v>
      </c>
      <c r="CO155" s="267">
        <f t="shared" si="18"/>
        <v>0</v>
      </c>
      <c r="CP155" s="92"/>
      <c r="CQ155" s="85"/>
      <c r="CR155" s="85"/>
      <c r="CS155" s="85"/>
      <c r="CT155" s="99" t="e">
        <f t="shared" si="19"/>
        <v>#REF!</v>
      </c>
      <c r="CU155" s="99">
        <f t="array" ref="CU155">BD155</f>
        <v>0</v>
      </c>
      <c r="CV155" s="101"/>
      <c r="CW155" s="101"/>
      <c r="CX155" s="101"/>
      <c r="CY155" s="101"/>
      <c r="CZ155" s="101"/>
      <c r="DA155" s="101"/>
      <c r="DB155" s="101"/>
    </row>
    <row r="156" spans="1:106" ht="14.25" customHeight="1" x14ac:dyDescent="0.25">
      <c r="C156" s="2" t="s">
        <v>84</v>
      </c>
      <c r="D156" s="2" t="s">
        <v>85</v>
      </c>
      <c r="E156" s="2" t="s">
        <v>74</v>
      </c>
      <c r="F156" s="2" t="s">
        <v>75</v>
      </c>
      <c r="G156" s="2" t="s">
        <v>190</v>
      </c>
      <c r="H156" s="2" t="s">
        <v>74</v>
      </c>
      <c r="I156" s="2" t="s">
        <v>74</v>
      </c>
      <c r="K156" s="5" t="s">
        <v>74</v>
      </c>
      <c r="L156" s="2" t="s">
        <v>136</v>
      </c>
      <c r="M156" s="8" t="str">
        <f t="array" ref="M156">Y107</f>
        <v>1ВО::1.1</v>
      </c>
      <c r="AA156" s="146">
        <f t="array" ref="AA156">IF($U107="Водоснабжение",AA121,AA138)+1</f>
        <v>3</v>
      </c>
      <c r="AB156" s="186" t="s">
        <v>190</v>
      </c>
      <c r="AC156" s="146" t="s">
        <v>114</v>
      </c>
      <c r="AD156" s="187">
        <v>682308.97145319986</v>
      </c>
      <c r="AE156" s="187">
        <v>727995.83686497679</v>
      </c>
      <c r="AF156" s="187">
        <v>962270.75575042807</v>
      </c>
      <c r="AG156" s="188"/>
      <c r="AH156" s="188"/>
      <c r="AI156" s="187">
        <f>AI157+AI302+AI309+AI318</f>
        <v>962602.43575042824</v>
      </c>
      <c r="AJ156" s="188"/>
      <c r="AK156" s="188"/>
      <c r="AL156" s="188"/>
      <c r="AM156" s="188"/>
      <c r="AN156" s="187" t="e">
        <f>AN157+AN302+AN309+AN318</f>
        <v>#REF!</v>
      </c>
      <c r="AO156" s="187">
        <v>1018688.135839838</v>
      </c>
      <c r="AP156" s="188"/>
      <c r="AQ156" s="188"/>
      <c r="AR156" s="187">
        <f>AR157+AR302+AR309+AR318</f>
        <v>1018688.135839838</v>
      </c>
      <c r="AS156" s="188"/>
      <c r="AT156" s="188"/>
      <c r="AU156" s="187" t="e">
        <f>AU157+AU302+AU309+AU318</f>
        <v>#REF!</v>
      </c>
      <c r="AV156" s="187">
        <v>1051396.9557190901</v>
      </c>
      <c r="AW156" s="188"/>
      <c r="AX156" s="188"/>
      <c r="AY156" s="187">
        <f>AY157+AY302+AY309+AY318</f>
        <v>1051396.9557190901</v>
      </c>
      <c r="AZ156" s="188"/>
      <c r="BA156" s="188"/>
      <c r="BB156" s="188"/>
      <c r="BC156" s="188"/>
      <c r="BD156" s="187" t="e">
        <f>BD157+BD302+BD309+BD318</f>
        <v>#REF!</v>
      </c>
      <c r="BE156" s="188"/>
      <c r="BF156" s="188"/>
      <c r="BG156" s="267" t="e">
        <f t="shared" si="9"/>
        <v>#REF!</v>
      </c>
      <c r="BH156" s="267" t="e">
        <f>BD156-#REF!</f>
        <v>#REF!</v>
      </c>
      <c r="BI156" s="267" t="e">
        <f t="shared" si="10"/>
        <v>#REF!</v>
      </c>
      <c r="BJ156" s="187" t="e">
        <f>BJ157+BJ302+BJ309+BJ318</f>
        <v>#REF!</v>
      </c>
      <c r="BK156" s="188"/>
      <c r="BL156" s="188"/>
      <c r="BM156" s="187" t="e">
        <f>BM157+BM302+BM309+BM318</f>
        <v>#REF!</v>
      </c>
      <c r="BN156" s="188"/>
      <c r="BO156" s="188"/>
      <c r="BP156" s="267" t="e">
        <f t="shared" si="11"/>
        <v>#REF!</v>
      </c>
      <c r="BQ156" s="267" t="e">
        <f t="shared" si="12"/>
        <v>#REF!</v>
      </c>
      <c r="BR156" s="187" t="e">
        <f>BR157+BR302+BR309+BR318</f>
        <v>#REF!</v>
      </c>
      <c r="BS156" s="188"/>
      <c r="BT156" s="188"/>
      <c r="BU156" s="187" t="e">
        <f>BU157+BU302+BU309+BU318</f>
        <v>#REF!</v>
      </c>
      <c r="BV156" s="188"/>
      <c r="BW156" s="188"/>
      <c r="BX156" s="267" t="e">
        <f t="shared" si="13"/>
        <v>#REF!</v>
      </c>
      <c r="BY156" s="267" t="e">
        <f t="shared" si="14"/>
        <v>#REF!</v>
      </c>
      <c r="BZ156" s="187" t="e">
        <f>BZ157+BZ302+BZ309+BZ318</f>
        <v>#REF!</v>
      </c>
      <c r="CA156" s="188"/>
      <c r="CB156" s="188"/>
      <c r="CC156" s="187" t="e">
        <f>CC157+CC302+CC309+CC318</f>
        <v>#REF!</v>
      </c>
      <c r="CD156" s="188"/>
      <c r="CE156" s="188"/>
      <c r="CF156" s="267" t="e">
        <f t="shared" si="15"/>
        <v>#REF!</v>
      </c>
      <c r="CG156" s="267" t="e">
        <f t="shared" si="16"/>
        <v>#REF!</v>
      </c>
      <c r="CH156" s="187" t="e">
        <f>CH157+CH302+CH309+CH318</f>
        <v>#REF!</v>
      </c>
      <c r="CI156" s="188"/>
      <c r="CJ156" s="188"/>
      <c r="CK156" s="187" t="e">
        <f>CK157+CK302+CK309+CK318</f>
        <v>#REF!</v>
      </c>
      <c r="CL156" s="188"/>
      <c r="CM156" s="188"/>
      <c r="CN156" s="267" t="e">
        <f t="shared" si="17"/>
        <v>#REF!</v>
      </c>
      <c r="CO156" s="267" t="e">
        <f t="shared" si="18"/>
        <v>#REF!</v>
      </c>
      <c r="CP156" s="92"/>
      <c r="CQ156" s="85"/>
      <c r="CR156" s="85"/>
      <c r="CS156" s="85"/>
      <c r="CT156" s="99" t="e">
        <f t="shared" si="19"/>
        <v>#REF!</v>
      </c>
      <c r="CU156" s="100" t="e">
        <f>CU157+CU302+CU309+CU318</f>
        <v>#REF!</v>
      </c>
      <c r="CV156" s="101"/>
      <c r="CW156" s="101"/>
      <c r="CX156" s="101"/>
      <c r="CY156" s="101"/>
      <c r="CZ156" s="101"/>
      <c r="DA156" s="101"/>
      <c r="DB156" s="101"/>
    </row>
    <row r="157" spans="1:106" ht="14.25" customHeight="1" outlineLevel="1" x14ac:dyDescent="0.25">
      <c r="C157" s="2" t="s">
        <v>84</v>
      </c>
      <c r="D157" s="2" t="s">
        <v>85</v>
      </c>
      <c r="E157" s="2" t="s">
        <v>74</v>
      </c>
      <c r="F157" s="2" t="s">
        <v>75</v>
      </c>
      <c r="G157" s="2" t="s">
        <v>191</v>
      </c>
      <c r="H157" s="2" t="s">
        <v>74</v>
      </c>
      <c r="I157" s="2" t="s">
        <v>74</v>
      </c>
      <c r="K157" s="5" t="s">
        <v>74</v>
      </c>
      <c r="L157" s="2" t="s">
        <v>136</v>
      </c>
      <c r="M157" s="8" t="str">
        <f t="array" ref="M157">Y107</f>
        <v>1ВО::1.1</v>
      </c>
      <c r="AA157" s="189" t="str">
        <f>AA156&amp;".1"</f>
        <v>3.1</v>
      </c>
      <c r="AB157" s="190" t="s">
        <v>191</v>
      </c>
      <c r="AC157" s="191" t="s">
        <v>114</v>
      </c>
      <c r="AD157" s="173">
        <v>566118.42145319993</v>
      </c>
      <c r="AE157" s="173">
        <v>580488.83075397532</v>
      </c>
      <c r="AF157" s="173">
        <v>728554.87901918811</v>
      </c>
      <c r="AG157" s="174"/>
      <c r="AH157" s="174"/>
      <c r="AI157" s="173">
        <f>AI158+AI241+AI258</f>
        <v>728886.55901918816</v>
      </c>
      <c r="AJ157" s="174"/>
      <c r="AK157" s="174"/>
      <c r="AL157" s="174"/>
      <c r="AM157" s="174"/>
      <c r="AN157" s="173" t="e">
        <f>AN158+AN241+AN258</f>
        <v>#REF!</v>
      </c>
      <c r="AO157" s="173">
        <v>999383.65083983797</v>
      </c>
      <c r="AP157" s="174"/>
      <c r="AQ157" s="174"/>
      <c r="AR157" s="173">
        <f>AR158+AR241+AR258</f>
        <v>999383.65083983797</v>
      </c>
      <c r="AS157" s="174"/>
      <c r="AT157" s="174"/>
      <c r="AU157" s="173" t="e">
        <f>AU158+AU241+AU258</f>
        <v>#REF!</v>
      </c>
      <c r="AV157" s="173">
        <v>1031821.0857190902</v>
      </c>
      <c r="AW157" s="174"/>
      <c r="AX157" s="174"/>
      <c r="AY157" s="173">
        <f>AY158+AY241+AY258</f>
        <v>1031821.0857190902</v>
      </c>
      <c r="AZ157" s="174"/>
      <c r="BA157" s="174"/>
      <c r="BB157" s="174"/>
      <c r="BC157" s="174"/>
      <c r="BD157" s="173" t="e">
        <f>BD158+BD241+BD258</f>
        <v>#REF!</v>
      </c>
      <c r="BE157" s="174"/>
      <c r="BF157" s="174"/>
      <c r="BG157" s="267" t="e">
        <f t="shared" si="9"/>
        <v>#REF!</v>
      </c>
      <c r="BH157" s="267" t="e">
        <f>BD157-#REF!</f>
        <v>#REF!</v>
      </c>
      <c r="BI157" s="267" t="e">
        <f t="shared" si="10"/>
        <v>#REF!</v>
      </c>
      <c r="BJ157" s="173" t="e">
        <f>BJ158+BJ241+BJ258</f>
        <v>#REF!</v>
      </c>
      <c r="BK157" s="174"/>
      <c r="BL157" s="174"/>
      <c r="BM157" s="173" t="e">
        <f>BM158+BM241+BM258</f>
        <v>#REF!</v>
      </c>
      <c r="BN157" s="174"/>
      <c r="BO157" s="174"/>
      <c r="BP157" s="267" t="e">
        <f t="shared" si="11"/>
        <v>#REF!</v>
      </c>
      <c r="BQ157" s="267" t="e">
        <f t="shared" si="12"/>
        <v>#REF!</v>
      </c>
      <c r="BR157" s="173" t="e">
        <f>BR158+BR241+BR258</f>
        <v>#REF!</v>
      </c>
      <c r="BS157" s="174"/>
      <c r="BT157" s="174"/>
      <c r="BU157" s="173" t="e">
        <f>BU158+BU241+BU258</f>
        <v>#REF!</v>
      </c>
      <c r="BV157" s="174"/>
      <c r="BW157" s="174"/>
      <c r="BX157" s="267" t="e">
        <f t="shared" si="13"/>
        <v>#REF!</v>
      </c>
      <c r="BY157" s="267" t="e">
        <f t="shared" si="14"/>
        <v>#REF!</v>
      </c>
      <c r="BZ157" s="173" t="e">
        <f>BZ158+BZ241+BZ258</f>
        <v>#REF!</v>
      </c>
      <c r="CA157" s="174"/>
      <c r="CB157" s="174"/>
      <c r="CC157" s="173" t="e">
        <f>CC158+CC241+CC258</f>
        <v>#REF!</v>
      </c>
      <c r="CD157" s="174"/>
      <c r="CE157" s="174"/>
      <c r="CF157" s="267" t="e">
        <f t="shared" si="15"/>
        <v>#REF!</v>
      </c>
      <c r="CG157" s="267" t="e">
        <f t="shared" si="16"/>
        <v>#REF!</v>
      </c>
      <c r="CH157" s="173" t="e">
        <f>CH158+CH241+CH258</f>
        <v>#REF!</v>
      </c>
      <c r="CI157" s="174"/>
      <c r="CJ157" s="174"/>
      <c r="CK157" s="173" t="e">
        <f>CK158+CK241+CK258</f>
        <v>#REF!</v>
      </c>
      <c r="CL157" s="174"/>
      <c r="CM157" s="174"/>
      <c r="CN157" s="267" t="e">
        <f t="shared" si="17"/>
        <v>#REF!</v>
      </c>
      <c r="CO157" s="267" t="e">
        <f t="shared" si="18"/>
        <v>#REF!</v>
      </c>
      <c r="CP157" s="92"/>
      <c r="CQ157" s="85"/>
      <c r="CR157" s="85"/>
      <c r="CS157" s="85"/>
      <c r="CT157" s="99" t="e">
        <f t="shared" si="19"/>
        <v>#REF!</v>
      </c>
      <c r="CU157" s="100" t="e">
        <f>CU158+CU241+CU258</f>
        <v>#REF!</v>
      </c>
      <c r="CV157" s="101"/>
      <c r="CW157" s="101"/>
      <c r="CX157" s="101"/>
      <c r="CY157" s="101"/>
      <c r="CZ157" s="101"/>
      <c r="DA157" s="101"/>
      <c r="DB157" s="101"/>
    </row>
    <row r="158" spans="1:106" ht="14.25" customHeight="1" outlineLevel="2" x14ac:dyDescent="0.25">
      <c r="C158" s="2" t="s">
        <v>84</v>
      </c>
      <c r="D158" s="2" t="s">
        <v>85</v>
      </c>
      <c r="E158" s="2" t="s">
        <v>74</v>
      </c>
      <c r="F158" s="2" t="s">
        <v>75</v>
      </c>
      <c r="G158" s="2" t="s">
        <v>192</v>
      </c>
      <c r="H158" s="2" t="s">
        <v>74</v>
      </c>
      <c r="I158" s="2" t="s">
        <v>74</v>
      </c>
      <c r="K158" s="5" t="s">
        <v>74</v>
      </c>
      <c r="L158" s="2" t="s">
        <v>136</v>
      </c>
      <c r="M158" s="8" t="str">
        <f t="array" ref="M158">Y107</f>
        <v>1ВО::1.1</v>
      </c>
      <c r="AA158" s="192" t="str">
        <f>AA157&amp;".1"</f>
        <v>3.1.1</v>
      </c>
      <c r="AB158" s="193" t="s">
        <v>193</v>
      </c>
      <c r="AC158" s="194" t="s">
        <v>114</v>
      </c>
      <c r="AD158" s="173">
        <v>385919.66</v>
      </c>
      <c r="AE158" s="173">
        <v>408510.62587237422</v>
      </c>
      <c r="AF158" s="173">
        <v>470908.58032428013</v>
      </c>
      <c r="AG158" s="174"/>
      <c r="AH158" s="174"/>
      <c r="AI158" s="173">
        <f>'ВО-2021-2025'!$AI$160+'ВО-2021-2025'!$AI$227+'ВО-2021-2025'!$AI$191+'ВО-2021-2025'!$AI$200</f>
        <v>471240.26032428019</v>
      </c>
      <c r="AJ158" s="174"/>
      <c r="AK158" s="174"/>
      <c r="AL158" s="174"/>
      <c r="AM158" s="174"/>
      <c r="AN158" s="173" t="e">
        <f>AN160+AN227+AN191+AN200</f>
        <v>#REF!</v>
      </c>
      <c r="AO158" s="173">
        <v>705306.75246752775</v>
      </c>
      <c r="AP158" s="174"/>
      <c r="AQ158" s="174"/>
      <c r="AR158" s="173">
        <f>'ВО-2021-2025'!$AR$160+'ВО-2021-2025'!$AR$227+'ВО-2021-2025'!$AR$191+'ВО-2021-2025'!$AR$200</f>
        <v>705306.75246752775</v>
      </c>
      <c r="AS158" s="174"/>
      <c r="AT158" s="174"/>
      <c r="AU158" s="173" t="e">
        <f>AU160+AU227+AU191+AU200</f>
        <v>#REF!</v>
      </c>
      <c r="AV158" s="195">
        <v>727580.33971045201</v>
      </c>
      <c r="AW158" s="174"/>
      <c r="AX158" s="174"/>
      <c r="AY158" s="136">
        <v>727580.33971045201</v>
      </c>
      <c r="AZ158" s="174"/>
      <c r="BA158" s="174"/>
      <c r="BB158" s="174"/>
      <c r="BC158" s="174"/>
      <c r="BD158" s="173" t="e">
        <f t="array" ref="BD158">'ВО-2021-2025'!$BD$159</f>
        <v>#REF!</v>
      </c>
      <c r="BE158" s="174"/>
      <c r="BF158" s="174"/>
      <c r="BG158" s="267" t="e">
        <f t="shared" si="9"/>
        <v>#REF!</v>
      </c>
      <c r="BH158" s="267" t="e">
        <f>BD158-#REF!</f>
        <v>#REF!</v>
      </c>
      <c r="BI158" s="267" t="e">
        <f t="shared" si="10"/>
        <v>#REF!</v>
      </c>
      <c r="BJ158" s="173" t="e">
        <f>'ВО-2021-2025'!#REF!*'ВО-2021-2025'!BJ$111</f>
        <v>#REF!</v>
      </c>
      <c r="BK158" s="174"/>
      <c r="BL158" s="174"/>
      <c r="BM158" s="173" t="e">
        <f>'ВО-2021-2025'!$BD$158*'ВО-2021-2025'!BM$111</f>
        <v>#REF!</v>
      </c>
      <c r="BN158" s="174"/>
      <c r="BO158" s="174"/>
      <c r="BP158" s="267" t="e">
        <f t="shared" si="11"/>
        <v>#REF!</v>
      </c>
      <c r="BQ158" s="267" t="e">
        <f t="shared" si="12"/>
        <v>#REF!</v>
      </c>
      <c r="BR158" s="173" t="e">
        <f>'ВО-2021-2025'!$BJ$158*'ВО-2021-2025'!BR$111</f>
        <v>#REF!</v>
      </c>
      <c r="BS158" s="174"/>
      <c r="BT158" s="174"/>
      <c r="BU158" s="173" t="e">
        <f>'ВО-2021-2025'!$BM$158*'ВО-2021-2025'!BU$111</f>
        <v>#REF!</v>
      </c>
      <c r="BV158" s="174"/>
      <c r="BW158" s="174"/>
      <c r="BX158" s="267" t="e">
        <f t="shared" si="13"/>
        <v>#REF!</v>
      </c>
      <c r="BY158" s="267" t="e">
        <f t="shared" si="14"/>
        <v>#REF!</v>
      </c>
      <c r="BZ158" s="173" t="e">
        <f>'ВО-2021-2025'!$BR$158*'ВО-2021-2025'!BZ$111</f>
        <v>#REF!</v>
      </c>
      <c r="CA158" s="174"/>
      <c r="CB158" s="174"/>
      <c r="CC158" s="173" t="e">
        <f>'ВО-2021-2025'!$BU$158*'ВО-2021-2025'!CC$111</f>
        <v>#REF!</v>
      </c>
      <c r="CD158" s="174"/>
      <c r="CE158" s="174"/>
      <c r="CF158" s="267" t="e">
        <f t="shared" si="15"/>
        <v>#REF!</v>
      </c>
      <c r="CG158" s="267" t="e">
        <f t="shared" si="16"/>
        <v>#REF!</v>
      </c>
      <c r="CH158" s="173" t="e">
        <f>'ВО-2021-2025'!$BZ$158*'ВО-2021-2025'!CH$111</f>
        <v>#REF!</v>
      </c>
      <c r="CI158" s="174"/>
      <c r="CJ158" s="174"/>
      <c r="CK158" s="173" t="e">
        <f>'ВО-2021-2025'!$CC$158*'ВО-2021-2025'!CK$111</f>
        <v>#REF!</v>
      </c>
      <c r="CL158" s="174"/>
      <c r="CM158" s="174"/>
      <c r="CN158" s="267" t="e">
        <f t="shared" si="17"/>
        <v>#REF!</v>
      </c>
      <c r="CO158" s="267" t="e">
        <f t="shared" si="18"/>
        <v>#REF!</v>
      </c>
      <c r="CP158" s="92"/>
      <c r="CQ158" s="85"/>
      <c r="CR158" s="85"/>
      <c r="CS158" s="85"/>
      <c r="CT158" s="99" t="e">
        <f t="shared" si="19"/>
        <v>#REF!</v>
      </c>
      <c r="CU158" s="100" t="e">
        <f>CU160+CU227+CU191+CU200</f>
        <v>#REF!</v>
      </c>
      <c r="CV158" s="101"/>
      <c r="CW158" s="101"/>
      <c r="CX158" s="101"/>
      <c r="CY158" s="101"/>
      <c r="CZ158" s="101"/>
      <c r="DA158" s="101"/>
      <c r="DB158" s="101"/>
    </row>
    <row r="159" spans="1:106" ht="14.25" customHeight="1" outlineLevel="3" x14ac:dyDescent="0.25">
      <c r="C159" s="2" t="str">
        <f>IF(mark="Разметка","M0513","Не определено")</f>
        <v>M0513</v>
      </c>
      <c r="D159" s="2" t="s">
        <v>85</v>
      </c>
      <c r="E159" s="2" t="s">
        <v>74</v>
      </c>
      <c r="F159" s="2" t="s">
        <v>75</v>
      </c>
      <c r="G159" s="2" t="str">
        <f>IF(mark="Разметка","Скорректированные операционные расходы (индексируемые от первого года)","Не определено")</f>
        <v>Скорректированные операционные расходы (индексируемые от первого года)</v>
      </c>
      <c r="H159" s="2" t="s">
        <v>74</v>
      </c>
      <c r="I159" s="2" t="s">
        <v>74</v>
      </c>
      <c r="K159" s="5" t="s">
        <v>74</v>
      </c>
      <c r="L159" s="2" t="s">
        <v>136</v>
      </c>
      <c r="M159" s="8" t="str">
        <f t="array" ref="M159">Y107</f>
        <v>1ВО::1.1</v>
      </c>
      <c r="AA159" s="107" t="str">
        <f>AA158&amp;".К"</f>
        <v>3.1.1.К</v>
      </c>
      <c r="AB159" s="196" t="s">
        <v>194</v>
      </c>
      <c r="AC159" s="197" t="s">
        <v>114</v>
      </c>
      <c r="AD159" s="136">
        <v>385919.66</v>
      </c>
      <c r="AE159" s="173">
        <v>408510.62587237422</v>
      </c>
      <c r="AF159" s="173">
        <v>470908.58032428013</v>
      </c>
      <c r="AG159" s="15"/>
      <c r="AH159" s="15"/>
      <c r="AI159" s="136">
        <f t="array" ref="AI159">IF(AI$88,#REF!*AN$111,AI158)</f>
        <v>471240.26032428019</v>
      </c>
      <c r="AJ159" s="15"/>
      <c r="AK159" s="15"/>
      <c r="AL159" s="15"/>
      <c r="AM159" s="15"/>
      <c r="AN159" s="173">
        <f t="array" ref="AN159">AI159</f>
        <v>471240.26032428019</v>
      </c>
      <c r="AO159" s="173">
        <v>705306.75246752775</v>
      </c>
      <c r="AP159" s="15"/>
      <c r="AQ159" s="15"/>
      <c r="AR159" s="136">
        <f t="array" ref="AR159">IF('ВО-2021-2025'!AR$88,'ВО-2021-2025'!AI159*'ВО-2021-2025'!AU$111,'ВО-2021-2025'!AR158)</f>
        <v>705306.75246752775</v>
      </c>
      <c r="AS159" s="15"/>
      <c r="AT159" s="15"/>
      <c r="AU159" s="173">
        <f t="array" ref="AU159">AR159</f>
        <v>705306.75246752775</v>
      </c>
      <c r="AW159" s="15"/>
      <c r="AX159" s="15"/>
      <c r="AY159" s="12"/>
      <c r="AZ159" s="15"/>
      <c r="BA159" s="15"/>
      <c r="BB159" s="15"/>
      <c r="BC159" s="15"/>
      <c r="BD159" s="173" t="e">
        <f t="array" ref="BD159">IF('ВО-2021-2025'!$BD$81="первый",'ВО-2021-2025'!$AR$159,'ВО-2021-2025'!$AR$158)*(1-'ВО-2021-2025'!$BD$113)*(1+'ВО-2021-2025'!$BD$114)*(1+'ВО-2021-2025'!$BD$115)*'ВО-2021-2025'!$BD$119</f>
        <v>#REF!</v>
      </c>
      <c r="BE159" s="15"/>
      <c r="BF159" s="15"/>
      <c r="BG159" s="267" t="e">
        <f t="shared" si="9"/>
        <v>#REF!</v>
      </c>
      <c r="BH159" s="267" t="e">
        <f>BD159-#REF!</f>
        <v>#REF!</v>
      </c>
      <c r="BI159" s="267" t="e">
        <f t="shared" si="10"/>
        <v>#REF!</v>
      </c>
      <c r="BJ159" s="12"/>
      <c r="BK159" s="15"/>
      <c r="BL159" s="15"/>
      <c r="BM159" s="12"/>
      <c r="BN159" s="15"/>
      <c r="BO159" s="15"/>
      <c r="BP159" s="12"/>
      <c r="BQ159" s="12"/>
      <c r="BR159" s="12"/>
      <c r="BS159" s="15"/>
      <c r="BT159" s="15"/>
      <c r="BU159" s="12"/>
      <c r="BV159" s="15"/>
      <c r="BW159" s="15"/>
      <c r="BX159" s="12"/>
      <c r="BY159" s="12"/>
      <c r="BZ159" s="12"/>
      <c r="CA159" s="15"/>
      <c r="CB159" s="15"/>
      <c r="CC159" s="12"/>
      <c r="CD159" s="15"/>
      <c r="CE159" s="15"/>
      <c r="CF159" s="12"/>
      <c r="CG159" s="12"/>
      <c r="CH159" s="12"/>
      <c r="CI159" s="15"/>
      <c r="CJ159" s="15"/>
      <c r="CK159" s="12"/>
      <c r="CL159" s="15"/>
      <c r="CM159" s="15"/>
      <c r="CN159" s="12"/>
      <c r="CO159" s="12"/>
      <c r="CP159" s="92"/>
      <c r="CQ159" s="85"/>
      <c r="CR159" s="85"/>
      <c r="CS159" s="85"/>
      <c r="CT159" s="99" t="e">
        <f t="shared" si="19"/>
        <v>#REF!</v>
      </c>
      <c r="CU159" s="99" t="e">
        <f t="array" ref="CU159">BD159</f>
        <v>#REF!</v>
      </c>
      <c r="CV159" s="101"/>
      <c r="CW159" s="101"/>
      <c r="CX159" s="101"/>
      <c r="CY159" s="101"/>
      <c r="CZ159" s="101"/>
      <c r="DA159" s="101"/>
      <c r="DB159" s="101"/>
    </row>
    <row r="160" spans="1:106" ht="14.25" customHeight="1" outlineLevel="3" x14ac:dyDescent="0.25">
      <c r="C160" s="2" t="s">
        <v>84</v>
      </c>
      <c r="D160" s="2" t="s">
        <v>85</v>
      </c>
      <c r="E160" s="2" t="s">
        <v>74</v>
      </c>
      <c r="F160" s="2" t="s">
        <v>75</v>
      </c>
      <c r="G160" s="2" t="s">
        <v>195</v>
      </c>
      <c r="H160" s="2" t="s">
        <v>74</v>
      </c>
      <c r="I160" s="2" t="s">
        <v>74</v>
      </c>
      <c r="K160" s="5" t="s">
        <v>74</v>
      </c>
      <c r="L160" s="2" t="s">
        <v>196</v>
      </c>
      <c r="M160" s="8" t="str">
        <f t="array" ref="M160">Y107</f>
        <v>1ВО::1.1</v>
      </c>
      <c r="AA160" s="107" t="str">
        <f>AA158&amp;".1"</f>
        <v>3.1.1.1</v>
      </c>
      <c r="AB160" s="196" t="s">
        <v>197</v>
      </c>
      <c r="AC160" s="197" t="s">
        <v>114</v>
      </c>
      <c r="AD160" s="173">
        <v>341031.01519679616</v>
      </c>
      <c r="AE160" s="173">
        <v>360994.28948484873</v>
      </c>
      <c r="AF160" s="173">
        <v>416095.78156024241</v>
      </c>
      <c r="AG160" s="174"/>
      <c r="AH160" s="174"/>
      <c r="AI160" s="173">
        <f>AI161+AI165+AI166+AI172+AI173+AI181</f>
        <v>416427.46156024246</v>
      </c>
      <c r="AJ160" s="174"/>
      <c r="AK160" s="174"/>
      <c r="AL160" s="174"/>
      <c r="AM160" s="174"/>
      <c r="AN160" s="173" t="e">
        <f>AN161+AN165+AN166+AN172+AN173+AN181</f>
        <v>#REF!</v>
      </c>
      <c r="AO160" s="173">
        <v>455380.58384060237</v>
      </c>
      <c r="AP160" s="174"/>
      <c r="AQ160" s="174"/>
      <c r="AR160" s="173">
        <f>AR161+AR165+AR166+AR172+AR173+AR181</f>
        <v>455380.58384060237</v>
      </c>
      <c r="AS160" s="174"/>
      <c r="AT160" s="174"/>
      <c r="AU160" s="173" t="e">
        <f>AU161+AU165+AU166+AU172+AU173+AU181</f>
        <v>#REF!</v>
      </c>
      <c r="AV160" s="173">
        <v>469761.5026782885</v>
      </c>
      <c r="AW160" s="174"/>
      <c r="AX160" s="174"/>
      <c r="AY160" s="173">
        <f>AY161+AY165+AY166+AY172+AY173+AY181</f>
        <v>469761.5026782885</v>
      </c>
      <c r="AZ160" s="174"/>
      <c r="BA160" s="174"/>
      <c r="BB160" s="174"/>
      <c r="BC160" s="174"/>
      <c r="BD160" s="173" t="e">
        <f>BD161+BD165+BD166+BD172+BD173+BD181</f>
        <v>#REF!</v>
      </c>
      <c r="BE160" s="174"/>
      <c r="BF160" s="174"/>
      <c r="BG160" s="267" t="e">
        <f t="shared" si="9"/>
        <v>#REF!</v>
      </c>
      <c r="BH160" s="267" t="e">
        <f>BD160-#REF!</f>
        <v>#REF!</v>
      </c>
      <c r="BI160" s="267" t="e">
        <f t="shared" si="10"/>
        <v>#REF!</v>
      </c>
      <c r="BJ160" s="173" t="e">
        <f>BJ161+BJ165+BJ166+BJ172+BJ173+BJ181</f>
        <v>#REF!</v>
      </c>
      <c r="BK160" s="174"/>
      <c r="BL160" s="174"/>
      <c r="BM160" s="173" t="e">
        <f>BM161+BM165+BM166+BM172+BM173+BM181</f>
        <v>#REF!</v>
      </c>
      <c r="BN160" s="174"/>
      <c r="BO160" s="174"/>
      <c r="BP160" s="267" t="e">
        <f t="shared" ref="BP160:BP188" si="20">IF(BD160=0,0,BM160/BD160)*100</f>
        <v>#REF!</v>
      </c>
      <c r="BQ160" s="267" t="e">
        <f t="shared" ref="BQ160:BQ188" si="21">BM160-BJ160</f>
        <v>#REF!</v>
      </c>
      <c r="BR160" s="173" t="e">
        <f>BR161+BR165+BR166+BR172+BR173+BR181</f>
        <v>#REF!</v>
      </c>
      <c r="BS160" s="174"/>
      <c r="BT160" s="174"/>
      <c r="BU160" s="173" t="e">
        <f>BU161+BU165+BU166+BU172+BU173+BU181</f>
        <v>#REF!</v>
      </c>
      <c r="BV160" s="174"/>
      <c r="BW160" s="174"/>
      <c r="BX160" s="267" t="e">
        <f t="shared" ref="BX160:BX188" si="22">IF(BM160=0,0,BU160/BM160)*100</f>
        <v>#REF!</v>
      </c>
      <c r="BY160" s="267" t="e">
        <f t="shared" ref="BY160:BY188" si="23">BU160-BR160</f>
        <v>#REF!</v>
      </c>
      <c r="BZ160" s="173" t="e">
        <f>BZ161+BZ165+BZ166+BZ172+BZ173+BZ181</f>
        <v>#REF!</v>
      </c>
      <c r="CA160" s="174"/>
      <c r="CB160" s="174"/>
      <c r="CC160" s="173" t="e">
        <f>CC161+CC165+CC166+CC172+CC173+CC181</f>
        <v>#REF!</v>
      </c>
      <c r="CD160" s="174"/>
      <c r="CE160" s="174"/>
      <c r="CF160" s="267" t="e">
        <f t="shared" ref="CF160:CF188" si="24">IF(BU160=0,0,CC160/BU160)*100</f>
        <v>#REF!</v>
      </c>
      <c r="CG160" s="267" t="e">
        <f t="shared" ref="CG160:CG188" si="25">CC160-BZ160</f>
        <v>#REF!</v>
      </c>
      <c r="CH160" s="173" t="e">
        <f>CH161+CH165+CH166+CH172+CH173+CH181</f>
        <v>#REF!</v>
      </c>
      <c r="CI160" s="174"/>
      <c r="CJ160" s="174"/>
      <c r="CK160" s="173" t="e">
        <f>CK161+CK165+CK166+CK172+CK173+CK181</f>
        <v>#REF!</v>
      </c>
      <c r="CL160" s="174"/>
      <c r="CM160" s="174"/>
      <c r="CN160" s="267" t="e">
        <f t="shared" ref="CN160:CN188" si="26">IF(CC160=0,0,CK160/CC160)*100</f>
        <v>#REF!</v>
      </c>
      <c r="CO160" s="267" t="e">
        <f t="shared" ref="CO160:CO188" si="27">CK160-CH160</f>
        <v>#REF!</v>
      </c>
      <c r="CP160" s="92"/>
      <c r="CQ160" s="85"/>
      <c r="CR160" s="85"/>
      <c r="CS160" s="85"/>
      <c r="CT160" s="99" t="e">
        <f t="shared" si="19"/>
        <v>#REF!</v>
      </c>
      <c r="CU160" s="100" t="e">
        <f>CU161+CU165+CU166+CU172+CU173+CU181</f>
        <v>#REF!</v>
      </c>
      <c r="CV160" s="101"/>
      <c r="CW160" s="101"/>
      <c r="CX160" s="101"/>
      <c r="CY160" s="101"/>
      <c r="CZ160" s="101"/>
      <c r="DA160" s="101"/>
      <c r="DB160" s="101"/>
    </row>
    <row r="161" spans="1:106" ht="14.25" customHeight="1" outlineLevel="4" x14ac:dyDescent="0.25">
      <c r="C161" s="2" t="s">
        <v>84</v>
      </c>
      <c r="D161" s="2" t="s">
        <v>85</v>
      </c>
      <c r="E161" s="2" t="s">
        <v>74</v>
      </c>
      <c r="F161" s="2" t="s">
        <v>75</v>
      </c>
      <c r="G161" s="2" t="s">
        <v>198</v>
      </c>
      <c r="H161" s="2" t="s">
        <v>74</v>
      </c>
      <c r="I161" s="2" t="s">
        <v>74</v>
      </c>
      <c r="K161" s="5" t="s">
        <v>74</v>
      </c>
      <c r="L161" s="2" t="s">
        <v>196</v>
      </c>
      <c r="M161" s="8" t="str">
        <f t="array" ref="M161">Y107</f>
        <v>1ВО::1.1</v>
      </c>
      <c r="AA161" s="107" t="str">
        <f>AA160&amp;".1"</f>
        <v>3.1.1.1.1</v>
      </c>
      <c r="AB161" s="198" t="s">
        <v>199</v>
      </c>
      <c r="AC161" s="197" t="s">
        <v>114</v>
      </c>
      <c r="AD161" s="173">
        <v>126038.66753566789</v>
      </c>
      <c r="AE161" s="173">
        <v>133416.71932213998</v>
      </c>
      <c r="AF161" s="173">
        <v>153903.78012986839</v>
      </c>
      <c r="AG161" s="174"/>
      <c r="AH161" s="174"/>
      <c r="AI161" s="173">
        <f>AI162+AI163+AI164</f>
        <v>153903.78012986839</v>
      </c>
      <c r="AJ161" s="174"/>
      <c r="AK161" s="174"/>
      <c r="AL161" s="174"/>
      <c r="AM161" s="174"/>
      <c r="AN161" s="173" t="e">
        <f>AN162+AN163+AN164</f>
        <v>#REF!</v>
      </c>
      <c r="AO161" s="173">
        <v>16531.5696285581</v>
      </c>
      <c r="AP161" s="174"/>
      <c r="AQ161" s="174"/>
      <c r="AR161" s="173">
        <f>AR162+AR163+AR164</f>
        <v>16531.5696285581</v>
      </c>
      <c r="AS161" s="174"/>
      <c r="AT161" s="174"/>
      <c r="AU161" s="173" t="e">
        <f>AU162+AU163+AU164</f>
        <v>#REF!</v>
      </c>
      <c r="AV161" s="173">
        <v>17053.636597427998</v>
      </c>
      <c r="AW161" s="174"/>
      <c r="AX161" s="174"/>
      <c r="AY161" s="173">
        <f>AY162+AY163+AY164</f>
        <v>17053.636597427998</v>
      </c>
      <c r="AZ161" s="174"/>
      <c r="BA161" s="174"/>
      <c r="BB161" s="174"/>
      <c r="BC161" s="174"/>
      <c r="BD161" s="173">
        <f>BD162+BD163+BD164</f>
        <v>0</v>
      </c>
      <c r="BE161" s="174"/>
      <c r="BF161" s="174"/>
      <c r="BG161" s="267">
        <f t="shared" si="9"/>
        <v>0</v>
      </c>
      <c r="BH161" s="267" t="e">
        <f>BD161-#REF!</f>
        <v>#REF!</v>
      </c>
      <c r="BI161" s="267">
        <f t="shared" si="10"/>
        <v>-17053.636597427998</v>
      </c>
      <c r="BJ161" s="173" t="e">
        <f>BJ162+BJ163+BJ164</f>
        <v>#REF!</v>
      </c>
      <c r="BK161" s="174"/>
      <c r="BL161" s="174"/>
      <c r="BM161" s="173" t="e">
        <f>BM162+BM163+BM164</f>
        <v>#REF!</v>
      </c>
      <c r="BN161" s="174"/>
      <c r="BO161" s="174"/>
      <c r="BP161" s="267">
        <f t="shared" si="20"/>
        <v>0</v>
      </c>
      <c r="BQ161" s="267" t="e">
        <f t="shared" si="21"/>
        <v>#REF!</v>
      </c>
      <c r="BR161" s="173" t="e">
        <f>BR162+BR163+BR164</f>
        <v>#REF!</v>
      </c>
      <c r="BS161" s="174"/>
      <c r="BT161" s="174"/>
      <c r="BU161" s="173" t="e">
        <f>BU162+BU163+BU164</f>
        <v>#REF!</v>
      </c>
      <c r="BV161" s="174"/>
      <c r="BW161" s="174"/>
      <c r="BX161" s="267" t="e">
        <f t="shared" si="22"/>
        <v>#REF!</v>
      </c>
      <c r="BY161" s="267" t="e">
        <f t="shared" si="23"/>
        <v>#REF!</v>
      </c>
      <c r="BZ161" s="173" t="e">
        <f>BZ162+BZ163+BZ164</f>
        <v>#REF!</v>
      </c>
      <c r="CA161" s="174"/>
      <c r="CB161" s="174"/>
      <c r="CC161" s="173" t="e">
        <f>CC162+CC163+CC164</f>
        <v>#REF!</v>
      </c>
      <c r="CD161" s="174"/>
      <c r="CE161" s="174"/>
      <c r="CF161" s="267" t="e">
        <f t="shared" si="24"/>
        <v>#REF!</v>
      </c>
      <c r="CG161" s="267" t="e">
        <f t="shared" si="25"/>
        <v>#REF!</v>
      </c>
      <c r="CH161" s="173" t="e">
        <f>CH162+CH163+CH164</f>
        <v>#REF!</v>
      </c>
      <c r="CI161" s="174"/>
      <c r="CJ161" s="174"/>
      <c r="CK161" s="173" t="e">
        <f>CK162+CK163+CK164</f>
        <v>#REF!</v>
      </c>
      <c r="CL161" s="174"/>
      <c r="CM161" s="174"/>
      <c r="CN161" s="267" t="e">
        <f t="shared" si="26"/>
        <v>#REF!</v>
      </c>
      <c r="CO161" s="267" t="e">
        <f t="shared" si="27"/>
        <v>#REF!</v>
      </c>
      <c r="CP161" s="92"/>
      <c r="CQ161" s="85"/>
      <c r="CR161" s="85"/>
      <c r="CS161" s="85"/>
      <c r="CT161" s="99" t="e">
        <f t="shared" si="19"/>
        <v>#REF!</v>
      </c>
      <c r="CU161" s="100">
        <f>CU162+CU163+CU164</f>
        <v>0</v>
      </c>
      <c r="CV161" s="101"/>
      <c r="CW161" s="101"/>
      <c r="CX161" s="101"/>
      <c r="CY161" s="101"/>
      <c r="CZ161" s="101"/>
      <c r="DA161" s="101"/>
      <c r="DB161" s="101"/>
    </row>
    <row r="162" spans="1:106" ht="14.25" customHeight="1" outlineLevel="4" x14ac:dyDescent="0.25">
      <c r="C162" s="2" t="s">
        <v>84</v>
      </c>
      <c r="D162" s="2" t="s">
        <v>85</v>
      </c>
      <c r="E162" s="2" t="s">
        <v>74</v>
      </c>
      <c r="F162" s="2" t="s">
        <v>75</v>
      </c>
      <c r="G162" s="2" t="s">
        <v>200</v>
      </c>
      <c r="H162" s="2" t="s">
        <v>74</v>
      </c>
      <c r="I162" s="2" t="s">
        <v>74</v>
      </c>
      <c r="K162" s="5" t="s">
        <v>74</v>
      </c>
      <c r="L162" s="2" t="s">
        <v>196</v>
      </c>
      <c r="M162" s="8" t="str">
        <f t="array" ref="M162">Y107</f>
        <v>1ВО::1.1</v>
      </c>
      <c r="AA162" s="107" t="str">
        <f>AA161&amp;".1"</f>
        <v>3.1.1.1.1.1</v>
      </c>
      <c r="AB162" s="199" t="s">
        <v>200</v>
      </c>
      <c r="AC162" s="197" t="s">
        <v>114</v>
      </c>
      <c r="AD162" s="200">
        <v>110135.31733597199</v>
      </c>
      <c r="AE162" s="200">
        <v>116582.418774857</v>
      </c>
      <c r="AF162" s="201">
        <v>134484.456200808</v>
      </c>
      <c r="AG162" s="202"/>
      <c r="AH162" s="202"/>
      <c r="AI162" s="200">
        <v>134484.456200808</v>
      </c>
      <c r="AJ162" s="202"/>
      <c r="AK162" s="202"/>
      <c r="AL162" s="202"/>
      <c r="AM162" s="202"/>
      <c r="AN162" s="203">
        <f>IF(AN87,IF($AN$81="Методика",AI162/AI$158*AN$159,'[1]СиМ (детально)'!AK94-AN272),0)</f>
        <v>7775.0572716867928</v>
      </c>
      <c r="AO162" s="173">
        <v>0</v>
      </c>
      <c r="AP162" s="202"/>
      <c r="AQ162" s="202"/>
      <c r="AR162" s="173">
        <f>0</f>
        <v>0</v>
      </c>
      <c r="AS162" s="202"/>
      <c r="AT162" s="202"/>
      <c r="AU162" s="203">
        <f>IF(AU87,'[1]СиМ (детально)'!AP94-AU272,0)</f>
        <v>0</v>
      </c>
      <c r="AV162" s="195">
        <v>0</v>
      </c>
      <c r="AW162" s="202"/>
      <c r="AX162" s="202"/>
      <c r="AY162" s="136">
        <f>IF(AY$88,AR162*AY$112,SUMIF('[1]СиМ (детально)'!$AG$95:$AG$150,'[1]СиМ (детально)'!$AG$94,'[1]СиМ (детально)'!AR95:AR150))</f>
        <v>0</v>
      </c>
      <c r="AZ162" s="202"/>
      <c r="BA162" s="202"/>
      <c r="BB162" s="202"/>
      <c r="BC162" s="202"/>
      <c r="BD162" s="173">
        <f>0</f>
        <v>0</v>
      </c>
      <c r="BE162" s="202"/>
      <c r="BF162" s="202"/>
      <c r="BG162" s="267">
        <f t="shared" si="9"/>
        <v>0</v>
      </c>
      <c r="BH162" s="267" t="e">
        <f>BD162-#REF!</f>
        <v>#REF!</v>
      </c>
      <c r="BI162" s="267">
        <f t="shared" si="10"/>
        <v>0</v>
      </c>
      <c r="BJ162" s="173">
        <f>0</f>
        <v>0</v>
      </c>
      <c r="BK162" s="202"/>
      <c r="BL162" s="202"/>
      <c r="BM162" s="173">
        <f>0</f>
        <v>0</v>
      </c>
      <c r="BN162" s="202"/>
      <c r="BO162" s="202"/>
      <c r="BP162" s="267">
        <f t="shared" si="20"/>
        <v>0</v>
      </c>
      <c r="BQ162" s="267">
        <f t="shared" si="21"/>
        <v>0</v>
      </c>
      <c r="BR162" s="173">
        <f>0</f>
        <v>0</v>
      </c>
      <c r="BS162" s="202"/>
      <c r="BT162" s="202"/>
      <c r="BU162" s="173">
        <f>0</f>
        <v>0</v>
      </c>
      <c r="BV162" s="202"/>
      <c r="BW162" s="202"/>
      <c r="BX162" s="267">
        <f t="shared" si="22"/>
        <v>0</v>
      </c>
      <c r="BY162" s="267">
        <f t="shared" si="23"/>
        <v>0</v>
      </c>
      <c r="BZ162" s="173">
        <f>0</f>
        <v>0</v>
      </c>
      <c r="CA162" s="202"/>
      <c r="CB162" s="202"/>
      <c r="CC162" s="173">
        <f>0</f>
        <v>0</v>
      </c>
      <c r="CD162" s="202"/>
      <c r="CE162" s="202"/>
      <c r="CF162" s="267">
        <f t="shared" si="24"/>
        <v>0</v>
      </c>
      <c r="CG162" s="267">
        <f t="shared" si="25"/>
        <v>0</v>
      </c>
      <c r="CH162" s="173">
        <f>0</f>
        <v>0</v>
      </c>
      <c r="CI162" s="202"/>
      <c r="CJ162" s="202"/>
      <c r="CK162" s="173">
        <f>0</f>
        <v>0</v>
      </c>
      <c r="CL162" s="202"/>
      <c r="CM162" s="202"/>
      <c r="CN162" s="267">
        <f t="shared" si="26"/>
        <v>0</v>
      </c>
      <c r="CO162" s="267">
        <f t="shared" si="27"/>
        <v>0</v>
      </c>
      <c r="CP162" s="92"/>
      <c r="CQ162" s="85"/>
      <c r="CR162" s="85"/>
      <c r="CS162" s="85"/>
      <c r="CT162" s="99" t="e">
        <f t="shared" si="19"/>
        <v>#REF!</v>
      </c>
      <c r="CU162" s="99">
        <f t="array" ref="CU162">BD162</f>
        <v>0</v>
      </c>
      <c r="CV162" s="101"/>
      <c r="CW162" s="101"/>
      <c r="CX162" s="101"/>
      <c r="CY162" s="101"/>
      <c r="CZ162" s="101"/>
      <c r="DA162" s="101"/>
      <c r="DB162" s="101"/>
    </row>
    <row r="163" spans="1:106" ht="14.25" customHeight="1" outlineLevel="4" x14ac:dyDescent="0.25">
      <c r="C163" s="2" t="s">
        <v>84</v>
      </c>
      <c r="D163" s="2" t="s">
        <v>85</v>
      </c>
      <c r="E163" s="2" t="s">
        <v>74</v>
      </c>
      <c r="F163" s="2" t="s">
        <v>75</v>
      </c>
      <c r="G163" s="2" t="s">
        <v>201</v>
      </c>
      <c r="H163" s="2" t="s">
        <v>74</v>
      </c>
      <c r="I163" s="2" t="s">
        <v>74</v>
      </c>
      <c r="K163" s="5" t="s">
        <v>74</v>
      </c>
      <c r="L163" s="2" t="s">
        <v>196</v>
      </c>
      <c r="M163" s="8" t="str">
        <f t="array" ref="M163">Y107</f>
        <v>1ВО::1.1</v>
      </c>
      <c r="AA163" s="107" t="str">
        <f>AA161&amp;".2"</f>
        <v>3.1.1.1.1.2</v>
      </c>
      <c r="AB163" s="199" t="s">
        <v>201</v>
      </c>
      <c r="AC163" s="197" t="s">
        <v>114</v>
      </c>
      <c r="AD163" s="136">
        <v>10922.4294049457</v>
      </c>
      <c r="AE163" s="136">
        <v>11561.806600527099</v>
      </c>
      <c r="AF163" s="195">
        <v>13337.2020387875</v>
      </c>
      <c r="AG163" s="202"/>
      <c r="AH163" s="202"/>
      <c r="AI163" s="136">
        <v>13337.2020387875</v>
      </c>
      <c r="AJ163" s="202"/>
      <c r="AK163" s="202"/>
      <c r="AL163" s="202"/>
      <c r="AM163" s="202"/>
      <c r="AN163" s="204" t="e">
        <f t="array" ref="AN163">IF('ВО-2021-2025'!$AN$81="Методика",IF('ВО-2021-2025'!AI$158=0,0,'ВО-2021-2025'!AI163/'ВО-2021-2025'!AI$158*'ВО-2021-2025'!AN$159),'ВО-2021-2025'!#REF!)</f>
        <v>#REF!</v>
      </c>
      <c r="AO163" s="195">
        <v>6447.8736124791003</v>
      </c>
      <c r="AP163" s="202"/>
      <c r="AQ163" s="202"/>
      <c r="AR163" s="136">
        <v>6447.8736124791003</v>
      </c>
      <c r="AS163" s="202"/>
      <c r="AT163" s="202"/>
      <c r="AU163" s="204" t="e">
        <f t="array" ref="AU163">'ВО-2021-2025'!#REF!</f>
        <v>#REF!</v>
      </c>
      <c r="AV163" s="195">
        <v>6651.4974611611997</v>
      </c>
      <c r="AW163" s="202"/>
      <c r="AX163" s="202"/>
      <c r="AY163" s="136">
        <v>6651.4974611611997</v>
      </c>
      <c r="AZ163" s="202"/>
      <c r="BA163" s="202"/>
      <c r="BB163" s="202"/>
      <c r="BC163" s="202"/>
      <c r="BD163" s="204">
        <f>IFERROR('ВО-2021-2025'!$AR$163*'ВО-2021-2025'!$BD$112,0)</f>
        <v>0</v>
      </c>
      <c r="BE163" s="202"/>
      <c r="BF163" s="202"/>
      <c r="BG163" s="267">
        <f t="shared" si="9"/>
        <v>0</v>
      </c>
      <c r="BH163" s="267" t="e">
        <f>BD163-#REF!</f>
        <v>#REF!</v>
      </c>
      <c r="BI163" s="267">
        <f t="shared" si="10"/>
        <v>-6651.4974611611997</v>
      </c>
      <c r="BJ163" s="136" t="e">
        <f>#REF!*BJ$111</f>
        <v>#REF!</v>
      </c>
      <c r="BK163" s="202"/>
      <c r="BL163" s="202"/>
      <c r="BM163" s="136" t="e">
        <f>BD163*BM$111</f>
        <v>#REF!</v>
      </c>
      <c r="BN163" s="202"/>
      <c r="BO163" s="202"/>
      <c r="BP163" s="267">
        <f t="shared" si="20"/>
        <v>0</v>
      </c>
      <c r="BQ163" s="267" t="e">
        <f t="shared" si="21"/>
        <v>#REF!</v>
      </c>
      <c r="BR163" s="136" t="e">
        <f>BJ163*BR$111</f>
        <v>#REF!</v>
      </c>
      <c r="BS163" s="202"/>
      <c r="BT163" s="202"/>
      <c r="BU163" s="136" t="e">
        <f>BM163*BU$111</f>
        <v>#REF!</v>
      </c>
      <c r="BV163" s="202"/>
      <c r="BW163" s="202"/>
      <c r="BX163" s="267" t="e">
        <f t="shared" si="22"/>
        <v>#REF!</v>
      </c>
      <c r="BY163" s="267" t="e">
        <f t="shared" si="23"/>
        <v>#REF!</v>
      </c>
      <c r="BZ163" s="136" t="e">
        <f>BR163*BZ$111</f>
        <v>#REF!</v>
      </c>
      <c r="CA163" s="202"/>
      <c r="CB163" s="202"/>
      <c r="CC163" s="136" t="e">
        <f>BU163*CC$111</f>
        <v>#REF!</v>
      </c>
      <c r="CD163" s="202"/>
      <c r="CE163" s="202"/>
      <c r="CF163" s="267" t="e">
        <f t="shared" si="24"/>
        <v>#REF!</v>
      </c>
      <c r="CG163" s="267" t="e">
        <f t="shared" si="25"/>
        <v>#REF!</v>
      </c>
      <c r="CH163" s="136" t="e">
        <f>BZ163*CH$111</f>
        <v>#REF!</v>
      </c>
      <c r="CI163" s="202"/>
      <c r="CJ163" s="202"/>
      <c r="CK163" s="136" t="e">
        <f>CC163*CK$111</f>
        <v>#REF!</v>
      </c>
      <c r="CL163" s="202"/>
      <c r="CM163" s="202"/>
      <c r="CN163" s="267" t="e">
        <f t="shared" si="26"/>
        <v>#REF!</v>
      </c>
      <c r="CO163" s="267" t="e">
        <f t="shared" si="27"/>
        <v>#REF!</v>
      </c>
      <c r="CP163" s="92"/>
      <c r="CQ163" s="85"/>
      <c r="CR163" s="85"/>
      <c r="CS163" s="85"/>
      <c r="CT163" s="99" t="e">
        <f t="shared" si="19"/>
        <v>#REF!</v>
      </c>
      <c r="CU163" s="99">
        <f t="array" ref="CU163">BD163</f>
        <v>0</v>
      </c>
      <c r="CV163" s="101"/>
      <c r="CW163" s="101"/>
      <c r="CX163" s="101"/>
      <c r="CY163" s="101"/>
      <c r="CZ163" s="101"/>
      <c r="DA163" s="101"/>
      <c r="DB163" s="101"/>
    </row>
    <row r="164" spans="1:106" ht="14.25" customHeight="1" outlineLevel="4" x14ac:dyDescent="0.25">
      <c r="C164" s="2" t="s">
        <v>84</v>
      </c>
      <c r="D164" s="2" t="s">
        <v>85</v>
      </c>
      <c r="E164" s="2" t="s">
        <v>74</v>
      </c>
      <c r="F164" s="2" t="s">
        <v>75</v>
      </c>
      <c r="G164" s="2" t="s">
        <v>202</v>
      </c>
      <c r="H164" s="2" t="s">
        <v>74</v>
      </c>
      <c r="I164" s="2" t="s">
        <v>74</v>
      </c>
      <c r="K164" s="5" t="s">
        <v>74</v>
      </c>
      <c r="L164" s="2" t="s">
        <v>196</v>
      </c>
      <c r="M164" s="8" t="str">
        <f t="array" ref="M164">Y107</f>
        <v>1ВО::1.1</v>
      </c>
      <c r="AA164" s="107" t="str">
        <f>AA161&amp;".3"</f>
        <v>3.1.1.1.1.3</v>
      </c>
      <c r="AB164" s="199" t="s">
        <v>202</v>
      </c>
      <c r="AC164" s="197" t="s">
        <v>114</v>
      </c>
      <c r="AD164" s="136">
        <v>4980.9207947502</v>
      </c>
      <c r="AE164" s="136">
        <v>5272.4939467558997</v>
      </c>
      <c r="AF164" s="195">
        <v>6082.1218902728997</v>
      </c>
      <c r="AG164" s="202"/>
      <c r="AH164" s="202"/>
      <c r="AI164" s="136">
        <v>6082.1218902728997</v>
      </c>
      <c r="AJ164" s="202"/>
      <c r="AK164" s="202"/>
      <c r="AL164" s="202"/>
      <c r="AM164" s="202"/>
      <c r="AN164" s="204" t="e">
        <f t="array" ref="AN164">IF('ВО-2021-2025'!$AN$81="Методика",IF('ВО-2021-2025'!AI$158=0,0,'ВО-2021-2025'!AI164/'ВО-2021-2025'!AI$158*'ВО-2021-2025'!AN$159),'ВО-2021-2025'!#REF!)</f>
        <v>#REF!</v>
      </c>
      <c r="AO164" s="195">
        <v>10083.696016079</v>
      </c>
      <c r="AP164" s="202"/>
      <c r="AQ164" s="202"/>
      <c r="AR164" s="136">
        <v>10083.696016079</v>
      </c>
      <c r="AS164" s="202"/>
      <c r="AT164" s="202"/>
      <c r="AU164" s="204" t="e">
        <f t="array" ref="AU164">'ВО-2021-2025'!#REF!</f>
        <v>#REF!</v>
      </c>
      <c r="AV164" s="195">
        <v>10402.1391362668</v>
      </c>
      <c r="AW164" s="202"/>
      <c r="AX164" s="202"/>
      <c r="AY164" s="136">
        <v>10402.1391362668</v>
      </c>
      <c r="AZ164" s="202"/>
      <c r="BA164" s="202"/>
      <c r="BB164" s="202"/>
      <c r="BC164" s="202"/>
      <c r="BD164" s="204">
        <f>IFERROR('ВО-2021-2025'!$AR$164*'ВО-2021-2025'!$BD$112,0)</f>
        <v>0</v>
      </c>
      <c r="BE164" s="202"/>
      <c r="BF164" s="202"/>
      <c r="BG164" s="267">
        <f t="shared" si="9"/>
        <v>0</v>
      </c>
      <c r="BH164" s="267" t="e">
        <f>BD164-#REF!</f>
        <v>#REF!</v>
      </c>
      <c r="BI164" s="267">
        <f t="shared" si="10"/>
        <v>-10402.1391362668</v>
      </c>
      <c r="BJ164" s="136" t="e">
        <f>#REF!*BJ$111</f>
        <v>#REF!</v>
      </c>
      <c r="BK164" s="202"/>
      <c r="BL164" s="202"/>
      <c r="BM164" s="136" t="e">
        <f>BD164*BM$111</f>
        <v>#REF!</v>
      </c>
      <c r="BN164" s="202"/>
      <c r="BO164" s="202"/>
      <c r="BP164" s="267">
        <f t="shared" si="20"/>
        <v>0</v>
      </c>
      <c r="BQ164" s="267" t="e">
        <f t="shared" si="21"/>
        <v>#REF!</v>
      </c>
      <c r="BR164" s="136" t="e">
        <f>BJ164*BR$111</f>
        <v>#REF!</v>
      </c>
      <c r="BS164" s="202"/>
      <c r="BT164" s="202"/>
      <c r="BU164" s="136" t="e">
        <f>BM164*BU$111</f>
        <v>#REF!</v>
      </c>
      <c r="BV164" s="202"/>
      <c r="BW164" s="202"/>
      <c r="BX164" s="267" t="e">
        <f t="shared" si="22"/>
        <v>#REF!</v>
      </c>
      <c r="BY164" s="267" t="e">
        <f t="shared" si="23"/>
        <v>#REF!</v>
      </c>
      <c r="BZ164" s="136" t="e">
        <f>BR164*BZ$111</f>
        <v>#REF!</v>
      </c>
      <c r="CA164" s="202"/>
      <c r="CB164" s="202"/>
      <c r="CC164" s="136" t="e">
        <f>BU164*CC$111</f>
        <v>#REF!</v>
      </c>
      <c r="CD164" s="202"/>
      <c r="CE164" s="202"/>
      <c r="CF164" s="267" t="e">
        <f t="shared" si="24"/>
        <v>#REF!</v>
      </c>
      <c r="CG164" s="267" t="e">
        <f t="shared" si="25"/>
        <v>#REF!</v>
      </c>
      <c r="CH164" s="136" t="e">
        <f>BZ164*CH$111</f>
        <v>#REF!</v>
      </c>
      <c r="CI164" s="202"/>
      <c r="CJ164" s="202"/>
      <c r="CK164" s="136" t="e">
        <f>CC164*CK$111</f>
        <v>#REF!</v>
      </c>
      <c r="CL164" s="202"/>
      <c r="CM164" s="202"/>
      <c r="CN164" s="267" t="e">
        <f t="shared" si="26"/>
        <v>#REF!</v>
      </c>
      <c r="CO164" s="267" t="e">
        <f t="shared" si="27"/>
        <v>#REF!</v>
      </c>
      <c r="CP164" s="92" t="s">
        <v>556</v>
      </c>
      <c r="CQ164" s="85"/>
      <c r="CR164" s="85"/>
      <c r="CS164" s="85"/>
      <c r="CT164" s="99" t="e">
        <f t="shared" si="19"/>
        <v>#REF!</v>
      </c>
      <c r="CU164" s="99">
        <f t="array" ref="CU164">BD164</f>
        <v>0</v>
      </c>
      <c r="CV164" s="101"/>
      <c r="CW164" s="101"/>
      <c r="CX164" s="101"/>
      <c r="CY164" s="101"/>
      <c r="CZ164" s="101"/>
      <c r="DA164" s="101"/>
      <c r="DB164" s="101"/>
    </row>
    <row r="165" spans="1:106" ht="22.5" customHeight="1" outlineLevel="4" x14ac:dyDescent="0.25">
      <c r="C165" s="2" t="s">
        <v>84</v>
      </c>
      <c r="D165" s="2" t="s">
        <v>85</v>
      </c>
      <c r="E165" s="2" t="s">
        <v>74</v>
      </c>
      <c r="F165" s="2" t="s">
        <v>75</v>
      </c>
      <c r="G165" s="2" t="s">
        <v>203</v>
      </c>
      <c r="H165" s="2" t="s">
        <v>74</v>
      </c>
      <c r="I165" s="2" t="s">
        <v>74</v>
      </c>
      <c r="K165" s="5" t="s">
        <v>74</v>
      </c>
      <c r="L165" s="2" t="s">
        <v>196</v>
      </c>
      <c r="M165" s="8" t="str">
        <f t="array" ref="M165">Y107</f>
        <v>1ВО::1.1</v>
      </c>
      <c r="AA165" s="107" t="str">
        <f>AA160&amp;".2"</f>
        <v>3.1.1.1.2</v>
      </c>
      <c r="AB165" s="198" t="s">
        <v>204</v>
      </c>
      <c r="AC165" s="197" t="s">
        <v>114</v>
      </c>
      <c r="AD165" s="136"/>
      <c r="AE165" s="136"/>
      <c r="AF165" s="195"/>
      <c r="AG165" s="202"/>
      <c r="AH165" s="202"/>
      <c r="AI165" s="136">
        <f t="array" ref="AI165">'ВО-2021-2025'!$AF$165</f>
        <v>0</v>
      </c>
      <c r="AJ165" s="202"/>
      <c r="AK165" s="202"/>
      <c r="AL165" s="202"/>
      <c r="AM165" s="202"/>
      <c r="AN165" s="136" t="e">
        <f t="array" ref="AN165">IF('ВО-2021-2025'!$AN$81="Методика",IF('ВО-2021-2025'!AI$158=0,0,'ВО-2021-2025'!AI165/'ВО-2021-2025'!AI$158*'ВО-2021-2025'!AN$159),#REF!)</f>
        <v>#REF!</v>
      </c>
      <c r="AO165" s="195"/>
      <c r="AP165" s="202"/>
      <c r="AQ165" s="202"/>
      <c r="AR165" s="136">
        <f t="array" ref="AR165">'ВО-2021-2025'!$AO$165</f>
        <v>0</v>
      </c>
      <c r="AS165" s="202"/>
      <c r="AT165" s="202"/>
      <c r="AU165" s="136" t="e">
        <f t="array" ref="AU165">#REF!</f>
        <v>#REF!</v>
      </c>
      <c r="AV165" s="195">
        <v>0</v>
      </c>
      <c r="AW165" s="202"/>
      <c r="AX165" s="202"/>
      <c r="AY165" s="136">
        <f>IF(AY$88,AR165*AY$112,AV165*1)</f>
        <v>0</v>
      </c>
      <c r="AZ165" s="202"/>
      <c r="BA165" s="202"/>
      <c r="BB165" s="202"/>
      <c r="BC165" s="202"/>
      <c r="BD165" s="136" t="e">
        <f>'ВО-2021-2025'!$AR$165*'ВО-2021-2025'!$BD$112</f>
        <v>#REF!</v>
      </c>
      <c r="BE165" s="202"/>
      <c r="BF165" s="202"/>
      <c r="BG165" s="267">
        <f t="shared" si="9"/>
        <v>0</v>
      </c>
      <c r="BH165" s="267" t="e">
        <f>BD165-#REF!</f>
        <v>#REF!</v>
      </c>
      <c r="BI165" s="267" t="e">
        <f t="shared" si="10"/>
        <v>#REF!</v>
      </c>
      <c r="BJ165" s="136" t="e">
        <f>#REF!*BJ$111</f>
        <v>#REF!</v>
      </c>
      <c r="BK165" s="202"/>
      <c r="BL165" s="202"/>
      <c r="BM165" s="136" t="e">
        <f>BD165*BM$111</f>
        <v>#REF!</v>
      </c>
      <c r="BN165" s="202"/>
      <c r="BO165" s="202"/>
      <c r="BP165" s="267" t="e">
        <f t="shared" si="20"/>
        <v>#REF!</v>
      </c>
      <c r="BQ165" s="267" t="e">
        <f t="shared" si="21"/>
        <v>#REF!</v>
      </c>
      <c r="BR165" s="136" t="e">
        <f>BJ165*BR$111</f>
        <v>#REF!</v>
      </c>
      <c r="BS165" s="202"/>
      <c r="BT165" s="202"/>
      <c r="BU165" s="136" t="e">
        <f>BM165*BU$111</f>
        <v>#REF!</v>
      </c>
      <c r="BV165" s="202"/>
      <c r="BW165" s="202"/>
      <c r="BX165" s="267" t="e">
        <f t="shared" si="22"/>
        <v>#REF!</v>
      </c>
      <c r="BY165" s="267" t="e">
        <f t="shared" si="23"/>
        <v>#REF!</v>
      </c>
      <c r="BZ165" s="136" t="e">
        <f>BR165*BZ$111</f>
        <v>#REF!</v>
      </c>
      <c r="CA165" s="202"/>
      <c r="CB165" s="202"/>
      <c r="CC165" s="136" t="e">
        <f>BU165*CC$111</f>
        <v>#REF!</v>
      </c>
      <c r="CD165" s="202"/>
      <c r="CE165" s="202"/>
      <c r="CF165" s="267" t="e">
        <f t="shared" si="24"/>
        <v>#REF!</v>
      </c>
      <c r="CG165" s="267" t="e">
        <f t="shared" si="25"/>
        <v>#REF!</v>
      </c>
      <c r="CH165" s="136" t="e">
        <f>BZ165*CH$111</f>
        <v>#REF!</v>
      </c>
      <c r="CI165" s="202"/>
      <c r="CJ165" s="202"/>
      <c r="CK165" s="136" t="e">
        <f>CC165*CK$111</f>
        <v>#REF!</v>
      </c>
      <c r="CL165" s="202"/>
      <c r="CM165" s="202"/>
      <c r="CN165" s="267" t="e">
        <f t="shared" si="26"/>
        <v>#REF!</v>
      </c>
      <c r="CO165" s="267" t="e">
        <f t="shared" si="27"/>
        <v>#REF!</v>
      </c>
      <c r="CP165" s="92"/>
      <c r="CQ165" s="85"/>
      <c r="CR165" s="85"/>
      <c r="CS165" s="85"/>
      <c r="CT165" s="99" t="e">
        <f t="shared" si="19"/>
        <v>#REF!</v>
      </c>
      <c r="CU165" s="99" t="e">
        <f t="array" ref="CU165">BD165</f>
        <v>#REF!</v>
      </c>
      <c r="CV165" s="101"/>
      <c r="CW165" s="101"/>
      <c r="CX165" s="101"/>
      <c r="CY165" s="101"/>
      <c r="CZ165" s="101"/>
      <c r="DA165" s="101"/>
      <c r="DB165" s="101"/>
    </row>
    <row r="166" spans="1:106" ht="14.25" customHeight="1" outlineLevel="4" x14ac:dyDescent="0.25">
      <c r="C166" s="2" t="s">
        <v>84</v>
      </c>
      <c r="D166" s="2" t="s">
        <v>85</v>
      </c>
      <c r="E166" s="2" t="s">
        <v>74</v>
      </c>
      <c r="F166" s="2" t="s">
        <v>75</v>
      </c>
      <c r="G166" s="2" t="s">
        <v>205</v>
      </c>
      <c r="H166" s="2" t="s">
        <v>206</v>
      </c>
      <c r="I166" s="2" t="s">
        <v>74</v>
      </c>
      <c r="K166" s="5" t="s">
        <v>74</v>
      </c>
      <c r="L166" s="2" t="s">
        <v>196</v>
      </c>
      <c r="M166" s="8" t="str">
        <f t="array" ref="M166">Y107</f>
        <v>1ВО::1.1</v>
      </c>
      <c r="AA166" s="107" t="str">
        <f>AA160&amp;".3"</f>
        <v>3.1.1.1.3</v>
      </c>
      <c r="AB166" s="198" t="s">
        <v>207</v>
      </c>
      <c r="AC166" s="197" t="s">
        <v>114</v>
      </c>
      <c r="AD166" s="173">
        <v>191174.42240697111</v>
      </c>
      <c r="AE166" s="173">
        <v>202365.39114970597</v>
      </c>
      <c r="AF166" s="173">
        <v>233439.99780266441</v>
      </c>
      <c r="AG166" s="174"/>
      <c r="AH166" s="174"/>
      <c r="AI166" s="173">
        <f>AI167+AI170</f>
        <v>233439.99780266441</v>
      </c>
      <c r="AJ166" s="174"/>
      <c r="AK166" s="174"/>
      <c r="AL166" s="174"/>
      <c r="AM166" s="174"/>
      <c r="AN166" s="173" t="e">
        <f>AN167+AN170</f>
        <v>#REF!</v>
      </c>
      <c r="AO166" s="173">
        <v>395593.92192479043</v>
      </c>
      <c r="AP166" s="174"/>
      <c r="AQ166" s="174"/>
      <c r="AR166" s="173">
        <f>AR167+AR170</f>
        <v>395593.92192479043</v>
      </c>
      <c r="AS166" s="174"/>
      <c r="AT166" s="174"/>
      <c r="AU166" s="173" t="e">
        <f>AU167+AU170</f>
        <v>#REF!</v>
      </c>
      <c r="AV166" s="173">
        <v>408086.77797917527</v>
      </c>
      <c r="AW166" s="174"/>
      <c r="AX166" s="174"/>
      <c r="AY166" s="173">
        <f>AY167+AY170</f>
        <v>408086.77797917527</v>
      </c>
      <c r="AZ166" s="174"/>
      <c r="BA166" s="174"/>
      <c r="BB166" s="174"/>
      <c r="BC166" s="174"/>
      <c r="BD166" s="173" t="e">
        <f>BD167+BD170</f>
        <v>#REF!</v>
      </c>
      <c r="BE166" s="174"/>
      <c r="BF166" s="174"/>
      <c r="BG166" s="267" t="e">
        <f t="shared" si="9"/>
        <v>#REF!</v>
      </c>
      <c r="BH166" s="267" t="e">
        <f>BD166-#REF!</f>
        <v>#REF!</v>
      </c>
      <c r="BI166" s="267" t="e">
        <f t="shared" si="10"/>
        <v>#REF!</v>
      </c>
      <c r="BJ166" s="173" t="e">
        <f>BJ167+BJ170</f>
        <v>#REF!</v>
      </c>
      <c r="BK166" s="174"/>
      <c r="BL166" s="174"/>
      <c r="BM166" s="173" t="e">
        <f>BM167+BM170</f>
        <v>#REF!</v>
      </c>
      <c r="BN166" s="174"/>
      <c r="BO166" s="174"/>
      <c r="BP166" s="267" t="e">
        <f t="shared" si="20"/>
        <v>#REF!</v>
      </c>
      <c r="BQ166" s="267" t="e">
        <f t="shared" si="21"/>
        <v>#REF!</v>
      </c>
      <c r="BR166" s="173" t="e">
        <f>BR167+BR170</f>
        <v>#REF!</v>
      </c>
      <c r="BS166" s="174"/>
      <c r="BT166" s="174"/>
      <c r="BU166" s="173" t="e">
        <f>BU167+BU170</f>
        <v>#REF!</v>
      </c>
      <c r="BV166" s="174"/>
      <c r="BW166" s="174"/>
      <c r="BX166" s="267" t="e">
        <f t="shared" si="22"/>
        <v>#REF!</v>
      </c>
      <c r="BY166" s="267" t="e">
        <f t="shared" si="23"/>
        <v>#REF!</v>
      </c>
      <c r="BZ166" s="173" t="e">
        <f>BZ167+BZ170</f>
        <v>#REF!</v>
      </c>
      <c r="CA166" s="174"/>
      <c r="CB166" s="174"/>
      <c r="CC166" s="173" t="e">
        <f>CC167+CC170</f>
        <v>#REF!</v>
      </c>
      <c r="CD166" s="174"/>
      <c r="CE166" s="174"/>
      <c r="CF166" s="267" t="e">
        <f t="shared" si="24"/>
        <v>#REF!</v>
      </c>
      <c r="CG166" s="267" t="e">
        <f t="shared" si="25"/>
        <v>#REF!</v>
      </c>
      <c r="CH166" s="173" t="e">
        <f>CH167+CH170</f>
        <v>#REF!</v>
      </c>
      <c r="CI166" s="174"/>
      <c r="CJ166" s="174"/>
      <c r="CK166" s="173" t="e">
        <f>CK167+CK170</f>
        <v>#REF!</v>
      </c>
      <c r="CL166" s="174"/>
      <c r="CM166" s="174"/>
      <c r="CN166" s="267" t="e">
        <f t="shared" si="26"/>
        <v>#REF!</v>
      </c>
      <c r="CO166" s="267" t="e">
        <f t="shared" si="27"/>
        <v>#REF!</v>
      </c>
      <c r="CP166" s="92"/>
      <c r="CQ166" s="85"/>
      <c r="CR166" s="85"/>
      <c r="CS166" s="85"/>
      <c r="CT166" s="99" t="e">
        <f t="shared" si="19"/>
        <v>#REF!</v>
      </c>
      <c r="CU166" s="100" t="e">
        <f>CU167+CU170</f>
        <v>#REF!</v>
      </c>
      <c r="CV166" s="101"/>
      <c r="CW166" s="101"/>
      <c r="CX166" s="101"/>
      <c r="CY166" s="101"/>
      <c r="CZ166" s="101"/>
      <c r="DA166" s="101"/>
      <c r="DB166" s="101"/>
    </row>
    <row r="167" spans="1:106" ht="14.25" customHeight="1" outlineLevel="4" x14ac:dyDescent="0.25">
      <c r="C167" s="2" t="s">
        <v>84</v>
      </c>
      <c r="D167" s="2" t="s">
        <v>85</v>
      </c>
      <c r="E167" s="2" t="s">
        <v>74</v>
      </c>
      <c r="F167" s="2" t="s">
        <v>75</v>
      </c>
      <c r="G167" s="2" t="s">
        <v>208</v>
      </c>
      <c r="H167" s="2" t="s">
        <v>206</v>
      </c>
      <c r="I167" s="2" t="s">
        <v>74</v>
      </c>
      <c r="K167" s="5" t="s">
        <v>74</v>
      </c>
      <c r="L167" s="2" t="s">
        <v>196</v>
      </c>
      <c r="M167" s="8" t="str">
        <f t="array" ref="M167">Y107</f>
        <v>1ВО::1.1</v>
      </c>
      <c r="AA167" s="107" t="str">
        <f>AA166&amp;".1"</f>
        <v>3.1.1.1.3.1</v>
      </c>
      <c r="AB167" s="199" t="s">
        <v>209</v>
      </c>
      <c r="AC167" s="197" t="s">
        <v>114</v>
      </c>
      <c r="AD167" s="136">
        <v>146718.665606864</v>
      </c>
      <c r="AE167" s="136">
        <v>155307.28316411699</v>
      </c>
      <c r="AF167" s="195">
        <v>179155.791583693</v>
      </c>
      <c r="AG167" s="202"/>
      <c r="AH167" s="202"/>
      <c r="AI167" s="136">
        <v>179155.791583693</v>
      </c>
      <c r="AJ167" s="202"/>
      <c r="AK167" s="202"/>
      <c r="AL167" s="202"/>
      <c r="AM167" s="202"/>
      <c r="AN167" s="204" t="e">
        <f t="array" ref="AN167">IF('ВО-2021-2025'!$AN$81="Методика",IF('ВО-2021-2025'!AI$158=0,0,'ВО-2021-2025'!AI167/'ВО-2021-2025'!AI$158*'ВО-2021-2025'!AN$159),'ВО-2021-2025'!#REF!)</f>
        <v>#REF!</v>
      </c>
      <c r="AO167" s="195">
        <v>303835.57751520001</v>
      </c>
      <c r="AP167" s="202"/>
      <c r="AQ167" s="202"/>
      <c r="AR167" s="136">
        <v>303835.57751520001</v>
      </c>
      <c r="AS167" s="202"/>
      <c r="AT167" s="202"/>
      <c r="AU167" s="204" t="e">
        <f t="array" ref="AU167">'ВО-2021-2025'!#REF!</f>
        <v>#REF!</v>
      </c>
      <c r="AV167" s="195">
        <v>313430.70505312999</v>
      </c>
      <c r="AW167" s="202"/>
      <c r="AX167" s="202"/>
      <c r="AY167" s="136">
        <v>313430.70505312999</v>
      </c>
      <c r="AZ167" s="202"/>
      <c r="BA167" s="202"/>
      <c r="BB167" s="202"/>
      <c r="BC167" s="202"/>
      <c r="BD167" s="204" t="e">
        <f>'ВО-2021-2025'!$AR$167*'ВО-2021-2025'!$BD$112</f>
        <v>#REF!</v>
      </c>
      <c r="BE167" s="202"/>
      <c r="BF167" s="202"/>
      <c r="BG167" s="267" t="e">
        <f t="shared" si="9"/>
        <v>#REF!</v>
      </c>
      <c r="BH167" s="267" t="e">
        <f>BD167-#REF!</f>
        <v>#REF!</v>
      </c>
      <c r="BI167" s="267" t="e">
        <f t="shared" si="10"/>
        <v>#REF!</v>
      </c>
      <c r="BJ167" s="136" t="e">
        <f>#REF!*BJ$111</f>
        <v>#REF!</v>
      </c>
      <c r="BK167" s="202"/>
      <c r="BL167" s="202"/>
      <c r="BM167" s="136" t="e">
        <f>BD167*BM$111</f>
        <v>#REF!</v>
      </c>
      <c r="BN167" s="202"/>
      <c r="BO167" s="202"/>
      <c r="BP167" s="267" t="e">
        <f t="shared" si="20"/>
        <v>#REF!</v>
      </c>
      <c r="BQ167" s="267" t="e">
        <f t="shared" si="21"/>
        <v>#REF!</v>
      </c>
      <c r="BR167" s="136" t="e">
        <f>BJ167*BR$111</f>
        <v>#REF!</v>
      </c>
      <c r="BS167" s="202"/>
      <c r="BT167" s="202"/>
      <c r="BU167" s="136" t="e">
        <f>BM167*BU$111</f>
        <v>#REF!</v>
      </c>
      <c r="BV167" s="202"/>
      <c r="BW167" s="202"/>
      <c r="BX167" s="267" t="e">
        <f t="shared" si="22"/>
        <v>#REF!</v>
      </c>
      <c r="BY167" s="267" t="e">
        <f t="shared" si="23"/>
        <v>#REF!</v>
      </c>
      <c r="BZ167" s="136" t="e">
        <f>BR167*BZ$111</f>
        <v>#REF!</v>
      </c>
      <c r="CA167" s="202"/>
      <c r="CB167" s="202"/>
      <c r="CC167" s="136" t="e">
        <f>BU167*CC$111</f>
        <v>#REF!</v>
      </c>
      <c r="CD167" s="202"/>
      <c r="CE167" s="202"/>
      <c r="CF167" s="267" t="e">
        <f t="shared" si="24"/>
        <v>#REF!</v>
      </c>
      <c r="CG167" s="267" t="e">
        <f t="shared" si="25"/>
        <v>#REF!</v>
      </c>
      <c r="CH167" s="136" t="e">
        <f>BZ167*CH$111</f>
        <v>#REF!</v>
      </c>
      <c r="CI167" s="202"/>
      <c r="CJ167" s="202"/>
      <c r="CK167" s="136" t="e">
        <f>CC167*CK$111</f>
        <v>#REF!</v>
      </c>
      <c r="CL167" s="202"/>
      <c r="CM167" s="202"/>
      <c r="CN167" s="267" t="e">
        <f t="shared" si="26"/>
        <v>#REF!</v>
      </c>
      <c r="CO167" s="267" t="e">
        <f t="shared" si="27"/>
        <v>#REF!</v>
      </c>
      <c r="CP167" s="92"/>
      <c r="CQ167" s="85"/>
      <c r="CR167" s="85"/>
      <c r="CS167" s="85"/>
      <c r="CT167" s="99" t="e">
        <f t="shared" si="19"/>
        <v>#REF!</v>
      </c>
      <c r="CU167" s="99" t="e">
        <f t="array" ref="CU167">BD167</f>
        <v>#REF!</v>
      </c>
      <c r="CV167" s="101"/>
      <c r="CW167" s="101"/>
      <c r="CX167" s="101"/>
      <c r="CY167" s="101"/>
      <c r="CZ167" s="101"/>
      <c r="DA167" s="101"/>
      <c r="DB167" s="101"/>
    </row>
    <row r="168" spans="1:106" ht="14.25" customHeight="1" outlineLevel="4" x14ac:dyDescent="0.25">
      <c r="C168" s="2" t="s">
        <v>210</v>
      </c>
      <c r="D168" s="2" t="s">
        <v>211</v>
      </c>
      <c r="E168" s="2" t="s">
        <v>74</v>
      </c>
      <c r="F168" s="2" t="s">
        <v>75</v>
      </c>
      <c r="G168" s="2" t="s">
        <v>74</v>
      </c>
      <c r="H168" s="2" t="s">
        <v>206</v>
      </c>
      <c r="I168" s="2" t="s">
        <v>74</v>
      </c>
      <c r="K168" s="5" t="s">
        <v>74</v>
      </c>
      <c r="L168" s="2" t="s">
        <v>196</v>
      </c>
      <c r="M168" s="8" t="str">
        <f t="array" ref="M168">Y107</f>
        <v>1ВО::1.1</v>
      </c>
      <c r="AA168" s="107" t="str">
        <f>AA167&amp;".1"</f>
        <v>3.1.1.1.3.1.1</v>
      </c>
      <c r="AB168" s="205" t="s">
        <v>212</v>
      </c>
      <c r="AC168" s="197" t="s">
        <v>213</v>
      </c>
      <c r="AD168" s="173">
        <v>30211.404663302859</v>
      </c>
      <c r="AE168" s="173">
        <v>31979.919933308003</v>
      </c>
      <c r="AF168" s="173">
        <v>36890.658014927314</v>
      </c>
      <c r="AG168" s="174"/>
      <c r="AH168" s="174"/>
      <c r="AI168" s="173">
        <f>IF(AI169=0,0,AI167*1000/AI$89/AI169)</f>
        <v>36890.658014927314</v>
      </c>
      <c r="AJ168" s="174"/>
      <c r="AK168" s="174"/>
      <c r="AL168" s="174"/>
      <c r="AM168" s="174"/>
      <c r="AN168" s="173" t="e">
        <f>IF(AN169=0,0,AN167*1000/AN$89/AN169)</f>
        <v>#REF!</v>
      </c>
      <c r="AO168" s="173">
        <v>47496.87</v>
      </c>
      <c r="AP168" s="174"/>
      <c r="AQ168" s="174"/>
      <c r="AR168" s="173">
        <f>IF(AR169=0,0,AR167*1000/AR$89/AR169)</f>
        <v>47496.87</v>
      </c>
      <c r="AS168" s="174"/>
      <c r="AT168" s="174"/>
      <c r="AU168" s="173" t="e">
        <f>IF(AU169=0,0,AU167*1000/AU$89/AU169)</f>
        <v>#REF!</v>
      </c>
      <c r="AV168" s="173">
        <v>49491.738539999998</v>
      </c>
      <c r="AW168" s="174"/>
      <c r="AX168" s="174"/>
      <c r="AY168" s="173">
        <f>IF(AY169=0,0,AY167*1000/AY$89/AY169)</f>
        <v>49491.738539999998</v>
      </c>
      <c r="AZ168" s="174"/>
      <c r="BA168" s="174"/>
      <c r="BB168" s="174"/>
      <c r="BC168" s="174"/>
      <c r="BD168" s="173" t="e">
        <f>IF(BD169=0,0,BD167*1000/BD$89/BD169)</f>
        <v>#REF!</v>
      </c>
      <c r="BE168" s="174"/>
      <c r="BF168" s="174"/>
      <c r="BG168" s="267" t="e">
        <f t="shared" si="9"/>
        <v>#REF!</v>
      </c>
      <c r="BH168" s="267" t="e">
        <f>BD168-#REF!</f>
        <v>#REF!</v>
      </c>
      <c r="BI168" s="267" t="e">
        <f t="shared" si="10"/>
        <v>#REF!</v>
      </c>
      <c r="BJ168" s="173" t="e">
        <f>IF(BJ169=0,0,BJ167*1000/BJ$89/BJ169)</f>
        <v>#REF!</v>
      </c>
      <c r="BK168" s="174"/>
      <c r="BL168" s="174"/>
      <c r="BM168" s="173" t="e">
        <f>IF(BM169=0,0,BM167*1000/BM$89/BM169)</f>
        <v>#REF!</v>
      </c>
      <c r="BN168" s="174"/>
      <c r="BO168" s="174"/>
      <c r="BP168" s="267" t="e">
        <f t="shared" si="20"/>
        <v>#REF!</v>
      </c>
      <c r="BQ168" s="267" t="e">
        <f t="shared" si="21"/>
        <v>#REF!</v>
      </c>
      <c r="BR168" s="173" t="e">
        <f>IF(BR169=0,0,BR167*1000/BR$89/BR169)</f>
        <v>#REF!</v>
      </c>
      <c r="BS168" s="174"/>
      <c r="BT168" s="174"/>
      <c r="BU168" s="173" t="e">
        <f>IF(BU169=0,0,BU167*1000/BU$89/BU169)</f>
        <v>#REF!</v>
      </c>
      <c r="BV168" s="174"/>
      <c r="BW168" s="174"/>
      <c r="BX168" s="267" t="e">
        <f t="shared" si="22"/>
        <v>#REF!</v>
      </c>
      <c r="BY168" s="267" t="e">
        <f t="shared" si="23"/>
        <v>#REF!</v>
      </c>
      <c r="BZ168" s="173" t="e">
        <f>IF(BZ169=0,0,BZ167*1000/BZ$89/BZ169)</f>
        <v>#REF!</v>
      </c>
      <c r="CA168" s="174"/>
      <c r="CB168" s="174"/>
      <c r="CC168" s="173" t="e">
        <f>IF(CC169=0,0,CC167*1000/CC$89/CC169)</f>
        <v>#REF!</v>
      </c>
      <c r="CD168" s="174"/>
      <c r="CE168" s="174"/>
      <c r="CF168" s="267" t="e">
        <f t="shared" si="24"/>
        <v>#REF!</v>
      </c>
      <c r="CG168" s="267" t="e">
        <f t="shared" si="25"/>
        <v>#REF!</v>
      </c>
      <c r="CH168" s="173" t="e">
        <f>IF(CH169=0,0,CH167*1000/CH$89/CH169)</f>
        <v>#REF!</v>
      </c>
      <c r="CI168" s="174"/>
      <c r="CJ168" s="174"/>
      <c r="CK168" s="173" t="e">
        <f>IF(CK169=0,0,CK167*1000/CK$89/CK169)</f>
        <v>#REF!</v>
      </c>
      <c r="CL168" s="174"/>
      <c r="CM168" s="174"/>
      <c r="CN168" s="267" t="e">
        <f t="shared" si="26"/>
        <v>#REF!</v>
      </c>
      <c r="CO168" s="267" t="e">
        <f t="shared" si="27"/>
        <v>#REF!</v>
      </c>
      <c r="CP168" s="92"/>
      <c r="CQ168" s="85"/>
      <c r="CR168" s="85"/>
      <c r="CS168" s="85"/>
      <c r="CT168" s="99" t="e">
        <f t="shared" si="19"/>
        <v>#REF!</v>
      </c>
      <c r="CU168" s="100" t="e">
        <f>IF(CU169=0,0,CU167*1000/CU$89/CU169)</f>
        <v>#REF!</v>
      </c>
      <c r="CV168" s="101"/>
      <c r="CW168" s="101"/>
      <c r="CX168" s="101"/>
      <c r="CY168" s="101"/>
      <c r="CZ168" s="101"/>
      <c r="DA168" s="101"/>
      <c r="DB168" s="101"/>
    </row>
    <row r="169" spans="1:106" ht="14.25" customHeight="1" outlineLevel="4" x14ac:dyDescent="0.25">
      <c r="C169" s="2" t="s">
        <v>214</v>
      </c>
      <c r="D169" s="2" t="s">
        <v>215</v>
      </c>
      <c r="E169" s="2" t="s">
        <v>74</v>
      </c>
      <c r="F169" s="2" t="s">
        <v>75</v>
      </c>
      <c r="G169" s="2" t="s">
        <v>74</v>
      </c>
      <c r="H169" s="2" t="s">
        <v>206</v>
      </c>
      <c r="I169" s="2" t="s">
        <v>74</v>
      </c>
      <c r="K169" s="5" t="s">
        <v>74</v>
      </c>
      <c r="L169" s="2" t="s">
        <v>196</v>
      </c>
      <c r="M169" s="8" t="str">
        <f t="array" ref="M169">Y107</f>
        <v>1ВО::1.1</v>
      </c>
      <c r="AA169" s="107" t="str">
        <f>AA167&amp;".2"</f>
        <v>3.1.1.1.3.1.2</v>
      </c>
      <c r="AB169" s="205" t="s">
        <v>216</v>
      </c>
      <c r="AC169" s="197" t="s">
        <v>217</v>
      </c>
      <c r="AD169" s="136">
        <v>404.7</v>
      </c>
      <c r="AE169" s="136">
        <v>404.7</v>
      </c>
      <c r="AF169" s="195">
        <v>404.7</v>
      </c>
      <c r="AG169" s="202"/>
      <c r="AH169" s="202"/>
      <c r="AI169" s="136">
        <v>404.7</v>
      </c>
      <c r="AJ169" s="202"/>
      <c r="AK169" s="202"/>
      <c r="AL169" s="202"/>
      <c r="AM169" s="202"/>
      <c r="AN169" s="204" t="e">
        <f t="array" ref="AN169">IF('ВО-2021-2025'!$AN$81="Методика",'ВО-2021-2025'!AI169,'ВО-2021-2025'!#REF!)</f>
        <v>#REF!</v>
      </c>
      <c r="AO169" s="195">
        <v>533.08000000000004</v>
      </c>
      <c r="AP169" s="202"/>
      <c r="AQ169" s="202"/>
      <c r="AR169" s="136">
        <v>533.08000000000004</v>
      </c>
      <c r="AS169" s="202"/>
      <c r="AT169" s="202"/>
      <c r="AU169" s="204" t="e">
        <f t="array" ref="AU169">'ВО-2021-2025'!#REF!</f>
        <v>#REF!</v>
      </c>
      <c r="AV169" s="195">
        <v>527.74919999999997</v>
      </c>
      <c r="AW169" s="202"/>
      <c r="AX169" s="202"/>
      <c r="AY169" s="136">
        <v>527.74919999999997</v>
      </c>
      <c r="AZ169" s="202"/>
      <c r="BA169" s="202"/>
      <c r="BB169" s="202"/>
      <c r="BC169" s="202"/>
      <c r="BD169" s="204">
        <f t="array" ref="BD169">IF('ВО-2021-2025'!$BD$80="индексировать",'ВО-2021-2025'!$AR$169*(1-'ВО-2021-2025'!$BD$113)*(1+'ВО-2021-2025'!$BD$115),'ВО-2021-2025'!$AR$169)</f>
        <v>533.08000000000004</v>
      </c>
      <c r="BE169" s="202"/>
      <c r="BF169" s="202"/>
      <c r="BG169" s="267">
        <f t="shared" si="9"/>
        <v>100</v>
      </c>
      <c r="BH169" s="267" t="e">
        <f>BD169-#REF!</f>
        <v>#REF!</v>
      </c>
      <c r="BI169" s="267">
        <f t="shared" si="10"/>
        <v>5.3308000000000675</v>
      </c>
      <c r="BJ169" s="136" t="e">
        <f>#REF!*IF(#REF!="индексировать",(1-BJ$113)*(1+BJ$115),1)</f>
        <v>#REF!</v>
      </c>
      <c r="BK169" s="202"/>
      <c r="BL169" s="202"/>
      <c r="BM169" s="136">
        <f>BD169*IF($BD$80="индексировать",(1-BM$113)*(1+BM$115),1)</f>
        <v>533.08000000000004</v>
      </c>
      <c r="BN169" s="202"/>
      <c r="BO169" s="202"/>
      <c r="BP169" s="267">
        <f t="shared" si="20"/>
        <v>100</v>
      </c>
      <c r="BQ169" s="267" t="e">
        <f t="shared" si="21"/>
        <v>#REF!</v>
      </c>
      <c r="BR169" s="136" t="e">
        <f>BJ169*IF(#REF!="индексировать",(1-BR$113)*(1+BR$115),1)</f>
        <v>#REF!</v>
      </c>
      <c r="BS169" s="202"/>
      <c r="BT169" s="202"/>
      <c r="BU169" s="136">
        <f>BM169*IF($BD$80="индексировать",(1-BU$113)*(1+BU$115),1)</f>
        <v>533.08000000000004</v>
      </c>
      <c r="BV169" s="202"/>
      <c r="BW169" s="202"/>
      <c r="BX169" s="267">
        <f t="shared" si="22"/>
        <v>100</v>
      </c>
      <c r="BY169" s="267" t="e">
        <f t="shared" si="23"/>
        <v>#REF!</v>
      </c>
      <c r="BZ169" s="136" t="e">
        <f>BR169*IF(#REF!="индексировать",(1-BZ$113)*(1+BZ$115),1)</f>
        <v>#REF!</v>
      </c>
      <c r="CA169" s="202"/>
      <c r="CB169" s="202"/>
      <c r="CC169" s="136">
        <f>BU169*IF($BD$80="индексировать",(1-CC$113)*(1+CC$115),1)</f>
        <v>533.08000000000004</v>
      </c>
      <c r="CD169" s="202"/>
      <c r="CE169" s="202"/>
      <c r="CF169" s="267">
        <f t="shared" si="24"/>
        <v>100</v>
      </c>
      <c r="CG169" s="267" t="e">
        <f t="shared" si="25"/>
        <v>#REF!</v>
      </c>
      <c r="CH169" s="136" t="e">
        <f>BZ169*IF(#REF!="индексировать",(1-CH$113)*(1+CH$115),1)</f>
        <v>#REF!</v>
      </c>
      <c r="CI169" s="202"/>
      <c r="CJ169" s="202"/>
      <c r="CK169" s="136">
        <f>CC169*IF($BD$80="индексировать",(1-CK$113)*(1+CK$115),1)</f>
        <v>533.08000000000004</v>
      </c>
      <c r="CL169" s="202"/>
      <c r="CM169" s="202"/>
      <c r="CN169" s="267">
        <f t="shared" si="26"/>
        <v>100</v>
      </c>
      <c r="CO169" s="267" t="e">
        <f t="shared" si="27"/>
        <v>#REF!</v>
      </c>
      <c r="CP169" s="92"/>
      <c r="CQ169" s="85"/>
      <c r="CR169" s="85"/>
      <c r="CS169" s="85"/>
      <c r="CT169" s="99" t="e">
        <f t="shared" si="19"/>
        <v>#REF!</v>
      </c>
      <c r="CU169" s="99">
        <f t="array" ref="CU169">BD169</f>
        <v>533.08000000000004</v>
      </c>
      <c r="CV169" s="101"/>
      <c r="CW169" s="101"/>
      <c r="CX169" s="101"/>
      <c r="CY169" s="101"/>
      <c r="CZ169" s="101"/>
      <c r="DA169" s="101"/>
      <c r="DB169" s="101"/>
    </row>
    <row r="170" spans="1:106" ht="14.25" customHeight="1" outlineLevel="4" x14ac:dyDescent="0.25">
      <c r="C170" s="2" t="s">
        <v>84</v>
      </c>
      <c r="D170" s="2" t="s">
        <v>85</v>
      </c>
      <c r="E170" s="2" t="s">
        <v>74</v>
      </c>
      <c r="F170" s="2" t="s">
        <v>75</v>
      </c>
      <c r="G170" s="2" t="s">
        <v>218</v>
      </c>
      <c r="H170" s="2" t="s">
        <v>206</v>
      </c>
      <c r="I170" s="2" t="s">
        <v>74</v>
      </c>
      <c r="K170" s="5" t="s">
        <v>74</v>
      </c>
      <c r="L170" s="2" t="s">
        <v>196</v>
      </c>
      <c r="M170" s="8" t="str">
        <f t="array" ref="M170">Y107</f>
        <v>1ВО::1.1</v>
      </c>
      <c r="AA170" s="107" t="str">
        <f>AA166&amp;".2"</f>
        <v>3.1.1.1.3.2</v>
      </c>
      <c r="AB170" s="199" t="s">
        <v>219</v>
      </c>
      <c r="AC170" s="197" t="s">
        <v>114</v>
      </c>
      <c r="AD170" s="136">
        <v>44455.756800107098</v>
      </c>
      <c r="AE170" s="136">
        <v>47058.107985588998</v>
      </c>
      <c r="AF170" s="195">
        <v>54284.206218971398</v>
      </c>
      <c r="AG170" s="202"/>
      <c r="AH170" s="202"/>
      <c r="AI170" s="136">
        <v>54284.206218971398</v>
      </c>
      <c r="AJ170" s="202"/>
      <c r="AK170" s="202"/>
      <c r="AL170" s="202"/>
      <c r="AM170" s="202"/>
      <c r="AN170" s="204" t="e">
        <f t="array" ref="AN170">IF('ВО-2021-2025'!$AN$81="Методика",IF('ВО-2021-2025'!AI$158=0,0,'ВО-2021-2025'!AI170/'ВО-2021-2025'!AI$158*'ВО-2021-2025'!AN$159),'ВО-2021-2025'!#REF!)</f>
        <v>#REF!</v>
      </c>
      <c r="AO170" s="195">
        <v>91758.344409590398</v>
      </c>
      <c r="AP170" s="202"/>
      <c r="AQ170" s="202"/>
      <c r="AR170" s="136">
        <v>91758.344409590398</v>
      </c>
      <c r="AS170" s="202"/>
      <c r="AT170" s="202"/>
      <c r="AU170" s="204" t="e">
        <f t="array" ref="AU170">'ВО-2021-2025'!#REF!</f>
        <v>#REF!</v>
      </c>
      <c r="AV170" s="195">
        <v>94656.072926045294</v>
      </c>
      <c r="AW170" s="202"/>
      <c r="AX170" s="202"/>
      <c r="AY170" s="136">
        <v>94656.072926045294</v>
      </c>
      <c r="AZ170" s="202"/>
      <c r="BA170" s="202"/>
      <c r="BB170" s="202"/>
      <c r="BC170" s="202"/>
      <c r="BD170" s="204" t="e">
        <f>'ВО-2021-2025'!$AR$170*'ВО-2021-2025'!$BD$112</f>
        <v>#REF!</v>
      </c>
      <c r="BE170" s="202"/>
      <c r="BF170" s="202"/>
      <c r="BG170" s="267" t="e">
        <f t="shared" si="9"/>
        <v>#REF!</v>
      </c>
      <c r="BH170" s="267" t="e">
        <f>BD170-#REF!</f>
        <v>#REF!</v>
      </c>
      <c r="BI170" s="267" t="e">
        <f t="shared" si="10"/>
        <v>#REF!</v>
      </c>
      <c r="BJ170" s="136" t="e">
        <f>#REF!*BJ$111</f>
        <v>#REF!</v>
      </c>
      <c r="BK170" s="202"/>
      <c r="BL170" s="202"/>
      <c r="BM170" s="136" t="e">
        <f>BD170*BM$111</f>
        <v>#REF!</v>
      </c>
      <c r="BN170" s="202"/>
      <c r="BO170" s="202"/>
      <c r="BP170" s="267" t="e">
        <f t="shared" si="20"/>
        <v>#REF!</v>
      </c>
      <c r="BQ170" s="267" t="e">
        <f t="shared" si="21"/>
        <v>#REF!</v>
      </c>
      <c r="BR170" s="136" t="e">
        <f>BJ170*BR$111</f>
        <v>#REF!</v>
      </c>
      <c r="BS170" s="202"/>
      <c r="BT170" s="202"/>
      <c r="BU170" s="136" t="e">
        <f>BM170*BU$111</f>
        <v>#REF!</v>
      </c>
      <c r="BV170" s="202"/>
      <c r="BW170" s="202"/>
      <c r="BX170" s="267" t="e">
        <f t="shared" si="22"/>
        <v>#REF!</v>
      </c>
      <c r="BY170" s="267" t="e">
        <f t="shared" si="23"/>
        <v>#REF!</v>
      </c>
      <c r="BZ170" s="136" t="e">
        <f>BR170*BZ$111</f>
        <v>#REF!</v>
      </c>
      <c r="CA170" s="202"/>
      <c r="CB170" s="202"/>
      <c r="CC170" s="136" t="e">
        <f>BU170*CC$111</f>
        <v>#REF!</v>
      </c>
      <c r="CD170" s="202"/>
      <c r="CE170" s="202"/>
      <c r="CF170" s="267" t="e">
        <f t="shared" si="24"/>
        <v>#REF!</v>
      </c>
      <c r="CG170" s="267" t="e">
        <f t="shared" si="25"/>
        <v>#REF!</v>
      </c>
      <c r="CH170" s="136" t="e">
        <f>BZ170*CH$111</f>
        <v>#REF!</v>
      </c>
      <c r="CI170" s="202"/>
      <c r="CJ170" s="202"/>
      <c r="CK170" s="136" t="e">
        <f>CC170*CK$111</f>
        <v>#REF!</v>
      </c>
      <c r="CL170" s="202"/>
      <c r="CM170" s="202"/>
      <c r="CN170" s="267" t="e">
        <f t="shared" si="26"/>
        <v>#REF!</v>
      </c>
      <c r="CO170" s="267" t="e">
        <f t="shared" si="27"/>
        <v>#REF!</v>
      </c>
      <c r="CP170" s="92"/>
      <c r="CQ170" s="85"/>
      <c r="CR170" s="85"/>
      <c r="CS170" s="85"/>
      <c r="CT170" s="99" t="e">
        <f t="shared" si="19"/>
        <v>#REF!</v>
      </c>
      <c r="CU170" s="99" t="e">
        <f t="array" ref="CU170">BD170</f>
        <v>#REF!</v>
      </c>
      <c r="CV170" s="101"/>
      <c r="CW170" s="101"/>
      <c r="CX170" s="101"/>
      <c r="CY170" s="101"/>
      <c r="CZ170" s="101"/>
      <c r="DA170" s="101"/>
      <c r="DB170" s="101"/>
    </row>
    <row r="171" spans="1:106" ht="14.25" customHeight="1" outlineLevel="4" x14ac:dyDescent="0.25">
      <c r="C171" s="2" t="s">
        <v>220</v>
      </c>
      <c r="D171" s="2" t="s">
        <v>221</v>
      </c>
      <c r="E171" s="2" t="s">
        <v>74</v>
      </c>
      <c r="F171" s="2" t="s">
        <v>75</v>
      </c>
      <c r="G171" s="2" t="s">
        <v>74</v>
      </c>
      <c r="H171" s="2" t="s">
        <v>206</v>
      </c>
      <c r="I171" s="2" t="s">
        <v>74</v>
      </c>
      <c r="K171" s="5" t="s">
        <v>74</v>
      </c>
      <c r="L171" s="2" t="s">
        <v>196</v>
      </c>
      <c r="M171" s="8" t="str">
        <f t="array" ref="M171">Y107</f>
        <v>1ВО::1.1</v>
      </c>
      <c r="AA171" s="107" t="str">
        <f>AA170&amp;".1"</f>
        <v>3.1.1.1.3.2.1</v>
      </c>
      <c r="AB171" s="205" t="s">
        <v>222</v>
      </c>
      <c r="AC171" s="197" t="s">
        <v>122</v>
      </c>
      <c r="AD171" s="173">
        <v>30.300000764202224</v>
      </c>
      <c r="AE171" s="173">
        <v>30.300000764202117</v>
      </c>
      <c r="AF171" s="173">
        <v>30.300000764202156</v>
      </c>
      <c r="AG171" s="174"/>
      <c r="AH171" s="174"/>
      <c r="AI171" s="173">
        <f>IF(AI167=0,0,AI170/AI167*100)</f>
        <v>30.300000764202156</v>
      </c>
      <c r="AJ171" s="174"/>
      <c r="AK171" s="174"/>
      <c r="AL171" s="174"/>
      <c r="AM171" s="174"/>
      <c r="AN171" s="173" t="e">
        <f>IF(AN167=0,0,AN170/AN167*100)</f>
        <v>#REF!</v>
      </c>
      <c r="AO171" s="173">
        <v>30.2</v>
      </c>
      <c r="AP171" s="174"/>
      <c r="AQ171" s="174"/>
      <c r="AR171" s="173">
        <f>IF(AR167=0,0,AR170/AR167*100)</f>
        <v>30.2</v>
      </c>
      <c r="AS171" s="174"/>
      <c r="AT171" s="174"/>
      <c r="AU171" s="173" t="e">
        <f>IF(AU167=0,0,AU170/AU167*100)</f>
        <v>#REF!</v>
      </c>
      <c r="AV171" s="173">
        <v>30.20000000000001</v>
      </c>
      <c r="AW171" s="174"/>
      <c r="AX171" s="174"/>
      <c r="AY171" s="173">
        <f>IF(AY167=0,0,AY170/AY167*100)</f>
        <v>30.20000000000001</v>
      </c>
      <c r="AZ171" s="174"/>
      <c r="BA171" s="174"/>
      <c r="BB171" s="174"/>
      <c r="BC171" s="174"/>
      <c r="BD171" s="173" t="e">
        <f>IF(BD167=0,0,BD170/BD167*100)</f>
        <v>#REF!</v>
      </c>
      <c r="BE171" s="174"/>
      <c r="BF171" s="174"/>
      <c r="BG171" s="267" t="e">
        <f t="shared" si="9"/>
        <v>#REF!</v>
      </c>
      <c r="BH171" s="267" t="e">
        <f>BD171-#REF!</f>
        <v>#REF!</v>
      </c>
      <c r="BI171" s="267" t="e">
        <f t="shared" si="10"/>
        <v>#REF!</v>
      </c>
      <c r="BJ171" s="173" t="e">
        <f>IF(BJ167=0,0,BJ170/BJ167*100)</f>
        <v>#REF!</v>
      </c>
      <c r="BK171" s="174"/>
      <c r="BL171" s="174"/>
      <c r="BM171" s="173" t="e">
        <f>IF(BM167=0,0,BM170/BM167*100)</f>
        <v>#REF!</v>
      </c>
      <c r="BN171" s="174"/>
      <c r="BO171" s="174"/>
      <c r="BP171" s="267" t="e">
        <f t="shared" si="20"/>
        <v>#REF!</v>
      </c>
      <c r="BQ171" s="267" t="e">
        <f t="shared" si="21"/>
        <v>#REF!</v>
      </c>
      <c r="BR171" s="173" t="e">
        <f>IF(BR167=0,0,BR170/BR167*100)</f>
        <v>#REF!</v>
      </c>
      <c r="BS171" s="174"/>
      <c r="BT171" s="174"/>
      <c r="BU171" s="173" t="e">
        <f>IF(BU167=0,0,BU170/BU167*100)</f>
        <v>#REF!</v>
      </c>
      <c r="BV171" s="174"/>
      <c r="BW171" s="174"/>
      <c r="BX171" s="267" t="e">
        <f t="shared" si="22"/>
        <v>#REF!</v>
      </c>
      <c r="BY171" s="267" t="e">
        <f t="shared" si="23"/>
        <v>#REF!</v>
      </c>
      <c r="BZ171" s="173" t="e">
        <f>IF(BZ167=0,0,BZ170/BZ167*100)</f>
        <v>#REF!</v>
      </c>
      <c r="CA171" s="174"/>
      <c r="CB171" s="174"/>
      <c r="CC171" s="173" t="e">
        <f>IF(CC167=0,0,CC170/CC167*100)</f>
        <v>#REF!</v>
      </c>
      <c r="CD171" s="174"/>
      <c r="CE171" s="174"/>
      <c r="CF171" s="267" t="e">
        <f t="shared" si="24"/>
        <v>#REF!</v>
      </c>
      <c r="CG171" s="267" t="e">
        <f t="shared" si="25"/>
        <v>#REF!</v>
      </c>
      <c r="CH171" s="173" t="e">
        <f>IF(CH167=0,0,CH170/CH167*100)</f>
        <v>#REF!</v>
      </c>
      <c r="CI171" s="174"/>
      <c r="CJ171" s="174"/>
      <c r="CK171" s="173" t="e">
        <f>IF(CK167=0,0,CK170/CK167*100)</f>
        <v>#REF!</v>
      </c>
      <c r="CL171" s="174"/>
      <c r="CM171" s="174"/>
      <c r="CN171" s="267" t="e">
        <f t="shared" si="26"/>
        <v>#REF!</v>
      </c>
      <c r="CO171" s="267" t="e">
        <f t="shared" si="27"/>
        <v>#REF!</v>
      </c>
      <c r="CP171" s="92"/>
      <c r="CQ171" s="85"/>
      <c r="CR171" s="85"/>
      <c r="CS171" s="85"/>
      <c r="CT171" s="99" t="e">
        <f t="shared" si="19"/>
        <v>#REF!</v>
      </c>
      <c r="CU171" s="100" t="e">
        <f>IF(CU167=0,0,CU170/CU167*100)</f>
        <v>#REF!</v>
      </c>
      <c r="CV171" s="101"/>
      <c r="CW171" s="101"/>
      <c r="CX171" s="101"/>
      <c r="CY171" s="101"/>
      <c r="CZ171" s="101"/>
      <c r="DA171" s="101"/>
      <c r="DB171" s="101"/>
    </row>
    <row r="172" spans="1:106" ht="14.25" customHeight="1" outlineLevel="4" x14ac:dyDescent="0.25">
      <c r="C172" s="2" t="s">
        <v>84</v>
      </c>
      <c r="D172" s="2" t="s">
        <v>85</v>
      </c>
      <c r="E172" s="2" t="s">
        <v>74</v>
      </c>
      <c r="F172" s="2" t="s">
        <v>75</v>
      </c>
      <c r="G172" s="2" t="s">
        <v>223</v>
      </c>
      <c r="H172" s="2" t="s">
        <v>74</v>
      </c>
      <c r="I172" s="2" t="s">
        <v>74</v>
      </c>
      <c r="K172" s="5" t="s">
        <v>74</v>
      </c>
      <c r="L172" s="2" t="s">
        <v>196</v>
      </c>
      <c r="M172" s="8" t="str">
        <f t="array" ref="M172">Y107</f>
        <v>1ВО::1.1</v>
      </c>
      <c r="AA172" s="107" t="str">
        <f>AA160&amp;".4"</f>
        <v>3.1.1.1.4</v>
      </c>
      <c r="AB172" s="198" t="s">
        <v>224</v>
      </c>
      <c r="AC172" s="197" t="s">
        <v>114</v>
      </c>
      <c r="AD172" s="136"/>
      <c r="AE172" s="136"/>
      <c r="AF172" s="195"/>
      <c r="AG172" s="202"/>
      <c r="AH172" s="202"/>
      <c r="AI172" s="136">
        <f t="array" ref="AI172">'ВО-2021-2025'!$AF$172</f>
        <v>0</v>
      </c>
      <c r="AJ172" s="202"/>
      <c r="AK172" s="202"/>
      <c r="AL172" s="202"/>
      <c r="AM172" s="202"/>
      <c r="AN172" s="136" t="e">
        <f t="array" ref="AN172">IF('ВО-2021-2025'!$AN$81="Методика",IF('ВО-2021-2025'!AI$158=0,0,'ВО-2021-2025'!AI172/'ВО-2021-2025'!AI$158*'ВО-2021-2025'!AN$159),#REF!)</f>
        <v>#REF!</v>
      </c>
      <c r="AO172" s="195"/>
      <c r="AP172" s="202"/>
      <c r="AQ172" s="202"/>
      <c r="AR172" s="136">
        <f t="array" ref="AR172">'ВО-2021-2025'!$AO$172</f>
        <v>0</v>
      </c>
      <c r="AS172" s="202"/>
      <c r="AT172" s="202"/>
      <c r="AU172" s="136" t="e">
        <f t="array" ref="AU172">#REF!</f>
        <v>#REF!</v>
      </c>
      <c r="AV172" s="195">
        <v>0</v>
      </c>
      <c r="AW172" s="202"/>
      <c r="AX172" s="202"/>
      <c r="AY172" s="136">
        <f>IF(AY$88,AR172*AY$112,AV172*1)</f>
        <v>0</v>
      </c>
      <c r="AZ172" s="202"/>
      <c r="BA172" s="202"/>
      <c r="BB172" s="202"/>
      <c r="BC172" s="202"/>
      <c r="BD172" s="136" t="e">
        <f>'ВО-2021-2025'!$AR$172*'ВО-2021-2025'!$BD$112</f>
        <v>#REF!</v>
      </c>
      <c r="BE172" s="202"/>
      <c r="BF172" s="202"/>
      <c r="BG172" s="267">
        <f t="shared" si="9"/>
        <v>0</v>
      </c>
      <c r="BH172" s="267" t="e">
        <f>BD172-#REF!</f>
        <v>#REF!</v>
      </c>
      <c r="BI172" s="267" t="e">
        <f t="shared" si="10"/>
        <v>#REF!</v>
      </c>
      <c r="BJ172" s="136" t="e">
        <f>#REF!*BJ$111</f>
        <v>#REF!</v>
      </c>
      <c r="BK172" s="202"/>
      <c r="BL172" s="202"/>
      <c r="BM172" s="136" t="e">
        <f>BD172*BM$111</f>
        <v>#REF!</v>
      </c>
      <c r="BN172" s="202"/>
      <c r="BO172" s="202"/>
      <c r="BP172" s="267" t="e">
        <f t="shared" si="20"/>
        <v>#REF!</v>
      </c>
      <c r="BQ172" s="267" t="e">
        <f t="shared" si="21"/>
        <v>#REF!</v>
      </c>
      <c r="BR172" s="136" t="e">
        <f>BJ172*BR$111</f>
        <v>#REF!</v>
      </c>
      <c r="BS172" s="202"/>
      <c r="BT172" s="202"/>
      <c r="BU172" s="136" t="e">
        <f>BM172*BU$111</f>
        <v>#REF!</v>
      </c>
      <c r="BV172" s="202"/>
      <c r="BW172" s="202"/>
      <c r="BX172" s="267" t="e">
        <f t="shared" si="22"/>
        <v>#REF!</v>
      </c>
      <c r="BY172" s="267" t="e">
        <f t="shared" si="23"/>
        <v>#REF!</v>
      </c>
      <c r="BZ172" s="136" t="e">
        <f>BR172*BZ$111</f>
        <v>#REF!</v>
      </c>
      <c r="CA172" s="202"/>
      <c r="CB172" s="202"/>
      <c r="CC172" s="136" t="e">
        <f>BU172*CC$111</f>
        <v>#REF!</v>
      </c>
      <c r="CD172" s="202"/>
      <c r="CE172" s="202"/>
      <c r="CF172" s="267" t="e">
        <f t="shared" si="24"/>
        <v>#REF!</v>
      </c>
      <c r="CG172" s="267" t="e">
        <f t="shared" si="25"/>
        <v>#REF!</v>
      </c>
      <c r="CH172" s="136" t="e">
        <f>BZ172*CH$111</f>
        <v>#REF!</v>
      </c>
      <c r="CI172" s="202"/>
      <c r="CJ172" s="202"/>
      <c r="CK172" s="136" t="e">
        <f>CC172*CK$111</f>
        <v>#REF!</v>
      </c>
      <c r="CL172" s="202"/>
      <c r="CM172" s="202"/>
      <c r="CN172" s="267" t="e">
        <f t="shared" si="26"/>
        <v>#REF!</v>
      </c>
      <c r="CO172" s="267" t="e">
        <f t="shared" si="27"/>
        <v>#REF!</v>
      </c>
      <c r="CP172" s="92"/>
      <c r="CQ172" s="85"/>
      <c r="CR172" s="85"/>
      <c r="CS172" s="85"/>
      <c r="CT172" s="99" t="e">
        <f t="shared" si="19"/>
        <v>#REF!</v>
      </c>
      <c r="CU172" s="99" t="e">
        <f t="array" ref="CU172">BD172</f>
        <v>#REF!</v>
      </c>
      <c r="CV172" s="101"/>
      <c r="CW172" s="101"/>
      <c r="CX172" s="101"/>
      <c r="CY172" s="101"/>
      <c r="CZ172" s="101"/>
      <c r="DA172" s="101"/>
      <c r="DB172" s="101"/>
    </row>
    <row r="173" spans="1:106" ht="14.25" customHeight="1" outlineLevel="4" x14ac:dyDescent="0.25">
      <c r="C173" s="2" t="s">
        <v>84</v>
      </c>
      <c r="D173" s="2" t="s">
        <v>85</v>
      </c>
      <c r="E173" s="2" t="s">
        <v>74</v>
      </c>
      <c r="F173" s="2" t="s">
        <v>75</v>
      </c>
      <c r="G173" s="2" t="s">
        <v>225</v>
      </c>
      <c r="H173" s="2" t="s">
        <v>74</v>
      </c>
      <c r="I173" s="2" t="s">
        <v>74</v>
      </c>
      <c r="K173" s="5" t="s">
        <v>74</v>
      </c>
      <c r="L173" s="2" t="s">
        <v>196</v>
      </c>
      <c r="M173" s="8" t="str">
        <f t="array" ref="M173">Y107</f>
        <v>1ВО::1.1</v>
      </c>
      <c r="AA173" s="206" t="str">
        <f>AA160&amp;".5"</f>
        <v>3.1.1.1.5</v>
      </c>
      <c r="AB173" s="198" t="s">
        <v>226</v>
      </c>
      <c r="AC173" s="197" t="s">
        <v>114</v>
      </c>
      <c r="AD173" s="136">
        <v>10100.3183865016</v>
      </c>
      <c r="AE173" s="136">
        <v>10691.5708455486</v>
      </c>
      <c r="AF173" s="195">
        <v>12333.335559564701</v>
      </c>
      <c r="AG173" s="202"/>
      <c r="AH173" s="202"/>
      <c r="AI173" s="136">
        <v>12333.335559564701</v>
      </c>
      <c r="AJ173" s="202"/>
      <c r="AK173" s="202"/>
      <c r="AL173" s="202"/>
      <c r="AM173" s="202"/>
      <c r="AN173" s="203">
        <f t="array" ref="AN173">IF('ВО-2021-2025'!$AN$81="Методика",IF('ВО-2021-2025'!AI$158=0,0,'ВО-2021-2025'!AI173/'ВО-2021-2025'!AI$158*'ВО-2021-2025'!AN$159),'[1]Счет 25'!BT173)</f>
        <v>0</v>
      </c>
      <c r="AO173" s="195"/>
      <c r="AP173" s="202"/>
      <c r="AQ173" s="202"/>
      <c r="AR173" s="136">
        <f t="array" ref="AR173">'ВО-2021-2025'!$AO$173</f>
        <v>0</v>
      </c>
      <c r="AS173" s="202"/>
      <c r="AT173" s="202"/>
      <c r="AU173" s="203">
        <f t="array" ref="AU173">'[1]Счет 25'!BY173</f>
        <v>0</v>
      </c>
      <c r="AV173" s="195">
        <v>0</v>
      </c>
      <c r="AW173" s="202"/>
      <c r="AX173" s="202"/>
      <c r="AY173" s="136">
        <f>IF(AY$88,AR173*AY$112,AV173*1)</f>
        <v>0</v>
      </c>
      <c r="AZ173" s="202"/>
      <c r="BA173" s="202"/>
      <c r="BB173" s="202"/>
      <c r="BC173" s="202"/>
      <c r="BD173" s="204" t="e">
        <f>'ВО-2021-2025'!$AR$173*'ВО-2021-2025'!$BD$112</f>
        <v>#REF!</v>
      </c>
      <c r="BE173" s="202"/>
      <c r="BF173" s="202"/>
      <c r="BG173" s="267">
        <f t="shared" si="9"/>
        <v>0</v>
      </c>
      <c r="BH173" s="267" t="e">
        <f>BD173-#REF!</f>
        <v>#REF!</v>
      </c>
      <c r="BI173" s="267" t="e">
        <f t="shared" si="10"/>
        <v>#REF!</v>
      </c>
      <c r="BJ173" s="136" t="e">
        <f>#REF!*BJ$111</f>
        <v>#REF!</v>
      </c>
      <c r="BK173" s="202"/>
      <c r="BL173" s="202"/>
      <c r="BM173" s="136" t="e">
        <f>BD173*BM$111</f>
        <v>#REF!</v>
      </c>
      <c r="BN173" s="202"/>
      <c r="BO173" s="202"/>
      <c r="BP173" s="267" t="e">
        <f t="shared" si="20"/>
        <v>#REF!</v>
      </c>
      <c r="BQ173" s="267" t="e">
        <f t="shared" si="21"/>
        <v>#REF!</v>
      </c>
      <c r="BR173" s="136" t="e">
        <f>BJ173*BR$111</f>
        <v>#REF!</v>
      </c>
      <c r="BS173" s="202"/>
      <c r="BT173" s="202"/>
      <c r="BU173" s="136" t="e">
        <f>BM173*BU$111</f>
        <v>#REF!</v>
      </c>
      <c r="BV173" s="202"/>
      <c r="BW173" s="202"/>
      <c r="BX173" s="267" t="e">
        <f t="shared" si="22"/>
        <v>#REF!</v>
      </c>
      <c r="BY173" s="267" t="e">
        <f t="shared" si="23"/>
        <v>#REF!</v>
      </c>
      <c r="BZ173" s="136" t="e">
        <f>BR173*BZ$111</f>
        <v>#REF!</v>
      </c>
      <c r="CA173" s="202"/>
      <c r="CB173" s="202"/>
      <c r="CC173" s="136" t="e">
        <f>BU173*CC$111</f>
        <v>#REF!</v>
      </c>
      <c r="CD173" s="202"/>
      <c r="CE173" s="202"/>
      <c r="CF173" s="267" t="e">
        <f t="shared" si="24"/>
        <v>#REF!</v>
      </c>
      <c r="CG173" s="267" t="e">
        <f t="shared" si="25"/>
        <v>#REF!</v>
      </c>
      <c r="CH173" s="136" t="e">
        <f>BZ173*CH$111</f>
        <v>#REF!</v>
      </c>
      <c r="CI173" s="202"/>
      <c r="CJ173" s="202"/>
      <c r="CK173" s="136" t="e">
        <f>CC173*CK$111</f>
        <v>#REF!</v>
      </c>
      <c r="CL173" s="202"/>
      <c r="CM173" s="202"/>
      <c r="CN173" s="267" t="e">
        <f t="shared" si="26"/>
        <v>#REF!</v>
      </c>
      <c r="CO173" s="267" t="e">
        <f t="shared" si="27"/>
        <v>#REF!</v>
      </c>
      <c r="CP173" s="92"/>
      <c r="CQ173" s="85"/>
      <c r="CR173" s="85"/>
      <c r="CS173" s="85"/>
      <c r="CT173" s="99" t="e">
        <f t="shared" si="19"/>
        <v>#REF!</v>
      </c>
      <c r="CU173" s="99" t="e">
        <f t="array" ref="CU173">BD173</f>
        <v>#REF!</v>
      </c>
      <c r="CV173" s="101"/>
      <c r="CW173" s="101"/>
      <c r="CX173" s="101"/>
      <c r="CY173" s="101"/>
      <c r="CZ173" s="101"/>
      <c r="DA173" s="101"/>
      <c r="DB173" s="101"/>
    </row>
    <row r="174" spans="1:106" ht="14.25" customHeight="1" outlineLevel="4" x14ac:dyDescent="0.25">
      <c r="A174" s="8" t="b">
        <f>'ВО-2021-2025'!$AC$55="нет"</f>
        <v>1</v>
      </c>
      <c r="C174" s="2" t="s">
        <v>84</v>
      </c>
      <c r="D174" s="2" t="s">
        <v>85</v>
      </c>
      <c r="E174" s="2" t="s">
        <v>74</v>
      </c>
      <c r="F174" s="2" t="s">
        <v>75</v>
      </c>
      <c r="G174" s="2" t="s">
        <v>205</v>
      </c>
      <c r="H174" s="2" t="s">
        <v>227</v>
      </c>
      <c r="I174" s="2" t="s">
        <v>74</v>
      </c>
      <c r="K174" s="5" t="s">
        <v>74</v>
      </c>
      <c r="L174" s="2" t="s">
        <v>228</v>
      </c>
      <c r="M174" s="8" t="str">
        <f t="array" ref="M174">Y107</f>
        <v>1ВО::1.1</v>
      </c>
      <c r="AA174" s="107" t="str">
        <f>AA173&amp;".1"</f>
        <v>3.1.1.1.5.1</v>
      </c>
      <c r="AB174" s="199" t="s">
        <v>229</v>
      </c>
      <c r="AC174" s="197" t="s">
        <v>114</v>
      </c>
      <c r="AD174" s="173">
        <v>0</v>
      </c>
      <c r="AE174" s="173">
        <v>0</v>
      </c>
      <c r="AF174" s="173">
        <v>0</v>
      </c>
      <c r="AG174" s="174"/>
      <c r="AH174" s="174"/>
      <c r="AI174" s="173">
        <f>AI175+AI178</f>
        <v>0</v>
      </c>
      <c r="AJ174" s="174"/>
      <c r="AK174" s="174"/>
      <c r="AL174" s="174"/>
      <c r="AM174" s="174"/>
      <c r="AN174" s="173">
        <f>AN175+AN178</f>
        <v>0</v>
      </c>
      <c r="AO174" s="173">
        <v>0</v>
      </c>
      <c r="AP174" s="174"/>
      <c r="AQ174" s="174"/>
      <c r="AR174" s="173">
        <f>AR175+AR178</f>
        <v>0</v>
      </c>
      <c r="AS174" s="174"/>
      <c r="AT174" s="174"/>
      <c r="AU174" s="173">
        <f>AU175+AU178</f>
        <v>0</v>
      </c>
      <c r="AV174" s="173">
        <v>0</v>
      </c>
      <c r="AW174" s="174"/>
      <c r="AX174" s="174"/>
      <c r="AY174" s="173">
        <f>AY175+AY178</f>
        <v>0</v>
      </c>
      <c r="AZ174" s="174"/>
      <c r="BA174" s="174"/>
      <c r="BB174" s="174"/>
      <c r="BC174" s="174"/>
      <c r="BD174" s="173" t="e">
        <f>BD175+BD178</f>
        <v>#REF!</v>
      </c>
      <c r="BE174" s="174"/>
      <c r="BF174" s="174"/>
      <c r="BG174" s="267">
        <f t="shared" si="9"/>
        <v>0</v>
      </c>
      <c r="BH174" s="267" t="e">
        <f>BD174-#REF!</f>
        <v>#REF!</v>
      </c>
      <c r="BI174" s="267" t="e">
        <f t="shared" si="10"/>
        <v>#REF!</v>
      </c>
      <c r="BJ174" s="173" t="e">
        <f>BJ175+BJ178</f>
        <v>#REF!</v>
      </c>
      <c r="BK174" s="174"/>
      <c r="BL174" s="174"/>
      <c r="BM174" s="173" t="e">
        <f>BM175+BM178</f>
        <v>#REF!</v>
      </c>
      <c r="BN174" s="174"/>
      <c r="BO174" s="174"/>
      <c r="BP174" s="267" t="e">
        <f t="shared" si="20"/>
        <v>#REF!</v>
      </c>
      <c r="BQ174" s="267" t="e">
        <f t="shared" si="21"/>
        <v>#REF!</v>
      </c>
      <c r="BR174" s="173" t="e">
        <f>BR175+BR178</f>
        <v>#REF!</v>
      </c>
      <c r="BS174" s="174"/>
      <c r="BT174" s="174"/>
      <c r="BU174" s="173" t="e">
        <f>BU175+BU178</f>
        <v>#REF!</v>
      </c>
      <c r="BV174" s="174"/>
      <c r="BW174" s="174"/>
      <c r="BX174" s="267" t="e">
        <f t="shared" si="22"/>
        <v>#REF!</v>
      </c>
      <c r="BY174" s="267" t="e">
        <f t="shared" si="23"/>
        <v>#REF!</v>
      </c>
      <c r="BZ174" s="173" t="e">
        <f>BZ175+BZ178</f>
        <v>#REF!</v>
      </c>
      <c r="CA174" s="174"/>
      <c r="CB174" s="174"/>
      <c r="CC174" s="173" t="e">
        <f>CC175+CC178</f>
        <v>#REF!</v>
      </c>
      <c r="CD174" s="174"/>
      <c r="CE174" s="174"/>
      <c r="CF174" s="267" t="e">
        <f t="shared" si="24"/>
        <v>#REF!</v>
      </c>
      <c r="CG174" s="267" t="e">
        <f t="shared" si="25"/>
        <v>#REF!</v>
      </c>
      <c r="CH174" s="173" t="e">
        <f>CH175+CH178</f>
        <v>#REF!</v>
      </c>
      <c r="CI174" s="174"/>
      <c r="CJ174" s="174"/>
      <c r="CK174" s="173" t="e">
        <f>CK175+CK178</f>
        <v>#REF!</v>
      </c>
      <c r="CL174" s="174"/>
      <c r="CM174" s="174"/>
      <c r="CN174" s="267" t="e">
        <f t="shared" si="26"/>
        <v>#REF!</v>
      </c>
      <c r="CO174" s="267" t="e">
        <f t="shared" si="27"/>
        <v>#REF!</v>
      </c>
      <c r="CP174" s="92"/>
      <c r="CQ174" s="85"/>
      <c r="CR174" s="85"/>
      <c r="CS174" s="85"/>
      <c r="CT174" s="99" t="e">
        <f t="shared" si="19"/>
        <v>#REF!</v>
      </c>
      <c r="CU174" s="100" t="e">
        <f>CU175+CU178</f>
        <v>#REF!</v>
      </c>
      <c r="CV174" s="101"/>
      <c r="CW174" s="101"/>
      <c r="CX174" s="101"/>
      <c r="CY174" s="101"/>
      <c r="CZ174" s="101"/>
      <c r="DA174" s="101"/>
      <c r="DB174" s="101"/>
    </row>
    <row r="175" spans="1:106" ht="14.25" customHeight="1" outlineLevel="4" x14ac:dyDescent="0.25">
      <c r="A175" s="8" t="b">
        <f t="array" ref="A175">A174</f>
        <v>1</v>
      </c>
      <c r="C175" s="2" t="s">
        <v>84</v>
      </c>
      <c r="D175" s="2" t="s">
        <v>85</v>
      </c>
      <c r="E175" s="2" t="s">
        <v>74</v>
      </c>
      <c r="F175" s="2" t="s">
        <v>75</v>
      </c>
      <c r="G175" s="2" t="s">
        <v>208</v>
      </c>
      <c r="H175" s="2" t="s">
        <v>227</v>
      </c>
      <c r="I175" s="2" t="s">
        <v>74</v>
      </c>
      <c r="K175" s="5" t="s">
        <v>74</v>
      </c>
      <c r="L175" s="2" t="s">
        <v>228</v>
      </c>
      <c r="M175" s="8" t="str">
        <f t="array" ref="M175">Y107</f>
        <v>1ВО::1.1</v>
      </c>
      <c r="AA175" s="107" t="str">
        <f>AA174&amp;".1"</f>
        <v>3.1.1.1.5.1.1</v>
      </c>
      <c r="AB175" s="207" t="s">
        <v>230</v>
      </c>
      <c r="AC175" s="197" t="s">
        <v>114</v>
      </c>
      <c r="AD175" s="136"/>
      <c r="AE175" s="136"/>
      <c r="AF175" s="195"/>
      <c r="AG175" s="202"/>
      <c r="AH175" s="202"/>
      <c r="AI175" s="136">
        <f t="array" ref="AI175">'ВО-2021-2025'!$AF$175</f>
        <v>0</v>
      </c>
      <c r="AJ175" s="202"/>
      <c r="AK175" s="202"/>
      <c r="AL175" s="202"/>
      <c r="AM175" s="202"/>
      <c r="AN175" s="203">
        <f t="array" ref="AN175">IF('ВО-2021-2025'!$AN$81="Методика",IF('ВО-2021-2025'!AI$158=0,0,'ВО-2021-2025'!AI175/'ВО-2021-2025'!AI$158*'ВО-2021-2025'!AN$159),'[1]Счет 25'!BT142)</f>
        <v>0</v>
      </c>
      <c r="AO175" s="195"/>
      <c r="AP175" s="202"/>
      <c r="AQ175" s="202"/>
      <c r="AR175" s="136">
        <f t="array" ref="AR175">'ВО-2021-2025'!$AO$175</f>
        <v>0</v>
      </c>
      <c r="AS175" s="202"/>
      <c r="AT175" s="202"/>
      <c r="AU175" s="203">
        <f t="array" ref="AU175">'[1]Счет 25'!BY142</f>
        <v>0</v>
      </c>
      <c r="AV175" s="195">
        <v>0</v>
      </c>
      <c r="AW175" s="202"/>
      <c r="AX175" s="202"/>
      <c r="AY175" s="136">
        <f>IF(AY$88,AR175*AY$112,AV175*1)</f>
        <v>0</v>
      </c>
      <c r="AZ175" s="202"/>
      <c r="BA175" s="202"/>
      <c r="BB175" s="202"/>
      <c r="BC175" s="202"/>
      <c r="BD175" s="204" t="e">
        <f>'ВО-2021-2025'!$AR$175*'ВО-2021-2025'!$BD$112</f>
        <v>#REF!</v>
      </c>
      <c r="BE175" s="202"/>
      <c r="BF175" s="202"/>
      <c r="BG175" s="267">
        <f t="shared" si="9"/>
        <v>0</v>
      </c>
      <c r="BH175" s="267" t="e">
        <f>BD175-#REF!</f>
        <v>#REF!</v>
      </c>
      <c r="BI175" s="267" t="e">
        <f t="shared" si="10"/>
        <v>#REF!</v>
      </c>
      <c r="BJ175" s="136" t="e">
        <f>#REF!*BJ$111</f>
        <v>#REF!</v>
      </c>
      <c r="BK175" s="202"/>
      <c r="BL175" s="202"/>
      <c r="BM175" s="136" t="e">
        <f>BD175*BM$111</f>
        <v>#REF!</v>
      </c>
      <c r="BN175" s="202"/>
      <c r="BO175" s="202"/>
      <c r="BP175" s="267" t="e">
        <f t="shared" si="20"/>
        <v>#REF!</v>
      </c>
      <c r="BQ175" s="267" t="e">
        <f t="shared" si="21"/>
        <v>#REF!</v>
      </c>
      <c r="BR175" s="136" t="e">
        <f>BJ175*BR$111</f>
        <v>#REF!</v>
      </c>
      <c r="BS175" s="202"/>
      <c r="BT175" s="202"/>
      <c r="BU175" s="136" t="e">
        <f>BM175*BU$111</f>
        <v>#REF!</v>
      </c>
      <c r="BV175" s="202"/>
      <c r="BW175" s="202"/>
      <c r="BX175" s="267" t="e">
        <f t="shared" si="22"/>
        <v>#REF!</v>
      </c>
      <c r="BY175" s="267" t="e">
        <f t="shared" si="23"/>
        <v>#REF!</v>
      </c>
      <c r="BZ175" s="136" t="e">
        <f>BR175*BZ$111</f>
        <v>#REF!</v>
      </c>
      <c r="CA175" s="202"/>
      <c r="CB175" s="202"/>
      <c r="CC175" s="136" t="e">
        <f>BU175*CC$111</f>
        <v>#REF!</v>
      </c>
      <c r="CD175" s="202"/>
      <c r="CE175" s="202"/>
      <c r="CF175" s="267" t="e">
        <f t="shared" si="24"/>
        <v>#REF!</v>
      </c>
      <c r="CG175" s="267" t="e">
        <f t="shared" si="25"/>
        <v>#REF!</v>
      </c>
      <c r="CH175" s="136" t="e">
        <f>BZ175*CH$111</f>
        <v>#REF!</v>
      </c>
      <c r="CI175" s="202"/>
      <c r="CJ175" s="202"/>
      <c r="CK175" s="136" t="e">
        <f>CC175*CK$111</f>
        <v>#REF!</v>
      </c>
      <c r="CL175" s="202"/>
      <c r="CM175" s="202"/>
      <c r="CN175" s="267" t="e">
        <f t="shared" si="26"/>
        <v>#REF!</v>
      </c>
      <c r="CO175" s="267" t="e">
        <f t="shared" si="27"/>
        <v>#REF!</v>
      </c>
      <c r="CP175" s="92"/>
      <c r="CQ175" s="85"/>
      <c r="CR175" s="85"/>
      <c r="CS175" s="85"/>
      <c r="CT175" s="99" t="e">
        <f t="shared" si="19"/>
        <v>#REF!</v>
      </c>
      <c r="CU175" s="99" t="e">
        <f t="array" ref="CU175">BD175</f>
        <v>#REF!</v>
      </c>
      <c r="CV175" s="101"/>
      <c r="CW175" s="101"/>
      <c r="CX175" s="101"/>
      <c r="CY175" s="101"/>
      <c r="CZ175" s="101"/>
      <c r="DA175" s="101"/>
      <c r="DB175" s="101"/>
    </row>
    <row r="176" spans="1:106" ht="14.25" customHeight="1" outlineLevel="4" x14ac:dyDescent="0.25">
      <c r="A176" s="8" t="b">
        <f t="array" ref="A176">A175</f>
        <v>1</v>
      </c>
      <c r="C176" s="2" t="s">
        <v>210</v>
      </c>
      <c r="D176" s="2" t="s">
        <v>211</v>
      </c>
      <c r="E176" s="2" t="s">
        <v>74</v>
      </c>
      <c r="F176" s="2" t="s">
        <v>75</v>
      </c>
      <c r="G176" s="2" t="s">
        <v>74</v>
      </c>
      <c r="H176" s="2" t="s">
        <v>227</v>
      </c>
      <c r="I176" s="2" t="s">
        <v>74</v>
      </c>
      <c r="K176" s="5" t="s">
        <v>74</v>
      </c>
      <c r="L176" s="2" t="s">
        <v>228</v>
      </c>
      <c r="M176" s="8" t="str">
        <f t="array" ref="M176">Y107</f>
        <v>1ВО::1.1</v>
      </c>
      <c r="AA176" s="107" t="str">
        <f>AA175&amp;".1"</f>
        <v>3.1.1.1.5.1.1.1</v>
      </c>
      <c r="AB176" s="205" t="s">
        <v>212</v>
      </c>
      <c r="AC176" s="197" t="s">
        <v>213</v>
      </c>
      <c r="AD176" s="173">
        <v>0</v>
      </c>
      <c r="AE176" s="173">
        <v>0</v>
      </c>
      <c r="AF176" s="173">
        <v>0</v>
      </c>
      <c r="AG176" s="174"/>
      <c r="AH176" s="174"/>
      <c r="AI176" s="173">
        <f>IF(AI177=0,0,AI175*1000/AI$89/AI177)</f>
        <v>0</v>
      </c>
      <c r="AJ176" s="174"/>
      <c r="AK176" s="174"/>
      <c r="AL176" s="174"/>
      <c r="AM176" s="174"/>
      <c r="AN176" s="173">
        <f>IF(AN177=0,0,AN175*1000/AN$89/AN177)</f>
        <v>0</v>
      </c>
      <c r="AO176" s="173">
        <v>0</v>
      </c>
      <c r="AP176" s="174"/>
      <c r="AQ176" s="174"/>
      <c r="AR176" s="173">
        <f>IF(AR177=0,0,AR175*1000/AR$89/AR177)</f>
        <v>0</v>
      </c>
      <c r="AS176" s="174"/>
      <c r="AT176" s="174"/>
      <c r="AU176" s="173">
        <f>IF(AU177=0,0,AU175*1000/AU$89/AU177)</f>
        <v>0</v>
      </c>
      <c r="AV176" s="173">
        <v>0</v>
      </c>
      <c r="AW176" s="174"/>
      <c r="AX176" s="174"/>
      <c r="AY176" s="173">
        <f>IF(AY177=0,0,AY175*1000/AY$89/AY177)</f>
        <v>0</v>
      </c>
      <c r="AZ176" s="174"/>
      <c r="BA176" s="174"/>
      <c r="BB176" s="174"/>
      <c r="BC176" s="174"/>
      <c r="BD176" s="173">
        <f>IF(BD177=0,0,BD175*1000/BD$89/BD177)</f>
        <v>0</v>
      </c>
      <c r="BE176" s="174"/>
      <c r="BF176" s="174"/>
      <c r="BG176" s="267">
        <f t="shared" si="9"/>
        <v>0</v>
      </c>
      <c r="BH176" s="267" t="e">
        <f>BD176-#REF!</f>
        <v>#REF!</v>
      </c>
      <c r="BI176" s="267">
        <f t="shared" si="10"/>
        <v>0</v>
      </c>
      <c r="BJ176" s="173" t="e">
        <f>IF(BJ177=0,0,BJ175*1000/BJ$89/BJ177)</f>
        <v>#REF!</v>
      </c>
      <c r="BK176" s="174"/>
      <c r="BL176" s="174"/>
      <c r="BM176" s="173">
        <f>IF(BM177=0,0,BM175*1000/BM$89/BM177)</f>
        <v>0</v>
      </c>
      <c r="BN176" s="174"/>
      <c r="BO176" s="174"/>
      <c r="BP176" s="267">
        <f t="shared" si="20"/>
        <v>0</v>
      </c>
      <c r="BQ176" s="267" t="e">
        <f t="shared" si="21"/>
        <v>#REF!</v>
      </c>
      <c r="BR176" s="173" t="e">
        <f>IF(BR177=0,0,BR175*1000/BR$89/BR177)</f>
        <v>#REF!</v>
      </c>
      <c r="BS176" s="174"/>
      <c r="BT176" s="174"/>
      <c r="BU176" s="173">
        <f>IF(BU177=0,0,BU175*1000/BU$89/BU177)</f>
        <v>0</v>
      </c>
      <c r="BV176" s="174"/>
      <c r="BW176" s="174"/>
      <c r="BX176" s="267">
        <f t="shared" si="22"/>
        <v>0</v>
      </c>
      <c r="BY176" s="267" t="e">
        <f t="shared" si="23"/>
        <v>#REF!</v>
      </c>
      <c r="BZ176" s="173" t="e">
        <f>IF(BZ177=0,0,BZ175*1000/BZ$89/BZ177)</f>
        <v>#REF!</v>
      </c>
      <c r="CA176" s="174"/>
      <c r="CB176" s="174"/>
      <c r="CC176" s="173">
        <f>IF(CC177=0,0,CC175*1000/CC$89/CC177)</f>
        <v>0</v>
      </c>
      <c r="CD176" s="174"/>
      <c r="CE176" s="174"/>
      <c r="CF176" s="267">
        <f t="shared" si="24"/>
        <v>0</v>
      </c>
      <c r="CG176" s="267" t="e">
        <f t="shared" si="25"/>
        <v>#REF!</v>
      </c>
      <c r="CH176" s="173" t="e">
        <f>IF(CH177=0,0,CH175*1000/CH$89/CH177)</f>
        <v>#REF!</v>
      </c>
      <c r="CI176" s="174"/>
      <c r="CJ176" s="174"/>
      <c r="CK176" s="173">
        <f>IF(CK177=0,0,CK175*1000/CK$89/CK177)</f>
        <v>0</v>
      </c>
      <c r="CL176" s="174"/>
      <c r="CM176" s="174"/>
      <c r="CN176" s="267">
        <f t="shared" si="26"/>
        <v>0</v>
      </c>
      <c r="CO176" s="267" t="e">
        <f t="shared" si="27"/>
        <v>#REF!</v>
      </c>
      <c r="CP176" s="92"/>
      <c r="CQ176" s="85"/>
      <c r="CR176" s="85"/>
      <c r="CS176" s="85"/>
      <c r="CT176" s="99" t="e">
        <f t="shared" si="19"/>
        <v>#REF!</v>
      </c>
      <c r="CU176" s="100">
        <f>IF(CU177=0,0,CU175*1000/CU$89/CU177)</f>
        <v>0</v>
      </c>
      <c r="CV176" s="101"/>
      <c r="CW176" s="101"/>
      <c r="CX176" s="101"/>
      <c r="CY176" s="101"/>
      <c r="CZ176" s="101"/>
      <c r="DA176" s="101"/>
      <c r="DB176" s="101"/>
    </row>
    <row r="177" spans="1:107" ht="14.25" customHeight="1" outlineLevel="4" x14ac:dyDescent="0.25">
      <c r="A177" s="8" t="b">
        <f t="array" ref="A177">A176</f>
        <v>1</v>
      </c>
      <c r="C177" s="2" t="s">
        <v>214</v>
      </c>
      <c r="D177" s="2" t="s">
        <v>215</v>
      </c>
      <c r="E177" s="2" t="s">
        <v>74</v>
      </c>
      <c r="F177" s="2" t="s">
        <v>75</v>
      </c>
      <c r="G177" s="2" t="s">
        <v>74</v>
      </c>
      <c r="H177" s="2" t="s">
        <v>227</v>
      </c>
      <c r="I177" s="2" t="s">
        <v>74</v>
      </c>
      <c r="K177" s="5" t="s">
        <v>74</v>
      </c>
      <c r="L177" s="2" t="s">
        <v>228</v>
      </c>
      <c r="M177" s="8" t="str">
        <f t="array" ref="M177">Y107</f>
        <v>1ВО::1.1</v>
      </c>
      <c r="AA177" s="107" t="str">
        <f>AA175&amp;".2"</f>
        <v>3.1.1.1.5.1.1.2</v>
      </c>
      <c r="AB177" s="205" t="s">
        <v>216</v>
      </c>
      <c r="AC177" s="197" t="s">
        <v>217</v>
      </c>
      <c r="AD177" s="136"/>
      <c r="AE177" s="136"/>
      <c r="AF177" s="195"/>
      <c r="AG177" s="202"/>
      <c r="AH177" s="202"/>
      <c r="AI177" s="136">
        <f>IF(AI$88,IF($BD$80="индексировать",#REF!*(1-AI$113)*(1+AI$115),#REF!),AF177*1)</f>
        <v>0</v>
      </c>
      <c r="AJ177" s="202"/>
      <c r="AK177" s="202"/>
      <c r="AL177" s="202"/>
      <c r="AM177" s="202"/>
      <c r="AN177" s="203">
        <f t="array" ref="AN177">IF('ВО-2021-2025'!$AN$81="Методика",'ВО-2021-2025'!AI177,'[1]Счет 25'!BT144)</f>
        <v>0</v>
      </c>
      <c r="AO177" s="195"/>
      <c r="AP177" s="202"/>
      <c r="AQ177" s="202"/>
      <c r="AR177" s="136">
        <f>IF(AR$88,IF($BD$80="индексировать",AI177*(1-AR$113)*(1+AR$115),AI177),AO177*1)</f>
        <v>0</v>
      </c>
      <c r="AS177" s="202"/>
      <c r="AT177" s="202"/>
      <c r="AU177" s="203">
        <f t="array" ref="AU177">'[1]Счет 25'!BY144</f>
        <v>0</v>
      </c>
      <c r="AV177" s="195">
        <v>0</v>
      </c>
      <c r="AW177" s="202"/>
      <c r="AX177" s="202"/>
      <c r="AY177" s="136">
        <f t="array" ref="AY177">IF(AY$88,IF($BD$80="индексировать",AR177*(1-AY$113)*(1+AY$115),AR177),AV177*1)</f>
        <v>0</v>
      </c>
      <c r="AZ177" s="202"/>
      <c r="BA177" s="202"/>
      <c r="BB177" s="202"/>
      <c r="BC177" s="202"/>
      <c r="BD177" s="204">
        <f t="array" ref="BD177">IF('ВО-2021-2025'!$BD$80="индексировать",'ВО-2021-2025'!$AR$177*(1-'ВО-2021-2025'!$BD$113)*(1+'ВО-2021-2025'!$BD$115),'ВО-2021-2025'!$AR$177)</f>
        <v>0</v>
      </c>
      <c r="BE177" s="202"/>
      <c r="BF177" s="202"/>
      <c r="BG177" s="267">
        <f t="shared" si="9"/>
        <v>0</v>
      </c>
      <c r="BH177" s="267" t="e">
        <f>BD177-#REF!</f>
        <v>#REF!</v>
      </c>
      <c r="BI177" s="267">
        <f t="shared" si="10"/>
        <v>0</v>
      </c>
      <c r="BJ177" s="136" t="e">
        <f>#REF!*IF(#REF!="индексировать",(1-BJ$113)*(1+BJ$115),1)</f>
        <v>#REF!</v>
      </c>
      <c r="BK177" s="202"/>
      <c r="BL177" s="202"/>
      <c r="BM177" s="136">
        <f>BD177*IF($BD$80="индексировать",(1-BM$113)*(1+BM$115),1)</f>
        <v>0</v>
      </c>
      <c r="BN177" s="202"/>
      <c r="BO177" s="202"/>
      <c r="BP177" s="267">
        <f t="shared" si="20"/>
        <v>0</v>
      </c>
      <c r="BQ177" s="267" t="e">
        <f t="shared" si="21"/>
        <v>#REF!</v>
      </c>
      <c r="BR177" s="136" t="e">
        <f>BJ177*IF(#REF!="индексировать",(1-BR$113)*(1+BR$115),1)</f>
        <v>#REF!</v>
      </c>
      <c r="BS177" s="202"/>
      <c r="BT177" s="202"/>
      <c r="BU177" s="136">
        <f>BM177*IF($BD$80="индексировать",(1-BU$113)*(1+BU$115),1)</f>
        <v>0</v>
      </c>
      <c r="BV177" s="202"/>
      <c r="BW177" s="202"/>
      <c r="BX177" s="267">
        <f t="shared" si="22"/>
        <v>0</v>
      </c>
      <c r="BY177" s="267" t="e">
        <f t="shared" si="23"/>
        <v>#REF!</v>
      </c>
      <c r="BZ177" s="136" t="e">
        <f>BR177*IF(#REF!="индексировать",(1-BZ$113)*(1+BZ$115),1)</f>
        <v>#REF!</v>
      </c>
      <c r="CA177" s="202"/>
      <c r="CB177" s="202"/>
      <c r="CC177" s="136">
        <f>BU177*IF($BD$80="индексировать",(1-CC$113)*(1+CC$115),1)</f>
        <v>0</v>
      </c>
      <c r="CD177" s="202"/>
      <c r="CE177" s="202"/>
      <c r="CF177" s="267">
        <f t="shared" si="24"/>
        <v>0</v>
      </c>
      <c r="CG177" s="267" t="e">
        <f t="shared" si="25"/>
        <v>#REF!</v>
      </c>
      <c r="CH177" s="136" t="e">
        <f>BZ177*IF(#REF!="индексировать",(1-CH$113)*(1+CH$115),1)</f>
        <v>#REF!</v>
      </c>
      <c r="CI177" s="202"/>
      <c r="CJ177" s="202"/>
      <c r="CK177" s="136">
        <f>CC177*IF($BD$80="индексировать",(1-CK$113)*(1+CK$115),1)</f>
        <v>0</v>
      </c>
      <c r="CL177" s="202"/>
      <c r="CM177" s="202"/>
      <c r="CN177" s="267">
        <f t="shared" si="26"/>
        <v>0</v>
      </c>
      <c r="CO177" s="267" t="e">
        <f t="shared" si="27"/>
        <v>#REF!</v>
      </c>
      <c r="CP177" s="92"/>
      <c r="CQ177" s="85"/>
      <c r="CR177" s="85"/>
      <c r="CS177" s="85"/>
      <c r="CT177" s="99" t="e">
        <f t="shared" si="19"/>
        <v>#REF!</v>
      </c>
      <c r="CU177" s="99">
        <f t="array" ref="CU177">BD177</f>
        <v>0</v>
      </c>
      <c r="CV177" s="101"/>
      <c r="CW177" s="101"/>
      <c r="CX177" s="101"/>
      <c r="CY177" s="101"/>
      <c r="CZ177" s="101"/>
      <c r="DA177" s="101"/>
      <c r="DB177" s="101"/>
    </row>
    <row r="178" spans="1:107" ht="14.25" customHeight="1" outlineLevel="4" x14ac:dyDescent="0.25">
      <c r="A178" s="8" t="b">
        <f t="array" ref="A178">A177</f>
        <v>1</v>
      </c>
      <c r="C178" s="2" t="s">
        <v>84</v>
      </c>
      <c r="D178" s="2" t="s">
        <v>85</v>
      </c>
      <c r="E178" s="2" t="s">
        <v>74</v>
      </c>
      <c r="F178" s="2" t="s">
        <v>75</v>
      </c>
      <c r="G178" s="2" t="s">
        <v>218</v>
      </c>
      <c r="H178" s="2" t="s">
        <v>227</v>
      </c>
      <c r="I178" s="2" t="s">
        <v>74</v>
      </c>
      <c r="K178" s="5" t="s">
        <v>74</v>
      </c>
      <c r="L178" s="2" t="s">
        <v>228</v>
      </c>
      <c r="M178" s="8" t="str">
        <f t="array" ref="M178">Y107</f>
        <v>1ВО::1.1</v>
      </c>
      <c r="AA178" s="107" t="str">
        <f>AA174&amp;".2"</f>
        <v>3.1.1.1.5.1.2</v>
      </c>
      <c r="AB178" s="207" t="s">
        <v>231</v>
      </c>
      <c r="AC178" s="197" t="s">
        <v>114</v>
      </c>
      <c r="AD178" s="136"/>
      <c r="AE178" s="136"/>
      <c r="AF178" s="195"/>
      <c r="AG178" s="202"/>
      <c r="AH178" s="202"/>
      <c r="AI178" s="136">
        <f t="array" ref="AI178">'ВО-2021-2025'!$AF$178</f>
        <v>0</v>
      </c>
      <c r="AJ178" s="202"/>
      <c r="AK178" s="202"/>
      <c r="AL178" s="202"/>
      <c r="AM178" s="202"/>
      <c r="AN178" s="203">
        <f t="array" ref="AN178">IF('ВО-2021-2025'!$AN$81="Методика",IF('ВО-2021-2025'!AI$158=0,0,'ВО-2021-2025'!AI178/'ВО-2021-2025'!AI$158*'ВО-2021-2025'!AN$159),'[1]Счет 25'!BT145)</f>
        <v>0</v>
      </c>
      <c r="AO178" s="195"/>
      <c r="AP178" s="202"/>
      <c r="AQ178" s="202"/>
      <c r="AR178" s="136">
        <f t="array" ref="AR178">'ВО-2021-2025'!$AO$178</f>
        <v>0</v>
      </c>
      <c r="AS178" s="202"/>
      <c r="AT178" s="202"/>
      <c r="AU178" s="203">
        <f t="array" ref="AU178">'[1]Счет 25'!BY145</f>
        <v>0</v>
      </c>
      <c r="AV178" s="195">
        <v>0</v>
      </c>
      <c r="AW178" s="202"/>
      <c r="AX178" s="202"/>
      <c r="AY178" s="136">
        <f>IF(AY$88,AR178*AY$112,AV178*1)</f>
        <v>0</v>
      </c>
      <c r="AZ178" s="202"/>
      <c r="BA178" s="202"/>
      <c r="BB178" s="202"/>
      <c r="BC178" s="202"/>
      <c r="BD178" s="204" t="e">
        <f>'ВО-2021-2025'!$AR$178*'ВО-2021-2025'!$BD$112</f>
        <v>#REF!</v>
      </c>
      <c r="BE178" s="202"/>
      <c r="BF178" s="202"/>
      <c r="BG178" s="267">
        <f t="shared" si="9"/>
        <v>0</v>
      </c>
      <c r="BH178" s="267" t="e">
        <f>BD178-#REF!</f>
        <v>#REF!</v>
      </c>
      <c r="BI178" s="267" t="e">
        <f t="shared" si="10"/>
        <v>#REF!</v>
      </c>
      <c r="BJ178" s="136" t="e">
        <f>#REF!*BJ$111</f>
        <v>#REF!</v>
      </c>
      <c r="BK178" s="202"/>
      <c r="BL178" s="202"/>
      <c r="BM178" s="136" t="e">
        <f>BD178*BM$111</f>
        <v>#REF!</v>
      </c>
      <c r="BN178" s="202"/>
      <c r="BO178" s="202"/>
      <c r="BP178" s="267" t="e">
        <f t="shared" si="20"/>
        <v>#REF!</v>
      </c>
      <c r="BQ178" s="267" t="e">
        <f t="shared" si="21"/>
        <v>#REF!</v>
      </c>
      <c r="BR178" s="136" t="e">
        <f>BJ178*BR$111</f>
        <v>#REF!</v>
      </c>
      <c r="BS178" s="202"/>
      <c r="BT178" s="202"/>
      <c r="BU178" s="136" t="e">
        <f>BM178*BU$111</f>
        <v>#REF!</v>
      </c>
      <c r="BV178" s="202"/>
      <c r="BW178" s="202"/>
      <c r="BX178" s="267" t="e">
        <f t="shared" si="22"/>
        <v>#REF!</v>
      </c>
      <c r="BY178" s="267" t="e">
        <f t="shared" si="23"/>
        <v>#REF!</v>
      </c>
      <c r="BZ178" s="136" t="e">
        <f>BR178*BZ$111</f>
        <v>#REF!</v>
      </c>
      <c r="CA178" s="202"/>
      <c r="CB178" s="202"/>
      <c r="CC178" s="136" t="e">
        <f>BU178*CC$111</f>
        <v>#REF!</v>
      </c>
      <c r="CD178" s="202"/>
      <c r="CE178" s="202"/>
      <c r="CF178" s="267" t="e">
        <f t="shared" si="24"/>
        <v>#REF!</v>
      </c>
      <c r="CG178" s="267" t="e">
        <f t="shared" si="25"/>
        <v>#REF!</v>
      </c>
      <c r="CH178" s="136" t="e">
        <f>BZ178*CH$111</f>
        <v>#REF!</v>
      </c>
      <c r="CI178" s="202"/>
      <c r="CJ178" s="202"/>
      <c r="CK178" s="136" t="e">
        <f>CC178*CK$111</f>
        <v>#REF!</v>
      </c>
      <c r="CL178" s="202"/>
      <c r="CM178" s="202"/>
      <c r="CN178" s="267" t="e">
        <f t="shared" si="26"/>
        <v>#REF!</v>
      </c>
      <c r="CO178" s="267" t="e">
        <f t="shared" si="27"/>
        <v>#REF!</v>
      </c>
      <c r="CP178" s="92"/>
      <c r="CQ178" s="85"/>
      <c r="CR178" s="85"/>
      <c r="CS178" s="85"/>
      <c r="CT178" s="99" t="e">
        <f t="shared" si="19"/>
        <v>#REF!</v>
      </c>
      <c r="CU178" s="99" t="e">
        <f t="array" ref="CU178">BD178</f>
        <v>#REF!</v>
      </c>
      <c r="CV178" s="101"/>
      <c r="CW178" s="101"/>
      <c r="CX178" s="101"/>
      <c r="CY178" s="101"/>
      <c r="CZ178" s="101"/>
      <c r="DA178" s="101"/>
      <c r="DB178" s="101"/>
    </row>
    <row r="179" spans="1:107" ht="14.25" customHeight="1" outlineLevel="4" x14ac:dyDescent="0.25">
      <c r="A179" s="8" t="b">
        <f t="array" ref="A179">A178</f>
        <v>1</v>
      </c>
      <c r="C179" s="2" t="s">
        <v>220</v>
      </c>
      <c r="D179" s="2" t="s">
        <v>221</v>
      </c>
      <c r="E179" s="2" t="s">
        <v>74</v>
      </c>
      <c r="F179" s="2" t="s">
        <v>75</v>
      </c>
      <c r="G179" s="2" t="s">
        <v>74</v>
      </c>
      <c r="H179" s="2" t="s">
        <v>227</v>
      </c>
      <c r="I179" s="2" t="s">
        <v>74</v>
      </c>
      <c r="K179" s="5" t="s">
        <v>74</v>
      </c>
      <c r="L179" s="2" t="s">
        <v>228</v>
      </c>
      <c r="M179" s="8" t="str">
        <f t="array" ref="M179">Y107</f>
        <v>1ВО::1.1</v>
      </c>
      <c r="AA179" s="107" t="str">
        <f>AA178&amp;".1"</f>
        <v>3.1.1.1.5.1.2.1</v>
      </c>
      <c r="AB179" s="205" t="s">
        <v>222</v>
      </c>
      <c r="AC179" s="197" t="s">
        <v>122</v>
      </c>
      <c r="AD179" s="173">
        <v>0</v>
      </c>
      <c r="AE179" s="173">
        <v>0</v>
      </c>
      <c r="AF179" s="173">
        <v>0</v>
      </c>
      <c r="AG179" s="174"/>
      <c r="AH179" s="174"/>
      <c r="AI179" s="173">
        <f>IF(AI175=0,0,AI178/AI175*100)</f>
        <v>0</v>
      </c>
      <c r="AJ179" s="174"/>
      <c r="AK179" s="174"/>
      <c r="AL179" s="174"/>
      <c r="AM179" s="174"/>
      <c r="AN179" s="173">
        <f>IF(AN175=0,0,AN178/AN175*100)</f>
        <v>0</v>
      </c>
      <c r="AO179" s="173">
        <v>0</v>
      </c>
      <c r="AP179" s="174"/>
      <c r="AQ179" s="174"/>
      <c r="AR179" s="173">
        <f>IF(AR175=0,0,AR178/AR175*100)</f>
        <v>0</v>
      </c>
      <c r="AS179" s="174"/>
      <c r="AT179" s="174"/>
      <c r="AU179" s="173">
        <f>IF(AU175=0,0,AU178/AU175*100)</f>
        <v>0</v>
      </c>
      <c r="AV179" s="173">
        <v>0</v>
      </c>
      <c r="AW179" s="174"/>
      <c r="AX179" s="174"/>
      <c r="AY179" s="173">
        <f>IF(AY175=0,0,AY178/AY175*100)</f>
        <v>0</v>
      </c>
      <c r="AZ179" s="174"/>
      <c r="BA179" s="174"/>
      <c r="BB179" s="174"/>
      <c r="BC179" s="174"/>
      <c r="BD179" s="173" t="e">
        <f>IF(BD175=0,0,BD178/BD175*100)</f>
        <v>#REF!</v>
      </c>
      <c r="BE179" s="174"/>
      <c r="BF179" s="174"/>
      <c r="BG179" s="267">
        <f t="shared" si="9"/>
        <v>0</v>
      </c>
      <c r="BH179" s="267" t="e">
        <f>BD179-#REF!</f>
        <v>#REF!</v>
      </c>
      <c r="BI179" s="267" t="e">
        <f t="shared" si="10"/>
        <v>#REF!</v>
      </c>
      <c r="BJ179" s="173" t="e">
        <f>IF(BJ175=0,0,BJ178/BJ175*100)</f>
        <v>#REF!</v>
      </c>
      <c r="BK179" s="174"/>
      <c r="BL179" s="174"/>
      <c r="BM179" s="173" t="e">
        <f>IF(BM175=0,0,BM178/BM175*100)</f>
        <v>#REF!</v>
      </c>
      <c r="BN179" s="174"/>
      <c r="BO179" s="174"/>
      <c r="BP179" s="267" t="e">
        <f t="shared" si="20"/>
        <v>#REF!</v>
      </c>
      <c r="BQ179" s="267" t="e">
        <f t="shared" si="21"/>
        <v>#REF!</v>
      </c>
      <c r="BR179" s="173" t="e">
        <f>IF(BR175=0,0,BR178/BR175*100)</f>
        <v>#REF!</v>
      </c>
      <c r="BS179" s="174"/>
      <c r="BT179" s="174"/>
      <c r="BU179" s="173" t="e">
        <f>IF(BU175=0,0,BU178/BU175*100)</f>
        <v>#REF!</v>
      </c>
      <c r="BV179" s="174"/>
      <c r="BW179" s="174"/>
      <c r="BX179" s="267" t="e">
        <f t="shared" si="22"/>
        <v>#REF!</v>
      </c>
      <c r="BY179" s="267" t="e">
        <f t="shared" si="23"/>
        <v>#REF!</v>
      </c>
      <c r="BZ179" s="173" t="e">
        <f>IF(BZ175=0,0,BZ178/BZ175*100)</f>
        <v>#REF!</v>
      </c>
      <c r="CA179" s="174"/>
      <c r="CB179" s="174"/>
      <c r="CC179" s="173" t="e">
        <f>IF(CC175=0,0,CC178/CC175*100)</f>
        <v>#REF!</v>
      </c>
      <c r="CD179" s="174"/>
      <c r="CE179" s="174"/>
      <c r="CF179" s="267" t="e">
        <f t="shared" si="24"/>
        <v>#REF!</v>
      </c>
      <c r="CG179" s="267" t="e">
        <f t="shared" si="25"/>
        <v>#REF!</v>
      </c>
      <c r="CH179" s="173" t="e">
        <f>IF(CH175=0,0,CH178/CH175*100)</f>
        <v>#REF!</v>
      </c>
      <c r="CI179" s="174"/>
      <c r="CJ179" s="174"/>
      <c r="CK179" s="173" t="e">
        <f>IF(CK175=0,0,CK178/CK175*100)</f>
        <v>#REF!</v>
      </c>
      <c r="CL179" s="174"/>
      <c r="CM179" s="174"/>
      <c r="CN179" s="267" t="e">
        <f t="shared" si="26"/>
        <v>#REF!</v>
      </c>
      <c r="CO179" s="267" t="e">
        <f t="shared" si="27"/>
        <v>#REF!</v>
      </c>
      <c r="CP179" s="92"/>
      <c r="CQ179" s="85"/>
      <c r="CR179" s="85"/>
      <c r="CS179" s="85"/>
      <c r="CT179" s="99" t="e">
        <f t="shared" si="19"/>
        <v>#REF!</v>
      </c>
      <c r="CU179" s="100" t="e">
        <f>IF(CU175=0,0,CU178/CU175*100)</f>
        <v>#REF!</v>
      </c>
      <c r="CV179" s="101"/>
      <c r="CW179" s="101"/>
      <c r="CX179" s="101"/>
      <c r="CY179" s="101"/>
      <c r="CZ179" s="101"/>
      <c r="DA179" s="101"/>
      <c r="DB179" s="101"/>
    </row>
    <row r="180" spans="1:107" ht="14.25" customHeight="1" outlineLevel="4" x14ac:dyDescent="0.25">
      <c r="A180" s="8" t="b">
        <f t="array" ref="A180">A179</f>
        <v>1</v>
      </c>
      <c r="C180" s="93" t="s">
        <v>84</v>
      </c>
      <c r="D180" s="93" t="s">
        <v>85</v>
      </c>
      <c r="E180" s="93" t="s">
        <v>74</v>
      </c>
      <c r="F180" s="2" t="s">
        <v>75</v>
      </c>
      <c r="G180" s="93" t="s">
        <v>232</v>
      </c>
      <c r="H180" s="93" t="s">
        <v>74</v>
      </c>
      <c r="I180" s="93" t="s">
        <v>74</v>
      </c>
      <c r="J180" s="93"/>
      <c r="K180" s="208" t="s">
        <v>74</v>
      </c>
      <c r="L180" s="93" t="s">
        <v>196</v>
      </c>
      <c r="M180" s="8" t="str">
        <f t="array" ref="M180">Y107</f>
        <v>1ВО::1.1</v>
      </c>
      <c r="AA180" s="206" t="str">
        <f>AA173&amp;".2"</f>
        <v>3.1.1.1.5.2</v>
      </c>
      <c r="AB180" s="199" t="s">
        <v>233</v>
      </c>
      <c r="AC180" s="197" t="s">
        <v>114</v>
      </c>
      <c r="AD180" s="173">
        <v>10100.3183865016</v>
      </c>
      <c r="AE180" s="173">
        <v>10691.5708455486</v>
      </c>
      <c r="AF180" s="173">
        <v>12333.335559564701</v>
      </c>
      <c r="AG180" s="174"/>
      <c r="AH180" s="174"/>
      <c r="AI180" s="173">
        <f>AI173-AI174</f>
        <v>12333.335559564701</v>
      </c>
      <c r="AJ180" s="174"/>
      <c r="AK180" s="174"/>
      <c r="AL180" s="174"/>
      <c r="AM180" s="174"/>
      <c r="AN180" s="173">
        <f>AN173-AN174</f>
        <v>0</v>
      </c>
      <c r="AO180" s="173">
        <v>0</v>
      </c>
      <c r="AP180" s="174"/>
      <c r="AQ180" s="174"/>
      <c r="AR180" s="173">
        <f>AR173-AR174</f>
        <v>0</v>
      </c>
      <c r="AS180" s="174"/>
      <c r="AT180" s="174"/>
      <c r="AU180" s="173">
        <f>AU173-AU174</f>
        <v>0</v>
      </c>
      <c r="AV180" s="173">
        <v>0</v>
      </c>
      <c r="AW180" s="174"/>
      <c r="AX180" s="174"/>
      <c r="AY180" s="173">
        <f>AY173-AY174</f>
        <v>0</v>
      </c>
      <c r="AZ180" s="174"/>
      <c r="BA180" s="174"/>
      <c r="BB180" s="174"/>
      <c r="BC180" s="174"/>
      <c r="BD180" s="173" t="e">
        <f>BD173-BD174</f>
        <v>#REF!</v>
      </c>
      <c r="BE180" s="174"/>
      <c r="BF180" s="174"/>
      <c r="BG180" s="267">
        <f t="shared" si="9"/>
        <v>0</v>
      </c>
      <c r="BH180" s="267" t="e">
        <f>BD180-#REF!</f>
        <v>#REF!</v>
      </c>
      <c r="BI180" s="267" t="e">
        <f t="shared" si="10"/>
        <v>#REF!</v>
      </c>
      <c r="BJ180" s="173" t="e">
        <f>BJ173-BJ174</f>
        <v>#REF!</v>
      </c>
      <c r="BK180" s="174"/>
      <c r="BL180" s="174"/>
      <c r="BM180" s="173" t="e">
        <f>BM173-BM174</f>
        <v>#REF!</v>
      </c>
      <c r="BN180" s="174"/>
      <c r="BO180" s="174"/>
      <c r="BP180" s="267" t="e">
        <f t="shared" si="20"/>
        <v>#REF!</v>
      </c>
      <c r="BQ180" s="267" t="e">
        <f t="shared" si="21"/>
        <v>#REF!</v>
      </c>
      <c r="BR180" s="173" t="e">
        <f>BR173-BR174</f>
        <v>#REF!</v>
      </c>
      <c r="BS180" s="174"/>
      <c r="BT180" s="174"/>
      <c r="BU180" s="173" t="e">
        <f>BU173-BU174</f>
        <v>#REF!</v>
      </c>
      <c r="BV180" s="174"/>
      <c r="BW180" s="174"/>
      <c r="BX180" s="267" t="e">
        <f t="shared" si="22"/>
        <v>#REF!</v>
      </c>
      <c r="BY180" s="267" t="e">
        <f t="shared" si="23"/>
        <v>#REF!</v>
      </c>
      <c r="BZ180" s="173" t="e">
        <f>BZ173-BZ174</f>
        <v>#REF!</v>
      </c>
      <c r="CA180" s="174"/>
      <c r="CB180" s="174"/>
      <c r="CC180" s="173" t="e">
        <f>CC173-CC174</f>
        <v>#REF!</v>
      </c>
      <c r="CD180" s="174"/>
      <c r="CE180" s="174"/>
      <c r="CF180" s="267" t="e">
        <f t="shared" si="24"/>
        <v>#REF!</v>
      </c>
      <c r="CG180" s="267" t="e">
        <f t="shared" si="25"/>
        <v>#REF!</v>
      </c>
      <c r="CH180" s="173" t="e">
        <f>CH173-CH174</f>
        <v>#REF!</v>
      </c>
      <c r="CI180" s="174"/>
      <c r="CJ180" s="174"/>
      <c r="CK180" s="173" t="e">
        <f>CK173-CK174</f>
        <v>#REF!</v>
      </c>
      <c r="CL180" s="174"/>
      <c r="CM180" s="174"/>
      <c r="CN180" s="267" t="e">
        <f t="shared" si="26"/>
        <v>#REF!</v>
      </c>
      <c r="CO180" s="267" t="e">
        <f t="shared" si="27"/>
        <v>#REF!</v>
      </c>
      <c r="CP180" s="92"/>
      <c r="CQ180" s="85"/>
      <c r="CR180" s="85"/>
      <c r="CS180" s="85"/>
      <c r="CT180" s="99" t="e">
        <f t="shared" si="19"/>
        <v>#REF!</v>
      </c>
      <c r="CU180" s="100" t="e">
        <f>CU173-CU174</f>
        <v>#REF!</v>
      </c>
      <c r="CV180" s="101"/>
      <c r="CW180" s="101"/>
      <c r="CX180" s="101"/>
      <c r="CY180" s="101"/>
      <c r="CZ180" s="101"/>
      <c r="DA180" s="101"/>
      <c r="DB180" s="101"/>
    </row>
    <row r="181" spans="1:107" ht="14.25" customHeight="1" outlineLevel="4" x14ac:dyDescent="0.25">
      <c r="C181" s="2" t="s">
        <v>84</v>
      </c>
      <c r="D181" s="2" t="s">
        <v>85</v>
      </c>
      <c r="E181" s="2" t="s">
        <v>74</v>
      </c>
      <c r="F181" s="2" t="s">
        <v>75</v>
      </c>
      <c r="G181" s="2" t="s">
        <v>234</v>
      </c>
      <c r="H181" s="2" t="s">
        <v>74</v>
      </c>
      <c r="I181" s="2" t="s">
        <v>74</v>
      </c>
      <c r="K181" s="5" t="s">
        <v>74</v>
      </c>
      <c r="L181" s="2" t="s">
        <v>196</v>
      </c>
      <c r="M181" s="8" t="str">
        <f t="array" ref="M181">Y107</f>
        <v>1ВО::1.1</v>
      </c>
      <c r="AA181" s="206" t="str">
        <f>AA160&amp;".6"</f>
        <v>3.1.1.1.6</v>
      </c>
      <c r="AB181" s="198" t="s">
        <v>235</v>
      </c>
      <c r="AC181" s="197" t="s">
        <v>114</v>
      </c>
      <c r="AD181" s="173">
        <v>13717.606867655599</v>
      </c>
      <c r="AE181" s="173">
        <v>14520.6081674542</v>
      </c>
      <c r="AF181" s="173">
        <v>16418.6680681449</v>
      </c>
      <c r="AG181" s="174"/>
      <c r="AH181" s="174"/>
      <c r="AI181" s="173">
        <f>SUM(AI182:AI190)</f>
        <v>16750.3480681449</v>
      </c>
      <c r="AJ181" s="174"/>
      <c r="AK181" s="174"/>
      <c r="AL181" s="174"/>
      <c r="AM181" s="174"/>
      <c r="AN181" s="173" t="e">
        <f>SUM(AN182:AN190)</f>
        <v>#REF!</v>
      </c>
      <c r="AO181" s="173">
        <v>43255.092287253807</v>
      </c>
      <c r="AP181" s="174"/>
      <c r="AQ181" s="174"/>
      <c r="AR181" s="173">
        <f>SUM(AR182:AR190)</f>
        <v>43255.092287253807</v>
      </c>
      <c r="AS181" s="174"/>
      <c r="AT181" s="174"/>
      <c r="AU181" s="173" t="e">
        <f>SUM(AU182:AU190)</f>
        <v>#REF!</v>
      </c>
      <c r="AV181" s="173">
        <v>44621.0881016852</v>
      </c>
      <c r="AW181" s="174"/>
      <c r="AX181" s="174"/>
      <c r="AY181" s="173">
        <f>SUM(AY182:AY190)</f>
        <v>44621.0881016852</v>
      </c>
      <c r="AZ181" s="174"/>
      <c r="BA181" s="174"/>
      <c r="BB181" s="174"/>
      <c r="BC181" s="174"/>
      <c r="BD181" s="173" t="e">
        <f>SUM(BD182:BD190)</f>
        <v>#REF!</v>
      </c>
      <c r="BE181" s="174"/>
      <c r="BF181" s="174"/>
      <c r="BG181" s="267" t="e">
        <f t="shared" si="9"/>
        <v>#REF!</v>
      </c>
      <c r="BH181" s="267" t="e">
        <f>BD181-#REF!</f>
        <v>#REF!</v>
      </c>
      <c r="BI181" s="267" t="e">
        <f t="shared" si="10"/>
        <v>#REF!</v>
      </c>
      <c r="BJ181" s="173" t="e">
        <f>SUM(BJ182:BJ190)</f>
        <v>#REF!</v>
      </c>
      <c r="BK181" s="174"/>
      <c r="BL181" s="174"/>
      <c r="BM181" s="173" t="e">
        <f>SUM(BM182:BM190)</f>
        <v>#REF!</v>
      </c>
      <c r="BN181" s="174"/>
      <c r="BO181" s="174"/>
      <c r="BP181" s="267" t="e">
        <f t="shared" si="20"/>
        <v>#REF!</v>
      </c>
      <c r="BQ181" s="267" t="e">
        <f t="shared" si="21"/>
        <v>#REF!</v>
      </c>
      <c r="BR181" s="173" t="e">
        <f>SUM(BR182:BR190)</f>
        <v>#REF!</v>
      </c>
      <c r="BS181" s="174"/>
      <c r="BT181" s="174"/>
      <c r="BU181" s="173" t="e">
        <f>SUM(BU182:BU190)</f>
        <v>#REF!</v>
      </c>
      <c r="BV181" s="174"/>
      <c r="BW181" s="174"/>
      <c r="BX181" s="267" t="e">
        <f t="shared" si="22"/>
        <v>#REF!</v>
      </c>
      <c r="BY181" s="267" t="e">
        <f t="shared" si="23"/>
        <v>#REF!</v>
      </c>
      <c r="BZ181" s="173" t="e">
        <f>SUM(BZ182:BZ190)</f>
        <v>#REF!</v>
      </c>
      <c r="CA181" s="174"/>
      <c r="CB181" s="174"/>
      <c r="CC181" s="173" t="e">
        <f>SUM(CC182:CC190)</f>
        <v>#REF!</v>
      </c>
      <c r="CD181" s="174"/>
      <c r="CE181" s="174"/>
      <c r="CF181" s="267" t="e">
        <f t="shared" si="24"/>
        <v>#REF!</v>
      </c>
      <c r="CG181" s="267" t="e">
        <f t="shared" si="25"/>
        <v>#REF!</v>
      </c>
      <c r="CH181" s="173" t="e">
        <f>SUM(CH182:CH190)</f>
        <v>#REF!</v>
      </c>
      <c r="CI181" s="174"/>
      <c r="CJ181" s="174"/>
      <c r="CK181" s="173" t="e">
        <f>SUM(CK182:CK190)</f>
        <v>#REF!</v>
      </c>
      <c r="CL181" s="174"/>
      <c r="CM181" s="174"/>
      <c r="CN181" s="267" t="e">
        <f t="shared" si="26"/>
        <v>#REF!</v>
      </c>
      <c r="CO181" s="267" t="e">
        <f t="shared" si="27"/>
        <v>#REF!</v>
      </c>
      <c r="CP181" s="92"/>
      <c r="CQ181" s="85"/>
      <c r="CR181" s="85"/>
      <c r="CS181" s="85"/>
      <c r="CT181" s="99" t="e">
        <f t="shared" si="19"/>
        <v>#REF!</v>
      </c>
      <c r="CU181" s="100" t="e">
        <f>SUM(CU182:CU190)</f>
        <v>#REF!</v>
      </c>
      <c r="CV181" s="101"/>
      <c r="CW181" s="101"/>
      <c r="CX181" s="101"/>
      <c r="CY181" s="101"/>
      <c r="CZ181" s="101"/>
      <c r="DA181" s="101"/>
      <c r="DB181" s="101"/>
    </row>
    <row r="182" spans="1:107" ht="14.25" customHeight="1" outlineLevel="4" x14ac:dyDescent="0.25">
      <c r="C182" s="2" t="s">
        <v>84</v>
      </c>
      <c r="D182" s="2" t="s">
        <v>85</v>
      </c>
      <c r="E182" s="2" t="s">
        <v>74</v>
      </c>
      <c r="F182" s="2" t="s">
        <v>75</v>
      </c>
      <c r="G182" s="2" t="s">
        <v>236</v>
      </c>
      <c r="H182" s="2" t="s">
        <v>74</v>
      </c>
      <c r="I182" s="2" t="s">
        <v>74</v>
      </c>
      <c r="K182" s="5" t="s">
        <v>74</v>
      </c>
      <c r="L182" s="2" t="s">
        <v>196</v>
      </c>
      <c r="M182" s="8" t="str">
        <f t="array" ref="M182">Y107</f>
        <v>1ВО::1.1</v>
      </c>
      <c r="AA182" s="107" t="str">
        <f>AA181&amp;".1"</f>
        <v>3.1.1.1.6.1</v>
      </c>
      <c r="AB182" s="199" t="s">
        <v>237</v>
      </c>
      <c r="AC182" s="197" t="s">
        <v>114</v>
      </c>
      <c r="AD182" s="136"/>
      <c r="AE182" s="136"/>
      <c r="AF182" s="195"/>
      <c r="AG182" s="202"/>
      <c r="AH182" s="202"/>
      <c r="AI182" s="136">
        <f t="array" ref="AI182">'ВО-2021-2025'!$AF$182</f>
        <v>0</v>
      </c>
      <c r="AJ182" s="202"/>
      <c r="AK182" s="202"/>
      <c r="AL182" s="202"/>
      <c r="AM182" s="202"/>
      <c r="AN182" s="204" t="e">
        <f t="array" ref="AN182">IF('ВО-2021-2025'!$AN$81="Методика",IF('ВО-2021-2025'!AI$158=0,0,'ВО-2021-2025'!AI182/'ВО-2021-2025'!AI$158*'ВО-2021-2025'!AN$159),'ВО-2021-2025'!#REF!)</f>
        <v>#REF!</v>
      </c>
      <c r="AO182" s="195">
        <v>350.96600000000001</v>
      </c>
      <c r="AP182" s="202"/>
      <c r="AQ182" s="202"/>
      <c r="AR182" s="136">
        <v>350.96600000000001</v>
      </c>
      <c r="AS182" s="202"/>
      <c r="AT182" s="202"/>
      <c r="AU182" s="204" t="e">
        <f t="array" ref="AU182">'ВО-2021-2025'!#REF!</f>
        <v>#REF!</v>
      </c>
      <c r="AV182" s="195">
        <v>362.04950628</v>
      </c>
      <c r="AW182" s="202"/>
      <c r="AX182" s="202"/>
      <c r="AY182" s="136">
        <v>362.04950628</v>
      </c>
      <c r="AZ182" s="202"/>
      <c r="BA182" s="202"/>
      <c r="BB182" s="202"/>
      <c r="BC182" s="202"/>
      <c r="BD182" s="204" t="e">
        <f>'ВО-2021-2025'!$AR$182*'ВО-2021-2025'!$BD$112</f>
        <v>#REF!</v>
      </c>
      <c r="BE182" s="202"/>
      <c r="BF182" s="202"/>
      <c r="BG182" s="267" t="e">
        <f t="shared" si="9"/>
        <v>#REF!</v>
      </c>
      <c r="BH182" s="267" t="e">
        <f>BD182-#REF!</f>
        <v>#REF!</v>
      </c>
      <c r="BI182" s="267" t="e">
        <f t="shared" si="10"/>
        <v>#REF!</v>
      </c>
      <c r="BJ182" s="136" t="e">
        <f>#REF!*BJ$111</f>
        <v>#REF!</v>
      </c>
      <c r="BK182" s="202"/>
      <c r="BL182" s="202"/>
      <c r="BM182" s="136" t="e">
        <f t="shared" ref="BM182:BM188" si="28">BD182*BM$111</f>
        <v>#REF!</v>
      </c>
      <c r="BN182" s="202"/>
      <c r="BO182" s="202"/>
      <c r="BP182" s="267" t="e">
        <f t="shared" si="20"/>
        <v>#REF!</v>
      </c>
      <c r="BQ182" s="267" t="e">
        <f t="shared" si="21"/>
        <v>#REF!</v>
      </c>
      <c r="BR182" s="136" t="e">
        <f t="shared" ref="BR182:BR188" si="29">BJ182*BR$111</f>
        <v>#REF!</v>
      </c>
      <c r="BS182" s="202"/>
      <c r="BT182" s="202"/>
      <c r="BU182" s="136" t="e">
        <f t="shared" ref="BU182:BU188" si="30">BM182*BU$111</f>
        <v>#REF!</v>
      </c>
      <c r="BV182" s="202"/>
      <c r="BW182" s="202"/>
      <c r="BX182" s="267" t="e">
        <f t="shared" si="22"/>
        <v>#REF!</v>
      </c>
      <c r="BY182" s="267" t="e">
        <f t="shared" si="23"/>
        <v>#REF!</v>
      </c>
      <c r="BZ182" s="136" t="e">
        <f t="shared" ref="BZ182:BZ188" si="31">BR182*BZ$111</f>
        <v>#REF!</v>
      </c>
      <c r="CA182" s="202"/>
      <c r="CB182" s="202"/>
      <c r="CC182" s="136" t="e">
        <f t="shared" ref="CC182:CC188" si="32">BU182*CC$111</f>
        <v>#REF!</v>
      </c>
      <c r="CD182" s="202"/>
      <c r="CE182" s="202"/>
      <c r="CF182" s="267" t="e">
        <f t="shared" si="24"/>
        <v>#REF!</v>
      </c>
      <c r="CG182" s="267" t="e">
        <f t="shared" si="25"/>
        <v>#REF!</v>
      </c>
      <c r="CH182" s="136" t="e">
        <f t="shared" ref="CH182:CH188" si="33">BZ182*CH$111</f>
        <v>#REF!</v>
      </c>
      <c r="CI182" s="202"/>
      <c r="CJ182" s="202"/>
      <c r="CK182" s="136" t="e">
        <f t="shared" ref="CK182:CK188" si="34">CC182*CK$111</f>
        <v>#REF!</v>
      </c>
      <c r="CL182" s="202"/>
      <c r="CM182" s="202"/>
      <c r="CN182" s="267" t="e">
        <f t="shared" si="26"/>
        <v>#REF!</v>
      </c>
      <c r="CO182" s="267" t="e">
        <f t="shared" si="27"/>
        <v>#REF!</v>
      </c>
      <c r="CP182" s="92"/>
      <c r="CQ182" s="85"/>
      <c r="CR182" s="85"/>
      <c r="CS182" s="85"/>
      <c r="CT182" s="99" t="e">
        <f t="shared" si="19"/>
        <v>#REF!</v>
      </c>
      <c r="CU182" s="99" t="e">
        <f t="array" ref="CU182">BD182</f>
        <v>#REF!</v>
      </c>
      <c r="CV182" s="101"/>
      <c r="CW182" s="101"/>
      <c r="CX182" s="101"/>
      <c r="CY182" s="101"/>
      <c r="CZ182" s="101"/>
      <c r="DA182" s="101"/>
      <c r="DB182" s="101"/>
    </row>
    <row r="183" spans="1:107" ht="24" customHeight="1" outlineLevel="4" x14ac:dyDescent="0.25">
      <c r="C183" s="2" t="s">
        <v>84</v>
      </c>
      <c r="D183" s="2" t="s">
        <v>85</v>
      </c>
      <c r="E183" s="2" t="s">
        <v>74</v>
      </c>
      <c r="F183" s="2" t="s">
        <v>75</v>
      </c>
      <c r="G183" s="2" t="s">
        <v>238</v>
      </c>
      <c r="H183" s="2" t="s">
        <v>74</v>
      </c>
      <c r="I183" s="2" t="s">
        <v>74</v>
      </c>
      <c r="K183" s="5" t="s">
        <v>74</v>
      </c>
      <c r="L183" s="2" t="s">
        <v>196</v>
      </c>
      <c r="M183" s="8" t="str">
        <f t="array" ref="M183">Y107</f>
        <v>1ВО::1.1</v>
      </c>
      <c r="AA183" s="107" t="str">
        <f>AA181&amp;".2"</f>
        <v>3.1.1.1.6.2</v>
      </c>
      <c r="AB183" s="199" t="s">
        <v>239</v>
      </c>
      <c r="AC183" s="197" t="s">
        <v>114</v>
      </c>
      <c r="AD183" s="136"/>
      <c r="AE183" s="136"/>
      <c r="AF183" s="195"/>
      <c r="AG183" s="202"/>
      <c r="AH183" s="202"/>
      <c r="AI183" s="136">
        <f t="array" ref="AI183">'ВО-2021-2025'!$AF$183</f>
        <v>0</v>
      </c>
      <c r="AJ183" s="202"/>
      <c r="AK183" s="202"/>
      <c r="AL183" s="202"/>
      <c r="AM183" s="202"/>
      <c r="AN183" s="136" t="e">
        <f t="array" ref="AN183">IF('ВО-2021-2025'!$AN$81="Методика",IF('ВО-2021-2025'!AI$158=0,0,'ВО-2021-2025'!AI183/'ВО-2021-2025'!AI$158*'ВО-2021-2025'!AN$159),#REF!)</f>
        <v>#REF!</v>
      </c>
      <c r="AO183" s="195">
        <v>3748.110248</v>
      </c>
      <c r="AP183" s="202"/>
      <c r="AQ183" s="202"/>
      <c r="AR183" s="136">
        <v>3748.110248</v>
      </c>
      <c r="AS183" s="202"/>
      <c r="AT183" s="202"/>
      <c r="AU183" s="136" t="e">
        <f t="array" ref="AU183">#REF!</f>
        <v>#REF!</v>
      </c>
      <c r="AV183" s="195">
        <v>3866.4755696318002</v>
      </c>
      <c r="AW183" s="202"/>
      <c r="AX183" s="202"/>
      <c r="AY183" s="136">
        <v>3866.4755696318002</v>
      </c>
      <c r="AZ183" s="202"/>
      <c r="BA183" s="202"/>
      <c r="BB183" s="202"/>
      <c r="BC183" s="202"/>
      <c r="BD183" s="136" t="e">
        <f>'ВО-2021-2025'!$AR$183*'ВО-2021-2025'!$BD$112</f>
        <v>#REF!</v>
      </c>
      <c r="BE183" s="202"/>
      <c r="BF183" s="202"/>
      <c r="BG183" s="267" t="e">
        <f t="shared" si="9"/>
        <v>#REF!</v>
      </c>
      <c r="BH183" s="267" t="e">
        <f>BD183-#REF!</f>
        <v>#REF!</v>
      </c>
      <c r="BI183" s="267" t="e">
        <f t="shared" si="10"/>
        <v>#REF!</v>
      </c>
      <c r="BJ183" s="136" t="e">
        <f>#REF!*BJ$111</f>
        <v>#REF!</v>
      </c>
      <c r="BK183" s="202"/>
      <c r="BL183" s="202"/>
      <c r="BM183" s="136" t="e">
        <f t="shared" si="28"/>
        <v>#REF!</v>
      </c>
      <c r="BN183" s="202"/>
      <c r="BO183" s="202"/>
      <c r="BP183" s="267" t="e">
        <f t="shared" si="20"/>
        <v>#REF!</v>
      </c>
      <c r="BQ183" s="267" t="e">
        <f t="shared" si="21"/>
        <v>#REF!</v>
      </c>
      <c r="BR183" s="136" t="e">
        <f t="shared" si="29"/>
        <v>#REF!</v>
      </c>
      <c r="BS183" s="202"/>
      <c r="BT183" s="202"/>
      <c r="BU183" s="136" t="e">
        <f t="shared" si="30"/>
        <v>#REF!</v>
      </c>
      <c r="BV183" s="202"/>
      <c r="BW183" s="202"/>
      <c r="BX183" s="267" t="e">
        <f t="shared" si="22"/>
        <v>#REF!</v>
      </c>
      <c r="BY183" s="267" t="e">
        <f t="shared" si="23"/>
        <v>#REF!</v>
      </c>
      <c r="BZ183" s="136" t="e">
        <f t="shared" si="31"/>
        <v>#REF!</v>
      </c>
      <c r="CA183" s="202"/>
      <c r="CB183" s="202"/>
      <c r="CC183" s="136" t="e">
        <f t="shared" si="32"/>
        <v>#REF!</v>
      </c>
      <c r="CD183" s="202"/>
      <c r="CE183" s="202"/>
      <c r="CF183" s="267" t="e">
        <f t="shared" si="24"/>
        <v>#REF!</v>
      </c>
      <c r="CG183" s="267" t="e">
        <f t="shared" si="25"/>
        <v>#REF!</v>
      </c>
      <c r="CH183" s="136" t="e">
        <f t="shared" si="33"/>
        <v>#REF!</v>
      </c>
      <c r="CI183" s="202"/>
      <c r="CJ183" s="202"/>
      <c r="CK183" s="136" t="e">
        <f t="shared" si="34"/>
        <v>#REF!</v>
      </c>
      <c r="CL183" s="202"/>
      <c r="CM183" s="202"/>
      <c r="CN183" s="267" t="e">
        <f t="shared" si="26"/>
        <v>#REF!</v>
      </c>
      <c r="CO183" s="267" t="e">
        <f t="shared" si="27"/>
        <v>#REF!</v>
      </c>
      <c r="CP183" s="92"/>
      <c r="CQ183" s="85"/>
      <c r="CR183" s="85"/>
      <c r="CS183" s="85"/>
      <c r="CT183" s="99" t="e">
        <f t="shared" si="19"/>
        <v>#REF!</v>
      </c>
      <c r="CU183" s="99" t="e">
        <f t="array" ref="CU183">BD183</f>
        <v>#REF!</v>
      </c>
      <c r="CV183" s="101"/>
      <c r="CW183" s="101"/>
      <c r="CX183" s="101"/>
      <c r="CY183" s="101"/>
      <c r="CZ183" s="101"/>
      <c r="DA183" s="101"/>
      <c r="DB183" s="101"/>
    </row>
    <row r="184" spans="1:107" ht="24" customHeight="1" outlineLevel="4" x14ac:dyDescent="0.25">
      <c r="C184" s="2" t="s">
        <v>84</v>
      </c>
      <c r="D184" s="2" t="s">
        <v>85</v>
      </c>
      <c r="E184" s="2" t="s">
        <v>74</v>
      </c>
      <c r="F184" s="2" t="s">
        <v>75</v>
      </c>
      <c r="G184" s="2" t="s">
        <v>240</v>
      </c>
      <c r="H184" s="2" t="s">
        <v>74</v>
      </c>
      <c r="I184" s="2" t="s">
        <v>74</v>
      </c>
      <c r="K184" s="5" t="s">
        <v>74</v>
      </c>
      <c r="L184" s="2" t="s">
        <v>196</v>
      </c>
      <c r="M184" s="8" t="str">
        <f t="array" ref="M184">Y107</f>
        <v>1ВО::1.1</v>
      </c>
      <c r="AA184" s="107" t="str">
        <f>AA181&amp;".3"</f>
        <v>3.1.1.1.6.3</v>
      </c>
      <c r="AB184" s="199" t="s">
        <v>241</v>
      </c>
      <c r="AC184" s="197" t="s">
        <v>114</v>
      </c>
      <c r="AD184" s="136"/>
      <c r="AE184" s="136"/>
      <c r="AF184" s="195"/>
      <c r="AG184" s="202"/>
      <c r="AH184" s="202"/>
      <c r="AI184" s="136">
        <f t="array" ref="AI184">'ВО-2021-2025'!$AF$184</f>
        <v>0</v>
      </c>
      <c r="AJ184" s="202"/>
      <c r="AK184" s="202"/>
      <c r="AL184" s="202"/>
      <c r="AM184" s="202"/>
      <c r="AN184" s="136" t="e">
        <f t="array" ref="AN184">IF('ВО-2021-2025'!$AN$81="Методика",IF('ВО-2021-2025'!AI$158=0,0,'ВО-2021-2025'!AI184/'ВО-2021-2025'!AI$158*'ВО-2021-2025'!AN$159),#REF!)</f>
        <v>#REF!</v>
      </c>
      <c r="AO184" s="195"/>
      <c r="AP184" s="202"/>
      <c r="AQ184" s="202"/>
      <c r="AR184" s="136">
        <f t="array" ref="AR184">'ВО-2021-2025'!$AO$184</f>
        <v>0</v>
      </c>
      <c r="AS184" s="202"/>
      <c r="AT184" s="202"/>
      <c r="AU184" s="136" t="e">
        <f t="array" ref="AU184">#REF!</f>
        <v>#REF!</v>
      </c>
      <c r="AV184" s="195">
        <v>0</v>
      </c>
      <c r="AW184" s="202"/>
      <c r="AX184" s="202"/>
      <c r="AY184" s="136">
        <f>IF(AY$88,AR184*AY$112,AV184*1)</f>
        <v>0</v>
      </c>
      <c r="AZ184" s="202"/>
      <c r="BA184" s="202"/>
      <c r="BB184" s="202"/>
      <c r="BC184" s="202"/>
      <c r="BD184" s="136" t="e">
        <f>'ВО-2021-2025'!$AR$184*'ВО-2021-2025'!$BD$112</f>
        <v>#REF!</v>
      </c>
      <c r="BE184" s="202"/>
      <c r="BF184" s="202"/>
      <c r="BG184" s="267">
        <f t="shared" si="9"/>
        <v>0</v>
      </c>
      <c r="BH184" s="267" t="e">
        <f>BD184-#REF!</f>
        <v>#REF!</v>
      </c>
      <c r="BI184" s="267" t="e">
        <f t="shared" si="10"/>
        <v>#REF!</v>
      </c>
      <c r="BJ184" s="136" t="e">
        <f>#REF!*BJ$111</f>
        <v>#REF!</v>
      </c>
      <c r="BK184" s="202"/>
      <c r="BL184" s="202"/>
      <c r="BM184" s="136" t="e">
        <f t="shared" si="28"/>
        <v>#REF!</v>
      </c>
      <c r="BN184" s="202"/>
      <c r="BO184" s="202"/>
      <c r="BP184" s="267" t="e">
        <f t="shared" si="20"/>
        <v>#REF!</v>
      </c>
      <c r="BQ184" s="267" t="e">
        <f t="shared" si="21"/>
        <v>#REF!</v>
      </c>
      <c r="BR184" s="136" t="e">
        <f t="shared" si="29"/>
        <v>#REF!</v>
      </c>
      <c r="BS184" s="202"/>
      <c r="BT184" s="202"/>
      <c r="BU184" s="136" t="e">
        <f t="shared" si="30"/>
        <v>#REF!</v>
      </c>
      <c r="BV184" s="202"/>
      <c r="BW184" s="202"/>
      <c r="BX184" s="267" t="e">
        <f t="shared" si="22"/>
        <v>#REF!</v>
      </c>
      <c r="BY184" s="267" t="e">
        <f t="shared" si="23"/>
        <v>#REF!</v>
      </c>
      <c r="BZ184" s="136" t="e">
        <f t="shared" si="31"/>
        <v>#REF!</v>
      </c>
      <c r="CA184" s="202"/>
      <c r="CB184" s="202"/>
      <c r="CC184" s="136" t="e">
        <f t="shared" si="32"/>
        <v>#REF!</v>
      </c>
      <c r="CD184" s="202"/>
      <c r="CE184" s="202"/>
      <c r="CF184" s="267" t="e">
        <f t="shared" si="24"/>
        <v>#REF!</v>
      </c>
      <c r="CG184" s="267" t="e">
        <f t="shared" si="25"/>
        <v>#REF!</v>
      </c>
      <c r="CH184" s="136" t="e">
        <f t="shared" si="33"/>
        <v>#REF!</v>
      </c>
      <c r="CI184" s="202"/>
      <c r="CJ184" s="202"/>
      <c r="CK184" s="136" t="e">
        <f t="shared" si="34"/>
        <v>#REF!</v>
      </c>
      <c r="CL184" s="202"/>
      <c r="CM184" s="202"/>
      <c r="CN184" s="267" t="e">
        <f t="shared" si="26"/>
        <v>#REF!</v>
      </c>
      <c r="CO184" s="267" t="e">
        <f t="shared" si="27"/>
        <v>#REF!</v>
      </c>
      <c r="CP184" s="92"/>
      <c r="CQ184" s="85"/>
      <c r="CR184" s="85"/>
      <c r="CS184" s="85"/>
      <c r="CT184" s="99" t="e">
        <f t="shared" si="19"/>
        <v>#REF!</v>
      </c>
      <c r="CU184" s="99" t="e">
        <f t="array" ref="CU184">BD184</f>
        <v>#REF!</v>
      </c>
      <c r="CV184" s="101"/>
      <c r="CW184" s="101"/>
      <c r="CX184" s="101"/>
      <c r="CY184" s="101"/>
      <c r="CZ184" s="101"/>
      <c r="DA184" s="101"/>
      <c r="DB184" s="101"/>
    </row>
    <row r="185" spans="1:107" ht="49.9" customHeight="1" outlineLevel="4" x14ac:dyDescent="0.25">
      <c r="C185" s="2" t="s">
        <v>84</v>
      </c>
      <c r="D185" s="2" t="s">
        <v>85</v>
      </c>
      <c r="E185" s="2" t="s">
        <v>74</v>
      </c>
      <c r="F185" s="2" t="s">
        <v>75</v>
      </c>
      <c r="G185" s="2" t="s">
        <v>242</v>
      </c>
      <c r="H185" s="2" t="s">
        <v>74</v>
      </c>
      <c r="I185" s="2" t="s">
        <v>74</v>
      </c>
      <c r="K185" s="5" t="s">
        <v>74</v>
      </c>
      <c r="L185" s="2" t="s">
        <v>196</v>
      </c>
      <c r="M185" s="8" t="str">
        <f t="array" ref="M185">Y107</f>
        <v>1ВО::1.1</v>
      </c>
      <c r="AA185" s="206" t="str">
        <f>AA181&amp;".4"</f>
        <v>3.1.1.1.6.4</v>
      </c>
      <c r="AB185" s="199" t="s">
        <v>243</v>
      </c>
      <c r="AC185" s="197" t="s">
        <v>114</v>
      </c>
      <c r="AD185" s="136"/>
      <c r="AE185" s="136"/>
      <c r="AF185" s="195"/>
      <c r="AG185" s="202"/>
      <c r="AH185" s="202"/>
      <c r="AI185" s="136">
        <f t="array" ref="AI185">'ВО-2021-2025'!$AF$185</f>
        <v>0</v>
      </c>
      <c r="AJ185" s="202"/>
      <c r="AK185" s="202"/>
      <c r="AL185" s="202"/>
      <c r="AM185" s="202"/>
      <c r="AN185" s="136" t="e">
        <f t="array" ref="AN185">IF('ВО-2021-2025'!$AN$81="Методика",IF('ВО-2021-2025'!AI$158=0,0,'ВО-2021-2025'!AI185/'ВО-2021-2025'!AI$158*'ВО-2021-2025'!AN$159),#REF!)</f>
        <v>#REF!</v>
      </c>
      <c r="AO185" s="195">
        <v>4079</v>
      </c>
      <c r="AP185" s="202"/>
      <c r="AQ185" s="202"/>
      <c r="AR185" s="136">
        <v>4079</v>
      </c>
      <c r="AS185" s="202"/>
      <c r="AT185" s="202"/>
      <c r="AU185" s="136" t="e">
        <f t="array" ref="AU185">#REF!</f>
        <v>#REF!</v>
      </c>
      <c r="AV185" s="195">
        <v>4207.8148199999996</v>
      </c>
      <c r="AW185" s="202"/>
      <c r="AX185" s="202"/>
      <c r="AY185" s="136">
        <v>4207.8148199999996</v>
      </c>
      <c r="AZ185" s="202"/>
      <c r="BA185" s="202"/>
      <c r="BB185" s="202"/>
      <c r="BC185" s="202"/>
      <c r="BD185" s="136" t="e">
        <f>'ВО-2021-2025'!$AR$185*'ВО-2021-2025'!$BD$112</f>
        <v>#REF!</v>
      </c>
      <c r="BE185" s="202"/>
      <c r="BF185" s="202"/>
      <c r="BG185" s="267" t="e">
        <f t="shared" si="9"/>
        <v>#REF!</v>
      </c>
      <c r="BH185" s="267" t="e">
        <f>BD185-#REF!</f>
        <v>#REF!</v>
      </c>
      <c r="BI185" s="267" t="e">
        <f t="shared" si="10"/>
        <v>#REF!</v>
      </c>
      <c r="BJ185" s="136" t="e">
        <f>#REF!*BJ$111</f>
        <v>#REF!</v>
      </c>
      <c r="BK185" s="202"/>
      <c r="BL185" s="202"/>
      <c r="BM185" s="136" t="e">
        <f t="shared" si="28"/>
        <v>#REF!</v>
      </c>
      <c r="BN185" s="202"/>
      <c r="BO185" s="202"/>
      <c r="BP185" s="267" t="e">
        <f t="shared" si="20"/>
        <v>#REF!</v>
      </c>
      <c r="BQ185" s="267" t="e">
        <f t="shared" si="21"/>
        <v>#REF!</v>
      </c>
      <c r="BR185" s="136" t="e">
        <f t="shared" si="29"/>
        <v>#REF!</v>
      </c>
      <c r="BS185" s="202"/>
      <c r="BT185" s="202"/>
      <c r="BU185" s="136" t="e">
        <f t="shared" si="30"/>
        <v>#REF!</v>
      </c>
      <c r="BV185" s="202"/>
      <c r="BW185" s="202"/>
      <c r="BX185" s="267" t="e">
        <f t="shared" si="22"/>
        <v>#REF!</v>
      </c>
      <c r="BY185" s="267" t="e">
        <f t="shared" si="23"/>
        <v>#REF!</v>
      </c>
      <c r="BZ185" s="136" t="e">
        <f t="shared" si="31"/>
        <v>#REF!</v>
      </c>
      <c r="CA185" s="202"/>
      <c r="CB185" s="202"/>
      <c r="CC185" s="136" t="e">
        <f t="shared" si="32"/>
        <v>#REF!</v>
      </c>
      <c r="CD185" s="202"/>
      <c r="CE185" s="202"/>
      <c r="CF185" s="267" t="e">
        <f t="shared" si="24"/>
        <v>#REF!</v>
      </c>
      <c r="CG185" s="267" t="e">
        <f t="shared" si="25"/>
        <v>#REF!</v>
      </c>
      <c r="CH185" s="136" t="e">
        <f t="shared" si="33"/>
        <v>#REF!</v>
      </c>
      <c r="CI185" s="202"/>
      <c r="CJ185" s="202"/>
      <c r="CK185" s="136" t="e">
        <f t="shared" si="34"/>
        <v>#REF!</v>
      </c>
      <c r="CL185" s="202"/>
      <c r="CM185" s="202"/>
      <c r="CN185" s="267" t="e">
        <f t="shared" si="26"/>
        <v>#REF!</v>
      </c>
      <c r="CO185" s="267" t="e">
        <f t="shared" si="27"/>
        <v>#REF!</v>
      </c>
      <c r="CP185" s="92" t="s">
        <v>557</v>
      </c>
      <c r="CQ185" s="85"/>
      <c r="CR185" s="85"/>
      <c r="CS185" s="85"/>
      <c r="CT185" s="99" t="e">
        <f t="shared" si="19"/>
        <v>#REF!</v>
      </c>
      <c r="CU185" s="99" t="e">
        <f t="array" ref="CU185">BD185</f>
        <v>#REF!</v>
      </c>
      <c r="CV185" s="101"/>
      <c r="CW185" s="101"/>
      <c r="CX185" s="101"/>
      <c r="CY185" s="101"/>
      <c r="CZ185" s="101"/>
      <c r="DA185" s="101"/>
      <c r="DB185" s="101"/>
    </row>
    <row r="186" spans="1:107" ht="60" customHeight="1" outlineLevel="4" x14ac:dyDescent="0.25">
      <c r="C186" s="2" t="s">
        <v>84</v>
      </c>
      <c r="D186" s="2" t="s">
        <v>85</v>
      </c>
      <c r="E186" s="2" t="s">
        <v>74</v>
      </c>
      <c r="F186" s="2" t="s">
        <v>75</v>
      </c>
      <c r="G186" s="2" t="s">
        <v>244</v>
      </c>
      <c r="H186" s="2" t="s">
        <v>74</v>
      </c>
      <c r="I186" s="2" t="s">
        <v>74</v>
      </c>
      <c r="K186" s="5" t="s">
        <v>74</v>
      </c>
      <c r="L186" s="2" t="s">
        <v>196</v>
      </c>
      <c r="M186" s="8" t="str">
        <f t="array" ref="M186">Y107</f>
        <v>1ВО::1.1</v>
      </c>
      <c r="AA186" s="206" t="str">
        <f>AA181&amp;".5"</f>
        <v>3.1.1.1.6.5</v>
      </c>
      <c r="AB186" s="199" t="s">
        <v>245</v>
      </c>
      <c r="AC186" s="197" t="s">
        <v>114</v>
      </c>
      <c r="AD186" s="136">
        <v>1543.1229723805</v>
      </c>
      <c r="AE186" s="136">
        <v>1633.4543081976999</v>
      </c>
      <c r="AF186" s="195">
        <v>1884.2825245465999</v>
      </c>
      <c r="AG186" s="202"/>
      <c r="AH186" s="202"/>
      <c r="AI186" s="136">
        <v>1884.2825245465999</v>
      </c>
      <c r="AJ186" s="202"/>
      <c r="AK186" s="202"/>
      <c r="AL186" s="202"/>
      <c r="AM186" s="202"/>
      <c r="AN186" s="136" t="e">
        <f t="array" ref="AN186">IF('ВО-2021-2025'!$AN$81="Методика",IF('ВО-2021-2025'!AI$158=0,0,'ВО-2021-2025'!AI186/'ВО-2021-2025'!AI$158*'ВО-2021-2025'!AN$159),#REF!)</f>
        <v>#REF!</v>
      </c>
      <c r="AO186" s="195">
        <v>1485.9973952</v>
      </c>
      <c r="AP186" s="202"/>
      <c r="AQ186" s="202"/>
      <c r="AR186" s="136">
        <v>1485.9973952</v>
      </c>
      <c r="AS186" s="202"/>
      <c r="AT186" s="202"/>
      <c r="AU186" s="136" t="e">
        <f t="array" ref="AU186">#REF!</f>
        <v>#REF!</v>
      </c>
      <c r="AV186" s="195">
        <v>1532.9251929403999</v>
      </c>
      <c r="AW186" s="202"/>
      <c r="AX186" s="202"/>
      <c r="AY186" s="136">
        <v>1532.9251929403999</v>
      </c>
      <c r="AZ186" s="202"/>
      <c r="BA186" s="202"/>
      <c r="BB186" s="202"/>
      <c r="BC186" s="202"/>
      <c r="BD186" s="136" t="e">
        <f>'ВО-2021-2025'!$AR$186*'ВО-2021-2025'!$BD$112</f>
        <v>#REF!</v>
      </c>
      <c r="BE186" s="202"/>
      <c r="BF186" s="202"/>
      <c r="BG186" s="267" t="e">
        <f t="shared" si="9"/>
        <v>#REF!</v>
      </c>
      <c r="BH186" s="267" t="e">
        <f>BD186-#REF!</f>
        <v>#REF!</v>
      </c>
      <c r="BI186" s="267" t="e">
        <f t="shared" si="10"/>
        <v>#REF!</v>
      </c>
      <c r="BJ186" s="136" t="e">
        <f>#REF!*BJ$111</f>
        <v>#REF!</v>
      </c>
      <c r="BK186" s="202"/>
      <c r="BL186" s="202"/>
      <c r="BM186" s="136" t="e">
        <f t="shared" si="28"/>
        <v>#REF!</v>
      </c>
      <c r="BN186" s="202"/>
      <c r="BO186" s="202"/>
      <c r="BP186" s="267" t="e">
        <f t="shared" si="20"/>
        <v>#REF!</v>
      </c>
      <c r="BQ186" s="267" t="e">
        <f t="shared" si="21"/>
        <v>#REF!</v>
      </c>
      <c r="BR186" s="136" t="e">
        <f t="shared" si="29"/>
        <v>#REF!</v>
      </c>
      <c r="BS186" s="202"/>
      <c r="BT186" s="202"/>
      <c r="BU186" s="136" t="e">
        <f t="shared" si="30"/>
        <v>#REF!</v>
      </c>
      <c r="BV186" s="202"/>
      <c r="BW186" s="202"/>
      <c r="BX186" s="267" t="e">
        <f t="shared" si="22"/>
        <v>#REF!</v>
      </c>
      <c r="BY186" s="267" t="e">
        <f t="shared" si="23"/>
        <v>#REF!</v>
      </c>
      <c r="BZ186" s="136" t="e">
        <f t="shared" si="31"/>
        <v>#REF!</v>
      </c>
      <c r="CA186" s="202"/>
      <c r="CB186" s="202"/>
      <c r="CC186" s="136" t="e">
        <f t="shared" si="32"/>
        <v>#REF!</v>
      </c>
      <c r="CD186" s="202"/>
      <c r="CE186" s="202"/>
      <c r="CF186" s="267" t="e">
        <f t="shared" si="24"/>
        <v>#REF!</v>
      </c>
      <c r="CG186" s="267" t="e">
        <f t="shared" si="25"/>
        <v>#REF!</v>
      </c>
      <c r="CH186" s="136" t="e">
        <f t="shared" si="33"/>
        <v>#REF!</v>
      </c>
      <c r="CI186" s="202"/>
      <c r="CJ186" s="202"/>
      <c r="CK186" s="136" t="e">
        <f t="shared" si="34"/>
        <v>#REF!</v>
      </c>
      <c r="CL186" s="202"/>
      <c r="CM186" s="202"/>
      <c r="CN186" s="267" t="e">
        <f t="shared" si="26"/>
        <v>#REF!</v>
      </c>
      <c r="CO186" s="267" t="e">
        <f t="shared" si="27"/>
        <v>#REF!</v>
      </c>
      <c r="CP186" s="92" t="s">
        <v>558</v>
      </c>
      <c r="CQ186" s="85"/>
      <c r="CR186" s="85"/>
      <c r="CS186" s="85"/>
      <c r="CT186" s="99" t="e">
        <f t="shared" si="19"/>
        <v>#REF!</v>
      </c>
      <c r="CU186" s="99" t="e">
        <f t="array" ref="CU186">BD186</f>
        <v>#REF!</v>
      </c>
      <c r="CV186" s="101"/>
      <c r="CW186" s="101"/>
      <c r="CX186" s="101"/>
      <c r="CY186" s="101"/>
      <c r="CZ186" s="101"/>
      <c r="DA186" s="101"/>
      <c r="DB186" s="101"/>
    </row>
    <row r="187" spans="1:107" ht="14.25" customHeight="1" outlineLevel="4" x14ac:dyDescent="0.25">
      <c r="C187" s="2" t="s">
        <v>84</v>
      </c>
      <c r="D187" s="2" t="s">
        <v>85</v>
      </c>
      <c r="E187" s="2" t="s">
        <v>74</v>
      </c>
      <c r="F187" s="2" t="s">
        <v>75</v>
      </c>
      <c r="G187" s="2" t="s">
        <v>246</v>
      </c>
      <c r="H187" s="2" t="s">
        <v>74</v>
      </c>
      <c r="I187" s="2" t="s">
        <v>74</v>
      </c>
      <c r="K187" s="5" t="s">
        <v>74</v>
      </c>
      <c r="L187" s="2" t="s">
        <v>196</v>
      </c>
      <c r="M187" s="8" t="str">
        <f t="array" ref="M187">Y107</f>
        <v>1ВО::1.1</v>
      </c>
      <c r="AA187" s="206" t="str">
        <f>AA181&amp;".6"</f>
        <v>3.1.1.1.6.6</v>
      </c>
      <c r="AB187" s="199" t="s">
        <v>247</v>
      </c>
      <c r="AC187" s="197" t="s">
        <v>114</v>
      </c>
      <c r="AD187" s="136"/>
      <c r="AE187" s="136"/>
      <c r="AF187" s="195"/>
      <c r="AG187" s="202"/>
      <c r="AH187" s="202"/>
      <c r="AI187" s="136">
        <f t="array" ref="AI187">'ВО-2021-2025'!$AF$187</f>
        <v>0</v>
      </c>
      <c r="AJ187" s="202"/>
      <c r="AK187" s="202"/>
      <c r="AL187" s="202"/>
      <c r="AM187" s="202"/>
      <c r="AN187" s="136" t="e">
        <f t="array" ref="AN187">IF('ВО-2021-2025'!$AN$81="Методика",IF('ВО-2021-2025'!AI$158=0,0,'ВО-2021-2025'!AI187/'ВО-2021-2025'!AI$158*'ВО-2021-2025'!AN$159),#REF!)</f>
        <v>#REF!</v>
      </c>
      <c r="AO187" s="195"/>
      <c r="AP187" s="202"/>
      <c r="AQ187" s="202"/>
      <c r="AR187" s="136">
        <f t="array" ref="AR187">'ВО-2021-2025'!$AO$187</f>
        <v>0</v>
      </c>
      <c r="AS187" s="202"/>
      <c r="AT187" s="202"/>
      <c r="AU187" s="136" t="e">
        <f t="array" ref="AU187">#REF!</f>
        <v>#REF!</v>
      </c>
      <c r="AV187" s="195">
        <v>0</v>
      </c>
      <c r="AW187" s="202"/>
      <c r="AX187" s="202"/>
      <c r="AY187" s="136">
        <f>IF(AY$88,AR187*AY$112,AV187*1)</f>
        <v>0</v>
      </c>
      <c r="AZ187" s="202"/>
      <c r="BA187" s="202"/>
      <c r="BB187" s="202"/>
      <c r="BC187" s="202"/>
      <c r="BD187" s="136" t="e">
        <f>'ВО-2021-2025'!$AR$187*'ВО-2021-2025'!$BD$112</f>
        <v>#REF!</v>
      </c>
      <c r="BE187" s="202"/>
      <c r="BF187" s="202"/>
      <c r="BG187" s="267">
        <f t="shared" si="9"/>
        <v>0</v>
      </c>
      <c r="BH187" s="267" t="e">
        <f>BD187-#REF!</f>
        <v>#REF!</v>
      </c>
      <c r="BI187" s="267" t="e">
        <f t="shared" si="10"/>
        <v>#REF!</v>
      </c>
      <c r="BJ187" s="136" t="e">
        <f>#REF!*BJ$111</f>
        <v>#REF!</v>
      </c>
      <c r="BK187" s="202"/>
      <c r="BL187" s="202"/>
      <c r="BM187" s="136" t="e">
        <f t="shared" si="28"/>
        <v>#REF!</v>
      </c>
      <c r="BN187" s="202"/>
      <c r="BO187" s="202"/>
      <c r="BP187" s="267" t="e">
        <f t="shared" si="20"/>
        <v>#REF!</v>
      </c>
      <c r="BQ187" s="267" t="e">
        <f t="shared" si="21"/>
        <v>#REF!</v>
      </c>
      <c r="BR187" s="136" t="e">
        <f t="shared" si="29"/>
        <v>#REF!</v>
      </c>
      <c r="BS187" s="202"/>
      <c r="BT187" s="202"/>
      <c r="BU187" s="136" t="e">
        <f t="shared" si="30"/>
        <v>#REF!</v>
      </c>
      <c r="BV187" s="202"/>
      <c r="BW187" s="202"/>
      <c r="BX187" s="267" t="e">
        <f t="shared" si="22"/>
        <v>#REF!</v>
      </c>
      <c r="BY187" s="267" t="e">
        <f t="shared" si="23"/>
        <v>#REF!</v>
      </c>
      <c r="BZ187" s="136" t="e">
        <f t="shared" si="31"/>
        <v>#REF!</v>
      </c>
      <c r="CA187" s="202"/>
      <c r="CB187" s="202"/>
      <c r="CC187" s="136" t="e">
        <f t="shared" si="32"/>
        <v>#REF!</v>
      </c>
      <c r="CD187" s="202"/>
      <c r="CE187" s="202"/>
      <c r="CF187" s="267" t="e">
        <f t="shared" si="24"/>
        <v>#REF!</v>
      </c>
      <c r="CG187" s="267" t="e">
        <f t="shared" si="25"/>
        <v>#REF!</v>
      </c>
      <c r="CH187" s="136" t="e">
        <f t="shared" si="33"/>
        <v>#REF!</v>
      </c>
      <c r="CI187" s="202"/>
      <c r="CJ187" s="202"/>
      <c r="CK187" s="136" t="e">
        <f t="shared" si="34"/>
        <v>#REF!</v>
      </c>
      <c r="CL187" s="202"/>
      <c r="CM187" s="202"/>
      <c r="CN187" s="267" t="e">
        <f t="shared" si="26"/>
        <v>#REF!</v>
      </c>
      <c r="CO187" s="267" t="e">
        <f t="shared" si="27"/>
        <v>#REF!</v>
      </c>
      <c r="CP187" s="92"/>
      <c r="CQ187" s="85"/>
      <c r="CR187" s="85"/>
      <c r="CS187" s="85"/>
      <c r="CT187" s="99" t="e">
        <f t="shared" si="19"/>
        <v>#REF!</v>
      </c>
      <c r="CU187" s="99" t="e">
        <f t="array" ref="CU187">BD187</f>
        <v>#REF!</v>
      </c>
      <c r="CV187" s="101"/>
      <c r="CW187" s="101"/>
      <c r="CX187" s="101"/>
      <c r="CY187" s="101"/>
      <c r="CZ187" s="101"/>
      <c r="DA187" s="101"/>
      <c r="DB187" s="101"/>
    </row>
    <row r="188" spans="1:107" ht="14.25" customHeight="1" outlineLevel="4" x14ac:dyDescent="0.25">
      <c r="C188" s="2" t="s">
        <v>84</v>
      </c>
      <c r="D188" s="2" t="s">
        <v>85</v>
      </c>
      <c r="E188" s="2" t="s">
        <v>74</v>
      </c>
      <c r="F188" s="2" t="s">
        <v>75</v>
      </c>
      <c r="G188" s="2" t="s">
        <v>248</v>
      </c>
      <c r="H188" s="2" t="s">
        <v>74</v>
      </c>
      <c r="I188" s="2" t="s">
        <v>74</v>
      </c>
      <c r="K188" s="5" t="s">
        <v>74</v>
      </c>
      <c r="L188" s="2" t="s">
        <v>196</v>
      </c>
      <c r="M188" s="8" t="str">
        <f t="array" ref="M188">Y107</f>
        <v>1ВО::1.1</v>
      </c>
      <c r="AA188" s="206" t="str">
        <f>AA181&amp;".7"</f>
        <v>3.1.1.1.6.7</v>
      </c>
      <c r="AB188" s="199" t="s">
        <v>249</v>
      </c>
      <c r="AC188" s="197" t="s">
        <v>114</v>
      </c>
      <c r="AD188" s="136">
        <v>12174.4838952751</v>
      </c>
      <c r="AE188" s="136">
        <v>12887.153859256499</v>
      </c>
      <c r="AF188" s="195">
        <v>14534.385543598301</v>
      </c>
      <c r="AG188" s="202"/>
      <c r="AH188" s="202"/>
      <c r="AI188" s="136">
        <v>14866.065543598301</v>
      </c>
      <c r="AJ188" s="202"/>
      <c r="AK188" s="202"/>
      <c r="AL188" s="202"/>
      <c r="AM188" s="202"/>
      <c r="AN188" s="203">
        <f t="array" ref="AN188">IF('ВО-2021-2025'!$AN$81="Методика",IF('ВО-2021-2025'!AI$158=0,0,'ВО-2021-2025'!AI188/'ВО-2021-2025'!AI$158*'ВО-2021-2025'!AN$159),'[1]Счет 23'!BT246)</f>
        <v>15607.946000000004</v>
      </c>
      <c r="AO188" s="195">
        <v>16182.981207253801</v>
      </c>
      <c r="AP188" s="202"/>
      <c r="AQ188" s="202"/>
      <c r="AR188" s="136">
        <v>16182.981207253801</v>
      </c>
      <c r="AS188" s="202"/>
      <c r="AT188" s="202"/>
      <c r="AU188" s="203">
        <f t="array" ref="AU188">'[1]Счет 23'!BY246</f>
        <v>0</v>
      </c>
      <c r="AV188" s="195">
        <v>16694.039753778899</v>
      </c>
      <c r="AW188" s="202"/>
      <c r="AX188" s="202"/>
      <c r="AY188" s="136">
        <v>16694.039753778899</v>
      </c>
      <c r="AZ188" s="202"/>
      <c r="BA188" s="202"/>
      <c r="BB188" s="202"/>
      <c r="BC188" s="202"/>
      <c r="BD188" s="204" t="e">
        <f>'ВО-2021-2025'!$AR$188*'ВО-2021-2025'!$BD$112</f>
        <v>#REF!</v>
      </c>
      <c r="BE188" s="202"/>
      <c r="BF188" s="202"/>
      <c r="BG188" s="267" t="e">
        <f t="shared" si="9"/>
        <v>#REF!</v>
      </c>
      <c r="BH188" s="267" t="e">
        <f>BD188-#REF!</f>
        <v>#REF!</v>
      </c>
      <c r="BI188" s="267" t="e">
        <f t="shared" si="10"/>
        <v>#REF!</v>
      </c>
      <c r="BJ188" s="136" t="e">
        <f>#REF!*BJ$111</f>
        <v>#REF!</v>
      </c>
      <c r="BK188" s="202"/>
      <c r="BL188" s="202"/>
      <c r="BM188" s="136" t="e">
        <f t="shared" si="28"/>
        <v>#REF!</v>
      </c>
      <c r="BN188" s="202"/>
      <c r="BO188" s="202"/>
      <c r="BP188" s="267" t="e">
        <f t="shared" si="20"/>
        <v>#REF!</v>
      </c>
      <c r="BQ188" s="267" t="e">
        <f t="shared" si="21"/>
        <v>#REF!</v>
      </c>
      <c r="BR188" s="136" t="e">
        <f t="shared" si="29"/>
        <v>#REF!</v>
      </c>
      <c r="BS188" s="202"/>
      <c r="BT188" s="202"/>
      <c r="BU188" s="136" t="e">
        <f t="shared" si="30"/>
        <v>#REF!</v>
      </c>
      <c r="BV188" s="202"/>
      <c r="BW188" s="202"/>
      <c r="BX188" s="267" t="e">
        <f t="shared" si="22"/>
        <v>#REF!</v>
      </c>
      <c r="BY188" s="267" t="e">
        <f t="shared" si="23"/>
        <v>#REF!</v>
      </c>
      <c r="BZ188" s="136" t="e">
        <f t="shared" si="31"/>
        <v>#REF!</v>
      </c>
      <c r="CA188" s="202"/>
      <c r="CB188" s="202"/>
      <c r="CC188" s="136" t="e">
        <f t="shared" si="32"/>
        <v>#REF!</v>
      </c>
      <c r="CD188" s="202"/>
      <c r="CE188" s="202"/>
      <c r="CF188" s="267" t="e">
        <f t="shared" si="24"/>
        <v>#REF!</v>
      </c>
      <c r="CG188" s="267" t="e">
        <f t="shared" si="25"/>
        <v>#REF!</v>
      </c>
      <c r="CH188" s="136" t="e">
        <f t="shared" si="33"/>
        <v>#REF!</v>
      </c>
      <c r="CI188" s="202"/>
      <c r="CJ188" s="202"/>
      <c r="CK188" s="136" t="e">
        <f t="shared" si="34"/>
        <v>#REF!</v>
      </c>
      <c r="CL188" s="202"/>
      <c r="CM188" s="202"/>
      <c r="CN188" s="267" t="e">
        <f t="shared" si="26"/>
        <v>#REF!</v>
      </c>
      <c r="CO188" s="267" t="e">
        <f t="shared" si="27"/>
        <v>#REF!</v>
      </c>
      <c r="CP188" s="92" t="s">
        <v>559</v>
      </c>
      <c r="CQ188" s="85"/>
      <c r="CR188" s="85"/>
      <c r="CS188" s="85"/>
      <c r="CT188" s="99" t="e">
        <f t="shared" si="19"/>
        <v>#REF!</v>
      </c>
      <c r="CU188" s="99" t="e">
        <f t="array" ref="CU188">BD188</f>
        <v>#REF!</v>
      </c>
      <c r="CV188" s="101"/>
      <c r="CW188" s="101"/>
      <c r="CX188" s="101"/>
      <c r="CY188" s="101"/>
      <c r="CZ188" s="101"/>
      <c r="DA188" s="101"/>
      <c r="DB188" s="101"/>
    </row>
    <row r="189" spans="1:107" ht="14.25" hidden="1" customHeight="1" outlineLevel="4" x14ac:dyDescent="0.25">
      <c r="A189" s="2" t="b">
        <f>'[1]Общие настройки'!$G$130="да"</f>
        <v>0</v>
      </c>
      <c r="B189" s="12"/>
      <c r="C189" s="2" t="s">
        <v>84</v>
      </c>
      <c r="D189" s="2" t="s">
        <v>85</v>
      </c>
      <c r="E189" s="2" t="s">
        <v>74</v>
      </c>
      <c r="F189" s="2" t="s">
        <v>75</v>
      </c>
      <c r="G189" s="2" t="s">
        <v>250</v>
      </c>
      <c r="H189" s="2" t="s">
        <v>74</v>
      </c>
      <c r="I189" s="2" t="s">
        <v>74</v>
      </c>
      <c r="J189" s="12"/>
      <c r="K189" s="5" t="s">
        <v>74</v>
      </c>
      <c r="L189" s="2" t="s">
        <v>196</v>
      </c>
      <c r="M189" s="8" t="str">
        <f t="array" ref="M189">Y107</f>
        <v>1ВО::1.1</v>
      </c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5"/>
      <c r="AA189" s="209"/>
      <c r="AB189" s="210"/>
      <c r="AC189" s="211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1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12"/>
      <c r="BE189" s="202"/>
      <c r="BF189" s="202"/>
      <c r="BG189" s="275"/>
      <c r="BH189" s="275"/>
      <c r="BI189" s="275"/>
      <c r="BJ189" s="202"/>
      <c r="BK189" s="202"/>
      <c r="BL189" s="202"/>
      <c r="BM189" s="202"/>
      <c r="BN189" s="202"/>
      <c r="BO189" s="202"/>
      <c r="BP189" s="275"/>
      <c r="BQ189" s="275"/>
      <c r="BR189" s="202"/>
      <c r="BS189" s="202"/>
      <c r="BT189" s="202"/>
      <c r="BU189" s="202"/>
      <c r="BV189" s="202"/>
      <c r="BW189" s="202"/>
      <c r="BX189" s="275"/>
      <c r="BY189" s="275"/>
      <c r="BZ189" s="202"/>
      <c r="CA189" s="202"/>
      <c r="CB189" s="202"/>
      <c r="CC189" s="202"/>
      <c r="CD189" s="202"/>
      <c r="CE189" s="202"/>
      <c r="CF189" s="275"/>
      <c r="CG189" s="275"/>
      <c r="CH189" s="202"/>
      <c r="CI189" s="202"/>
      <c r="CJ189" s="202"/>
      <c r="CK189" s="202"/>
      <c r="CL189" s="202"/>
      <c r="CM189" s="202"/>
      <c r="CN189" s="275"/>
      <c r="CO189" s="275"/>
      <c r="CP189" s="68"/>
      <c r="CQ189" s="62"/>
      <c r="CR189" s="62"/>
      <c r="CS189" s="62"/>
      <c r="CT189" s="170"/>
      <c r="CU189" s="170"/>
      <c r="CV189" s="68"/>
      <c r="CW189" s="68"/>
      <c r="CX189" s="68"/>
      <c r="CY189" s="68"/>
      <c r="CZ189" s="68"/>
      <c r="DA189" s="68"/>
      <c r="DB189" s="68"/>
      <c r="DC189" s="15"/>
    </row>
    <row r="190" spans="1:107" ht="14.25" customHeight="1" outlineLevel="4" x14ac:dyDescent="0.25">
      <c r="A190" s="2" t="b">
        <f>SETTING_OTHER_STRAIGHT="да"</f>
        <v>1</v>
      </c>
      <c r="C190" s="2" t="s">
        <v>84</v>
      </c>
      <c r="D190" s="2" t="s">
        <v>85</v>
      </c>
      <c r="E190" s="2" t="s">
        <v>74</v>
      </c>
      <c r="F190" s="2" t="s">
        <v>75</v>
      </c>
      <c r="G190" s="2" t="str">
        <f>IF('[1]Общие настройки'!$M$13="Oracle","Прочие прямые расходы","Другие производственные расходы")</f>
        <v>Другие производственные расходы</v>
      </c>
      <c r="H190" s="2" t="s">
        <v>74</v>
      </c>
      <c r="I190" s="2" t="s">
        <v>74</v>
      </c>
      <c r="K190" s="5" t="s">
        <v>74</v>
      </c>
      <c r="L190" s="2" t="s">
        <v>196</v>
      </c>
      <c r="M190" s="8" t="str">
        <f t="array" ref="M190">Y107</f>
        <v>1ВО::1.1</v>
      </c>
      <c r="AA190" s="206" t="str">
        <f>AA181&amp;".8"</f>
        <v>3.1.1.1.6.8</v>
      </c>
      <c r="AB190" s="213" t="s">
        <v>251</v>
      </c>
      <c r="AC190" s="197" t="s">
        <v>114</v>
      </c>
      <c r="AD190" s="136"/>
      <c r="AE190" s="136"/>
      <c r="AF190" s="195"/>
      <c r="AG190" s="202"/>
      <c r="AH190" s="202"/>
      <c r="AI190" s="136">
        <f t="array" ref="AI190">'ВО-2021-2025'!$AF$190</f>
        <v>0</v>
      </c>
      <c r="AJ190" s="202"/>
      <c r="AK190" s="202"/>
      <c r="AL190" s="202"/>
      <c r="AM190" s="202"/>
      <c r="AN190" s="203">
        <f t="array" ref="AN190">IF('ВО-2021-2025'!$AN$81="Методика",IF('ВО-2021-2025'!AI$158=0,0,'ВО-2021-2025'!AI190/'ВО-2021-2025'!AI$158*'ВО-2021-2025'!AN$159),'[1]Прочие прямые'!AH91)</f>
        <v>15753.631000000001</v>
      </c>
      <c r="AO190" s="195">
        <v>17408.037436800001</v>
      </c>
      <c r="AP190" s="202"/>
      <c r="AQ190" s="202"/>
      <c r="AR190" s="136">
        <v>17408.037436800001</v>
      </c>
      <c r="AS190" s="202"/>
      <c r="AT190" s="202"/>
      <c r="AU190" s="203">
        <f t="array" ref="AU190">'[1]Прочие прямые'!AM91</f>
        <v>29652.971134271997</v>
      </c>
      <c r="AV190" s="195">
        <v>17957.7832590541</v>
      </c>
      <c r="AW190" s="202"/>
      <c r="AX190" s="202"/>
      <c r="AY190" s="136">
        <v>17957.7832590541</v>
      </c>
      <c r="AZ190" s="202"/>
      <c r="BA190" s="202"/>
      <c r="BB190" s="202"/>
      <c r="BC190" s="202"/>
      <c r="BD190" s="204" t="e">
        <f>'ВО-2021-2025'!$AR$190*'ВО-2021-2025'!$BD$112</f>
        <v>#REF!</v>
      </c>
      <c r="BE190" s="202"/>
      <c r="BF190" s="202"/>
      <c r="BG190" s="267" t="e">
        <f t="shared" ref="BG190:BG221" si="35">IF(AR190=0,0,BD190/AR190)*100</f>
        <v>#REF!</v>
      </c>
      <c r="BH190" s="267" t="e">
        <f>BD190-#REF!</f>
        <v>#REF!</v>
      </c>
      <c r="BI190" s="267" t="e">
        <f t="shared" ref="BI190:BI221" si="36">BD190-AY190</f>
        <v>#REF!</v>
      </c>
      <c r="BJ190" s="136" t="e">
        <f>#REF!*BJ$111</f>
        <v>#REF!</v>
      </c>
      <c r="BK190" s="202"/>
      <c r="BL190" s="202"/>
      <c r="BM190" s="136" t="e">
        <f>BD190*BM$111</f>
        <v>#REF!</v>
      </c>
      <c r="BN190" s="202"/>
      <c r="BO190" s="202"/>
      <c r="BP190" s="267" t="e">
        <f t="shared" ref="BP190:BP253" si="37">IF(BD190=0,0,BM190/BD190)*100</f>
        <v>#REF!</v>
      </c>
      <c r="BQ190" s="267" t="e">
        <f t="shared" ref="BQ190:BQ253" si="38">BM190-BJ190</f>
        <v>#REF!</v>
      </c>
      <c r="BR190" s="136" t="e">
        <f>BJ190*BR$111</f>
        <v>#REF!</v>
      </c>
      <c r="BS190" s="202"/>
      <c r="BT190" s="202"/>
      <c r="BU190" s="136" t="e">
        <f>BM190*BU$111</f>
        <v>#REF!</v>
      </c>
      <c r="BV190" s="202"/>
      <c r="BW190" s="202"/>
      <c r="BX190" s="267" t="e">
        <f t="shared" ref="BX190:BX253" si="39">IF(BM190=0,0,BU190/BM190)*100</f>
        <v>#REF!</v>
      </c>
      <c r="BY190" s="267" t="e">
        <f t="shared" ref="BY190:BY253" si="40">BU190-BR190</f>
        <v>#REF!</v>
      </c>
      <c r="BZ190" s="136" t="e">
        <f>BR190*BZ$111</f>
        <v>#REF!</v>
      </c>
      <c r="CA190" s="202"/>
      <c r="CB190" s="202"/>
      <c r="CC190" s="136" t="e">
        <f>BU190*CC$111</f>
        <v>#REF!</v>
      </c>
      <c r="CD190" s="202"/>
      <c r="CE190" s="202"/>
      <c r="CF190" s="267" t="e">
        <f t="shared" ref="CF190:CF253" si="41">IF(BU190=0,0,CC190/BU190)*100</f>
        <v>#REF!</v>
      </c>
      <c r="CG190" s="267" t="e">
        <f t="shared" ref="CG190:CG253" si="42">CC190-BZ190</f>
        <v>#REF!</v>
      </c>
      <c r="CH190" s="136" t="e">
        <f>BZ190*CH$111</f>
        <v>#REF!</v>
      </c>
      <c r="CI190" s="202"/>
      <c r="CJ190" s="202"/>
      <c r="CK190" s="136" t="e">
        <f>CC190*CK$111</f>
        <v>#REF!</v>
      </c>
      <c r="CL190" s="202"/>
      <c r="CM190" s="202"/>
      <c r="CN190" s="267" t="e">
        <f t="shared" ref="CN190:CN253" si="43">IF(CC190=0,0,CK190/CC190)*100</f>
        <v>#REF!</v>
      </c>
      <c r="CO190" s="267" t="e">
        <f t="shared" ref="CO190:CO253" si="44">CK190-CH190</f>
        <v>#REF!</v>
      </c>
      <c r="CP190" s="92"/>
      <c r="CQ190" s="85"/>
      <c r="CR190" s="85"/>
      <c r="CS190" s="85"/>
      <c r="CT190" s="99" t="e">
        <f t="shared" ref="CT190:CT221" si="45">SUM(AD190:CO190)</f>
        <v>#REF!</v>
      </c>
      <c r="CU190" s="99" t="e">
        <f t="array" ref="CU190">BD190</f>
        <v>#REF!</v>
      </c>
      <c r="CV190" s="101"/>
      <c r="CW190" s="101"/>
      <c r="CX190" s="101"/>
      <c r="CY190" s="101"/>
      <c r="CZ190" s="101"/>
      <c r="DA190" s="101"/>
      <c r="DB190" s="101"/>
    </row>
    <row r="191" spans="1:107" ht="14.25" customHeight="1" outlineLevel="3" x14ac:dyDescent="0.25">
      <c r="C191" s="2" t="s">
        <v>84</v>
      </c>
      <c r="D191" s="2" t="s">
        <v>85</v>
      </c>
      <c r="E191" s="2" t="s">
        <v>74</v>
      </c>
      <c r="F191" s="2" t="s">
        <v>75</v>
      </c>
      <c r="G191" s="2" t="s">
        <v>252</v>
      </c>
      <c r="H191" s="2" t="s">
        <v>74</v>
      </c>
      <c r="I191" s="2" t="s">
        <v>74</v>
      </c>
      <c r="K191" s="5" t="s">
        <v>74</v>
      </c>
      <c r="L191" s="2" t="s">
        <v>196</v>
      </c>
      <c r="M191" s="8" t="str">
        <f t="array" ref="M191">Y107</f>
        <v>1ВО::1.1</v>
      </c>
      <c r="AA191" s="107" t="str">
        <f>AA158&amp;".2"</f>
        <v>3.1.1.2</v>
      </c>
      <c r="AB191" s="214" t="s">
        <v>253</v>
      </c>
      <c r="AC191" s="197" t="s">
        <v>114</v>
      </c>
      <c r="AD191" s="173">
        <v>15300.4967295269</v>
      </c>
      <c r="AE191" s="173">
        <v>16196.157239403799</v>
      </c>
      <c r="AF191" s="173">
        <v>18683.1892988117</v>
      </c>
      <c r="AG191" s="174"/>
      <c r="AH191" s="174"/>
      <c r="AI191" s="173">
        <f>AI192+AI193+AI194</f>
        <v>18683.1892988117</v>
      </c>
      <c r="AJ191" s="174"/>
      <c r="AK191" s="174"/>
      <c r="AL191" s="174"/>
      <c r="AM191" s="174"/>
      <c r="AN191" s="173" t="e">
        <f>AN192+AN193+AN194</f>
        <v>#REF!</v>
      </c>
      <c r="AO191" s="173">
        <v>137449.96135128298</v>
      </c>
      <c r="AP191" s="174"/>
      <c r="AQ191" s="174"/>
      <c r="AR191" s="173">
        <f>AR192+AR193+AR194</f>
        <v>137449.96135128298</v>
      </c>
      <c r="AS191" s="174"/>
      <c r="AT191" s="174"/>
      <c r="AU191" s="173" t="e">
        <f>AU192+AU193+AU194</f>
        <v>#REF!</v>
      </c>
      <c r="AV191" s="173">
        <v>141790.63113075652</v>
      </c>
      <c r="AW191" s="174"/>
      <c r="AX191" s="174"/>
      <c r="AY191" s="173">
        <f>AY192+AY193+AY194</f>
        <v>141790.63113075652</v>
      </c>
      <c r="AZ191" s="174"/>
      <c r="BA191" s="174"/>
      <c r="BB191" s="174"/>
      <c r="BC191" s="174"/>
      <c r="BD191" s="173" t="e">
        <f>BD192+BD193+BD194</f>
        <v>#REF!</v>
      </c>
      <c r="BE191" s="174"/>
      <c r="BF191" s="174"/>
      <c r="BG191" s="267" t="e">
        <f t="shared" si="35"/>
        <v>#REF!</v>
      </c>
      <c r="BH191" s="267" t="e">
        <f>BD191-#REF!</f>
        <v>#REF!</v>
      </c>
      <c r="BI191" s="267" t="e">
        <f t="shared" si="36"/>
        <v>#REF!</v>
      </c>
      <c r="BJ191" s="173" t="e">
        <f>BJ192+BJ193+BJ194</f>
        <v>#REF!</v>
      </c>
      <c r="BK191" s="174"/>
      <c r="BL191" s="174"/>
      <c r="BM191" s="173" t="e">
        <f>BM192+BM193+BM194</f>
        <v>#REF!</v>
      </c>
      <c r="BN191" s="174"/>
      <c r="BO191" s="174"/>
      <c r="BP191" s="267" t="e">
        <f t="shared" si="37"/>
        <v>#REF!</v>
      </c>
      <c r="BQ191" s="267" t="e">
        <f t="shared" si="38"/>
        <v>#REF!</v>
      </c>
      <c r="BR191" s="173" t="e">
        <f>BR192+BR193+BR194</f>
        <v>#REF!</v>
      </c>
      <c r="BS191" s="174"/>
      <c r="BT191" s="174"/>
      <c r="BU191" s="173" t="e">
        <f>BU192+BU193+BU194</f>
        <v>#REF!</v>
      </c>
      <c r="BV191" s="174"/>
      <c r="BW191" s="174"/>
      <c r="BX191" s="267" t="e">
        <f t="shared" si="39"/>
        <v>#REF!</v>
      </c>
      <c r="BY191" s="267" t="e">
        <f t="shared" si="40"/>
        <v>#REF!</v>
      </c>
      <c r="BZ191" s="173" t="e">
        <f>BZ192+BZ193+BZ194</f>
        <v>#REF!</v>
      </c>
      <c r="CA191" s="174"/>
      <c r="CB191" s="174"/>
      <c r="CC191" s="173" t="e">
        <f>CC192+CC193+CC194</f>
        <v>#REF!</v>
      </c>
      <c r="CD191" s="174"/>
      <c r="CE191" s="174"/>
      <c r="CF191" s="267" t="e">
        <f t="shared" si="41"/>
        <v>#REF!</v>
      </c>
      <c r="CG191" s="267" t="e">
        <f t="shared" si="42"/>
        <v>#REF!</v>
      </c>
      <c r="CH191" s="173" t="e">
        <f>CH192+CH193+CH194</f>
        <v>#REF!</v>
      </c>
      <c r="CI191" s="174"/>
      <c r="CJ191" s="174"/>
      <c r="CK191" s="173" t="e">
        <f>CK192+CK193+CK194</f>
        <v>#REF!</v>
      </c>
      <c r="CL191" s="174"/>
      <c r="CM191" s="174"/>
      <c r="CN191" s="267" t="e">
        <f t="shared" si="43"/>
        <v>#REF!</v>
      </c>
      <c r="CO191" s="267" t="e">
        <f t="shared" si="44"/>
        <v>#REF!</v>
      </c>
      <c r="CP191" s="92"/>
      <c r="CQ191" s="85"/>
      <c r="CR191" s="85"/>
      <c r="CS191" s="85"/>
      <c r="CT191" s="99" t="e">
        <f t="shared" si="45"/>
        <v>#REF!</v>
      </c>
      <c r="CU191" s="100" t="e">
        <f>CU192+CU193+CU194</f>
        <v>#REF!</v>
      </c>
      <c r="CV191" s="101"/>
      <c r="CW191" s="101"/>
      <c r="CX191" s="101"/>
      <c r="CY191" s="101"/>
      <c r="CZ191" s="101"/>
      <c r="DA191" s="101"/>
      <c r="DB191" s="101"/>
    </row>
    <row r="192" spans="1:107" ht="14.25" customHeight="1" outlineLevel="4" x14ac:dyDescent="0.25">
      <c r="C192" s="2" t="s">
        <v>84</v>
      </c>
      <c r="D192" s="2" t="s">
        <v>85</v>
      </c>
      <c r="E192" s="2" t="s">
        <v>74</v>
      </c>
      <c r="F192" s="2" t="s">
        <v>75</v>
      </c>
      <c r="G192" s="2" t="s">
        <v>254</v>
      </c>
      <c r="H192" s="2" t="s">
        <v>74</v>
      </c>
      <c r="I192" s="2" t="s">
        <v>74</v>
      </c>
      <c r="K192" s="5" t="s">
        <v>74</v>
      </c>
      <c r="L192" s="2" t="s">
        <v>196</v>
      </c>
      <c r="M192" s="8" t="str">
        <f t="array" ref="M192">Y107</f>
        <v>1ВО::1.1</v>
      </c>
      <c r="AA192" s="107" t="str">
        <f>AA191&amp;".1"</f>
        <v>3.1.1.2.1</v>
      </c>
      <c r="AB192" s="198" t="s">
        <v>255</v>
      </c>
      <c r="AC192" s="197" t="s">
        <v>114</v>
      </c>
      <c r="AD192" s="136">
        <v>8672.6608568874999</v>
      </c>
      <c r="AE192" s="136">
        <v>9180.3410964497998</v>
      </c>
      <c r="AF192" s="195">
        <v>10590.046021246601</v>
      </c>
      <c r="AG192" s="202"/>
      <c r="AH192" s="202"/>
      <c r="AI192" s="136">
        <v>10590.046021246601</v>
      </c>
      <c r="AJ192" s="202"/>
      <c r="AK192" s="202"/>
      <c r="AL192" s="202"/>
      <c r="AM192" s="202"/>
      <c r="AN192" s="203">
        <f t="array" ref="AN192">IF('ВО-2021-2025'!$AN$81="Методика",IF('ВО-2021-2025'!AI$158=0,0,'ВО-2021-2025'!AI192/'ВО-2021-2025'!AI$158*'ВО-2021-2025'!AN$159),[1]Текремонт!BP127)</f>
        <v>10162.550999999999</v>
      </c>
      <c r="AO192" s="195">
        <v>19005.650000000001</v>
      </c>
      <c r="AP192" s="202"/>
      <c r="AQ192" s="202"/>
      <c r="AR192" s="136">
        <v>19005.650000000001</v>
      </c>
      <c r="AS192" s="202"/>
      <c r="AT192" s="202"/>
      <c r="AU192" s="203">
        <f>[1]Текремонт!BP170*1</f>
        <v>0</v>
      </c>
      <c r="AV192" s="195">
        <v>19605.848427000001</v>
      </c>
      <c r="AW192" s="202"/>
      <c r="AX192" s="202"/>
      <c r="AY192" s="136">
        <v>19605.848427000001</v>
      </c>
      <c r="AZ192" s="202"/>
      <c r="BA192" s="202"/>
      <c r="BB192" s="202"/>
      <c r="BC192" s="202"/>
      <c r="BD192" s="204" t="e">
        <f>'ВО-2021-2025'!$AR$192*'ВО-2021-2025'!$BD$112</f>
        <v>#REF!</v>
      </c>
      <c r="BE192" s="202"/>
      <c r="BF192" s="202"/>
      <c r="BG192" s="267" t="e">
        <f t="shared" si="35"/>
        <v>#REF!</v>
      </c>
      <c r="BH192" s="267" t="e">
        <f>BD192-#REF!</f>
        <v>#REF!</v>
      </c>
      <c r="BI192" s="267" t="e">
        <f t="shared" si="36"/>
        <v>#REF!</v>
      </c>
      <c r="BJ192" s="136" t="e">
        <f>#REF!*BJ$111</f>
        <v>#REF!</v>
      </c>
      <c r="BK192" s="202"/>
      <c r="BL192" s="202"/>
      <c r="BM192" s="136" t="e">
        <f>BD192*BM$111</f>
        <v>#REF!</v>
      </c>
      <c r="BN192" s="202"/>
      <c r="BO192" s="202"/>
      <c r="BP192" s="267" t="e">
        <f t="shared" si="37"/>
        <v>#REF!</v>
      </c>
      <c r="BQ192" s="267" t="e">
        <f t="shared" si="38"/>
        <v>#REF!</v>
      </c>
      <c r="BR192" s="136" t="e">
        <f>BJ192*BR$111</f>
        <v>#REF!</v>
      </c>
      <c r="BS192" s="202"/>
      <c r="BT192" s="202"/>
      <c r="BU192" s="136" t="e">
        <f>BM192*BU$111</f>
        <v>#REF!</v>
      </c>
      <c r="BV192" s="202"/>
      <c r="BW192" s="202"/>
      <c r="BX192" s="267" t="e">
        <f t="shared" si="39"/>
        <v>#REF!</v>
      </c>
      <c r="BY192" s="267" t="e">
        <f t="shared" si="40"/>
        <v>#REF!</v>
      </c>
      <c r="BZ192" s="136" t="e">
        <f>BR192*BZ$111</f>
        <v>#REF!</v>
      </c>
      <c r="CA192" s="202"/>
      <c r="CB192" s="202"/>
      <c r="CC192" s="136" t="e">
        <f>BU192*CC$111</f>
        <v>#REF!</v>
      </c>
      <c r="CD192" s="202"/>
      <c r="CE192" s="202"/>
      <c r="CF192" s="267" t="e">
        <f t="shared" si="41"/>
        <v>#REF!</v>
      </c>
      <c r="CG192" s="267" t="e">
        <f t="shared" si="42"/>
        <v>#REF!</v>
      </c>
      <c r="CH192" s="136" t="e">
        <f>BZ192*CH$111</f>
        <v>#REF!</v>
      </c>
      <c r="CI192" s="202"/>
      <c r="CJ192" s="202"/>
      <c r="CK192" s="136" t="e">
        <f>CC192*CK$111</f>
        <v>#REF!</v>
      </c>
      <c r="CL192" s="202"/>
      <c r="CM192" s="202"/>
      <c r="CN192" s="267" t="e">
        <f t="shared" si="43"/>
        <v>#REF!</v>
      </c>
      <c r="CO192" s="267" t="e">
        <f t="shared" si="44"/>
        <v>#REF!</v>
      </c>
      <c r="CP192" s="92" t="s">
        <v>560</v>
      </c>
      <c r="CQ192" s="85"/>
      <c r="CR192" s="85"/>
      <c r="CS192" s="85"/>
      <c r="CT192" s="99" t="e">
        <f t="shared" si="45"/>
        <v>#REF!</v>
      </c>
      <c r="CU192" s="99" t="e">
        <f t="array" ref="CU192">BD192</f>
        <v>#REF!</v>
      </c>
      <c r="CV192" s="101"/>
      <c r="CW192" s="101"/>
      <c r="CX192" s="101"/>
      <c r="CY192" s="101"/>
      <c r="CZ192" s="101"/>
      <c r="DA192" s="101"/>
      <c r="DB192" s="101"/>
    </row>
    <row r="193" spans="3:106" ht="14.25" customHeight="1" outlineLevel="4" x14ac:dyDescent="0.25">
      <c r="C193" s="2" t="s">
        <v>84</v>
      </c>
      <c r="D193" s="2" t="s">
        <v>85</v>
      </c>
      <c r="E193" s="2" t="s">
        <v>74</v>
      </c>
      <c r="F193" s="2" t="s">
        <v>75</v>
      </c>
      <c r="G193" s="2" t="s">
        <v>256</v>
      </c>
      <c r="H193" s="2" t="s">
        <v>74</v>
      </c>
      <c r="I193" s="2" t="s">
        <v>74</v>
      </c>
      <c r="K193" s="5" t="s">
        <v>74</v>
      </c>
      <c r="L193" s="2" t="s">
        <v>196</v>
      </c>
      <c r="M193" s="8" t="str">
        <f t="array" ref="M193">Y107</f>
        <v>1ВО::1.1</v>
      </c>
      <c r="AA193" s="107" t="str">
        <f>AA191&amp;".2"</f>
        <v>3.1.1.2.2</v>
      </c>
      <c r="AB193" s="198" t="s">
        <v>257</v>
      </c>
      <c r="AC193" s="197" t="s">
        <v>114</v>
      </c>
      <c r="AD193" s="136"/>
      <c r="AE193" s="136"/>
      <c r="AF193" s="195"/>
      <c r="AG193" s="202"/>
      <c r="AH193" s="202"/>
      <c r="AI193" s="136">
        <f t="array" ref="AI193">'ВО-2021-2025'!$AF$193</f>
        <v>0</v>
      </c>
      <c r="AJ193" s="202"/>
      <c r="AK193" s="202"/>
      <c r="AL193" s="202"/>
      <c r="AM193" s="202"/>
      <c r="AN193" s="203">
        <f>IF('ВО-2021-2025'!$AN$81="Методика",IF('ВО-2021-2025'!AI$158=0,0,'ВО-2021-2025'!AI193/'ВО-2021-2025'!AI$158*'ВО-2021-2025'!AN$159),[1]Капремонт!BT142-[1]Капремонт!BG142-[1]Капремонт!BH142)</f>
        <v>42919.229999999996</v>
      </c>
      <c r="AO193" s="195">
        <v>69654.095603073394</v>
      </c>
      <c r="AP193" s="202"/>
      <c r="AQ193" s="202"/>
      <c r="AR193" s="136">
        <v>69654.095603073394</v>
      </c>
      <c r="AS193" s="202"/>
      <c r="AT193" s="202"/>
      <c r="AU193" s="203">
        <f>[1]Капремонт!BT213-[1]Капремонт!BG213-[1]Капремонт!BH213</f>
        <v>0</v>
      </c>
      <c r="AV193" s="195">
        <v>71853.771942218402</v>
      </c>
      <c r="AW193" s="202"/>
      <c r="AX193" s="202"/>
      <c r="AY193" s="136">
        <v>71853.771942218402</v>
      </c>
      <c r="AZ193" s="202"/>
      <c r="BA193" s="202"/>
      <c r="BB193" s="202"/>
      <c r="BC193" s="202"/>
      <c r="BD193" s="204" t="e">
        <f>'ВО-2021-2025'!$AR$193*'ВО-2021-2025'!$BD$112</f>
        <v>#REF!</v>
      </c>
      <c r="BE193" s="202"/>
      <c r="BF193" s="202"/>
      <c r="BG193" s="267" t="e">
        <f t="shared" si="35"/>
        <v>#REF!</v>
      </c>
      <c r="BH193" s="267" t="e">
        <f>BD193-#REF!</f>
        <v>#REF!</v>
      </c>
      <c r="BI193" s="267" t="e">
        <f t="shared" si="36"/>
        <v>#REF!</v>
      </c>
      <c r="BJ193" s="136" t="e">
        <f>#REF!*BJ$111</f>
        <v>#REF!</v>
      </c>
      <c r="BK193" s="202"/>
      <c r="BL193" s="202"/>
      <c r="BM193" s="136" t="e">
        <f>BD193*BM$111</f>
        <v>#REF!</v>
      </c>
      <c r="BN193" s="202"/>
      <c r="BO193" s="202"/>
      <c r="BP193" s="267" t="e">
        <f t="shared" si="37"/>
        <v>#REF!</v>
      </c>
      <c r="BQ193" s="267" t="e">
        <f t="shared" si="38"/>
        <v>#REF!</v>
      </c>
      <c r="BR193" s="136" t="e">
        <f>BJ193*BR$111</f>
        <v>#REF!</v>
      </c>
      <c r="BS193" s="202"/>
      <c r="BT193" s="202"/>
      <c r="BU193" s="136" t="e">
        <f>BM193*BU$111</f>
        <v>#REF!</v>
      </c>
      <c r="BV193" s="202"/>
      <c r="BW193" s="202"/>
      <c r="BX193" s="267" t="e">
        <f t="shared" si="39"/>
        <v>#REF!</v>
      </c>
      <c r="BY193" s="267" t="e">
        <f t="shared" si="40"/>
        <v>#REF!</v>
      </c>
      <c r="BZ193" s="136" t="e">
        <f>BR193*BZ$111</f>
        <v>#REF!</v>
      </c>
      <c r="CA193" s="202"/>
      <c r="CB193" s="202"/>
      <c r="CC193" s="136" t="e">
        <f>BU193*CC$111</f>
        <v>#REF!</v>
      </c>
      <c r="CD193" s="202"/>
      <c r="CE193" s="202"/>
      <c r="CF193" s="267" t="e">
        <f t="shared" si="41"/>
        <v>#REF!</v>
      </c>
      <c r="CG193" s="267" t="e">
        <f t="shared" si="42"/>
        <v>#REF!</v>
      </c>
      <c r="CH193" s="136" t="e">
        <f>BZ193*CH$111</f>
        <v>#REF!</v>
      </c>
      <c r="CI193" s="202"/>
      <c r="CJ193" s="202"/>
      <c r="CK193" s="136" t="e">
        <f>CC193*CK$111</f>
        <v>#REF!</v>
      </c>
      <c r="CL193" s="202"/>
      <c r="CM193" s="202"/>
      <c r="CN193" s="267" t="e">
        <f t="shared" si="43"/>
        <v>#REF!</v>
      </c>
      <c r="CO193" s="267" t="e">
        <f t="shared" si="44"/>
        <v>#REF!</v>
      </c>
      <c r="CP193" s="92"/>
      <c r="CQ193" s="85"/>
      <c r="CR193" s="85"/>
      <c r="CS193" s="85"/>
      <c r="CT193" s="99" t="e">
        <f t="shared" si="45"/>
        <v>#REF!</v>
      </c>
      <c r="CU193" s="99" t="e">
        <f t="array" ref="CU193">BD193</f>
        <v>#REF!</v>
      </c>
      <c r="CV193" s="101"/>
      <c r="CW193" s="101"/>
      <c r="CX193" s="101"/>
      <c r="CY193" s="101"/>
      <c r="CZ193" s="101"/>
      <c r="DA193" s="101"/>
      <c r="DB193" s="101"/>
    </row>
    <row r="194" spans="3:106" ht="14.25" customHeight="1" outlineLevel="4" x14ac:dyDescent="0.25">
      <c r="C194" s="2" t="s">
        <v>84</v>
      </c>
      <c r="D194" s="2" t="s">
        <v>85</v>
      </c>
      <c r="E194" s="2" t="s">
        <v>74</v>
      </c>
      <c r="F194" s="2" t="s">
        <v>75</v>
      </c>
      <c r="G194" s="2" t="s">
        <v>205</v>
      </c>
      <c r="H194" s="2" t="s">
        <v>258</v>
      </c>
      <c r="I194" s="2" t="s">
        <v>74</v>
      </c>
      <c r="K194" s="5" t="s">
        <v>74</v>
      </c>
      <c r="L194" s="2" t="s">
        <v>196</v>
      </c>
      <c r="M194" s="8" t="str">
        <f t="array" ref="M194">Y107</f>
        <v>1ВО::1.1</v>
      </c>
      <c r="AA194" s="107" t="str">
        <f>AA191&amp;".3"</f>
        <v>3.1.1.2.3</v>
      </c>
      <c r="AB194" s="198" t="s">
        <v>259</v>
      </c>
      <c r="AC194" s="197" t="s">
        <v>114</v>
      </c>
      <c r="AD194" s="173">
        <v>6627.8358726393999</v>
      </c>
      <c r="AE194" s="173">
        <v>7015.8161429539996</v>
      </c>
      <c r="AF194" s="173">
        <v>8093.1432775651001</v>
      </c>
      <c r="AG194" s="174"/>
      <c r="AH194" s="174"/>
      <c r="AI194" s="173">
        <f>AI195+AI198</f>
        <v>8093.1432775651001</v>
      </c>
      <c r="AJ194" s="174"/>
      <c r="AK194" s="174"/>
      <c r="AL194" s="174"/>
      <c r="AM194" s="174"/>
      <c r="AN194" s="173" t="e">
        <f>AN195+AN198</f>
        <v>#REF!</v>
      </c>
      <c r="AO194" s="173">
        <v>48790.215748209601</v>
      </c>
      <c r="AP194" s="174"/>
      <c r="AQ194" s="174"/>
      <c r="AR194" s="173">
        <f>AR195+AR198</f>
        <v>48790.215748209601</v>
      </c>
      <c r="AS194" s="174"/>
      <c r="AT194" s="174"/>
      <c r="AU194" s="173" t="e">
        <f>AU195+AU198</f>
        <v>#REF!</v>
      </c>
      <c r="AV194" s="173">
        <v>50331.010761538098</v>
      </c>
      <c r="AW194" s="174"/>
      <c r="AX194" s="174"/>
      <c r="AY194" s="173">
        <f>AY195+AY198</f>
        <v>50331.010761538098</v>
      </c>
      <c r="AZ194" s="174"/>
      <c r="BA194" s="174"/>
      <c r="BB194" s="174"/>
      <c r="BC194" s="174"/>
      <c r="BD194" s="173" t="e">
        <f>BD195+BD198</f>
        <v>#REF!</v>
      </c>
      <c r="BE194" s="174"/>
      <c r="BF194" s="174"/>
      <c r="BG194" s="267" t="e">
        <f t="shared" si="35"/>
        <v>#REF!</v>
      </c>
      <c r="BH194" s="267" t="e">
        <f>BD194-#REF!</f>
        <v>#REF!</v>
      </c>
      <c r="BI194" s="267" t="e">
        <f t="shared" si="36"/>
        <v>#REF!</v>
      </c>
      <c r="BJ194" s="173" t="e">
        <f>BJ195+BJ198</f>
        <v>#REF!</v>
      </c>
      <c r="BK194" s="174"/>
      <c r="BL194" s="174"/>
      <c r="BM194" s="173" t="e">
        <f>BM195+BM198</f>
        <v>#REF!</v>
      </c>
      <c r="BN194" s="174"/>
      <c r="BO194" s="174"/>
      <c r="BP194" s="267" t="e">
        <f t="shared" si="37"/>
        <v>#REF!</v>
      </c>
      <c r="BQ194" s="267" t="e">
        <f t="shared" si="38"/>
        <v>#REF!</v>
      </c>
      <c r="BR194" s="173" t="e">
        <f>BR195+BR198</f>
        <v>#REF!</v>
      </c>
      <c r="BS194" s="174"/>
      <c r="BT194" s="174"/>
      <c r="BU194" s="173" t="e">
        <f>BU195+BU198</f>
        <v>#REF!</v>
      </c>
      <c r="BV194" s="174"/>
      <c r="BW194" s="174"/>
      <c r="BX194" s="267" t="e">
        <f t="shared" si="39"/>
        <v>#REF!</v>
      </c>
      <c r="BY194" s="267" t="e">
        <f t="shared" si="40"/>
        <v>#REF!</v>
      </c>
      <c r="BZ194" s="173" t="e">
        <f>BZ195+BZ198</f>
        <v>#REF!</v>
      </c>
      <c r="CA194" s="174"/>
      <c r="CB194" s="174"/>
      <c r="CC194" s="173" t="e">
        <f>CC195+CC198</f>
        <v>#REF!</v>
      </c>
      <c r="CD194" s="174"/>
      <c r="CE194" s="174"/>
      <c r="CF194" s="267" t="e">
        <f t="shared" si="41"/>
        <v>#REF!</v>
      </c>
      <c r="CG194" s="267" t="e">
        <f t="shared" si="42"/>
        <v>#REF!</v>
      </c>
      <c r="CH194" s="173" t="e">
        <f>CH195+CH198</f>
        <v>#REF!</v>
      </c>
      <c r="CI194" s="174"/>
      <c r="CJ194" s="174"/>
      <c r="CK194" s="173" t="e">
        <f>CK195+CK198</f>
        <v>#REF!</v>
      </c>
      <c r="CL194" s="174"/>
      <c r="CM194" s="174"/>
      <c r="CN194" s="267" t="e">
        <f t="shared" si="43"/>
        <v>#REF!</v>
      </c>
      <c r="CO194" s="267" t="e">
        <f t="shared" si="44"/>
        <v>#REF!</v>
      </c>
      <c r="CP194" s="92"/>
      <c r="CQ194" s="85"/>
      <c r="CR194" s="85"/>
      <c r="CS194" s="85"/>
      <c r="CT194" s="99" t="e">
        <f t="shared" si="45"/>
        <v>#REF!</v>
      </c>
      <c r="CU194" s="100" t="e">
        <f>CU195+CU198</f>
        <v>#REF!</v>
      </c>
      <c r="CV194" s="101"/>
      <c r="CW194" s="101"/>
      <c r="CX194" s="101"/>
      <c r="CY194" s="101"/>
      <c r="CZ194" s="101"/>
      <c r="DA194" s="101"/>
      <c r="DB194" s="101"/>
    </row>
    <row r="195" spans="3:106" ht="14.25" customHeight="1" outlineLevel="4" x14ac:dyDescent="0.25">
      <c r="C195" s="2" t="s">
        <v>84</v>
      </c>
      <c r="D195" s="2" t="s">
        <v>85</v>
      </c>
      <c r="E195" s="2" t="s">
        <v>74</v>
      </c>
      <c r="F195" s="2" t="s">
        <v>75</v>
      </c>
      <c r="G195" s="2" t="s">
        <v>208</v>
      </c>
      <c r="H195" s="2" t="s">
        <v>258</v>
      </c>
      <c r="I195" s="2" t="s">
        <v>74</v>
      </c>
      <c r="K195" s="5" t="s">
        <v>74</v>
      </c>
      <c r="L195" s="2" t="s">
        <v>196</v>
      </c>
      <c r="M195" s="8" t="str">
        <f t="array" ref="M195">Y107</f>
        <v>1ВО::1.1</v>
      </c>
      <c r="AA195" s="107" t="str">
        <f>AA194&amp;".1"</f>
        <v>3.1.1.2.3.1</v>
      </c>
      <c r="AB195" s="199" t="s">
        <v>260</v>
      </c>
      <c r="AC195" s="197" t="s">
        <v>114</v>
      </c>
      <c r="AD195" s="136">
        <v>5086.5990768355005</v>
      </c>
      <c r="AE195" s="136">
        <v>5384.3584243412997</v>
      </c>
      <c r="AF195" s="195">
        <v>6211.1639327554003</v>
      </c>
      <c r="AG195" s="202"/>
      <c r="AH195" s="202"/>
      <c r="AI195" s="136">
        <v>6211.1639327554003</v>
      </c>
      <c r="AJ195" s="202"/>
      <c r="AK195" s="202"/>
      <c r="AL195" s="202"/>
      <c r="AM195" s="202"/>
      <c r="AN195" s="204" t="e">
        <f t="array" ref="AN195">IF('ВО-2021-2025'!$AN$81="Методика",IF('ВО-2021-2025'!AI$158=0,0,'ВО-2021-2025'!AI195/'ВО-2021-2025'!AI$158*'ВО-2021-2025'!AN$159),'ВО-2021-2025'!#REF!)</f>
        <v>#REF!</v>
      </c>
      <c r="AO195" s="195">
        <v>37473.2839848</v>
      </c>
      <c r="AP195" s="202"/>
      <c r="AQ195" s="202"/>
      <c r="AR195" s="136">
        <v>37473.2839848</v>
      </c>
      <c r="AS195" s="202"/>
      <c r="AT195" s="202"/>
      <c r="AU195" s="204" t="e">
        <f t="array" ref="AU195">'ВО-2021-2025'!#REF!</f>
        <v>#REF!</v>
      </c>
      <c r="AV195" s="195">
        <v>38656.690293040003</v>
      </c>
      <c r="AW195" s="202"/>
      <c r="AX195" s="202"/>
      <c r="AY195" s="136">
        <v>38656.690293040003</v>
      </c>
      <c r="AZ195" s="202"/>
      <c r="BA195" s="202"/>
      <c r="BB195" s="202"/>
      <c r="BC195" s="202"/>
      <c r="BD195" s="204" t="e">
        <f>'ВО-2021-2025'!$AR$195*'ВО-2021-2025'!$BD$112</f>
        <v>#REF!</v>
      </c>
      <c r="BE195" s="202"/>
      <c r="BF195" s="202"/>
      <c r="BG195" s="267" t="e">
        <f t="shared" si="35"/>
        <v>#REF!</v>
      </c>
      <c r="BH195" s="267" t="e">
        <f>BD195-#REF!</f>
        <v>#REF!</v>
      </c>
      <c r="BI195" s="267" t="e">
        <f t="shared" si="36"/>
        <v>#REF!</v>
      </c>
      <c r="BJ195" s="136" t="e">
        <f>#REF!*BJ$111</f>
        <v>#REF!</v>
      </c>
      <c r="BK195" s="202"/>
      <c r="BL195" s="202"/>
      <c r="BM195" s="136" t="e">
        <f>BD195*BM$111</f>
        <v>#REF!</v>
      </c>
      <c r="BN195" s="202"/>
      <c r="BO195" s="202"/>
      <c r="BP195" s="267" t="e">
        <f t="shared" si="37"/>
        <v>#REF!</v>
      </c>
      <c r="BQ195" s="267" t="e">
        <f t="shared" si="38"/>
        <v>#REF!</v>
      </c>
      <c r="BR195" s="136" t="e">
        <f>BJ195*BR$111</f>
        <v>#REF!</v>
      </c>
      <c r="BS195" s="202"/>
      <c r="BT195" s="202"/>
      <c r="BU195" s="136" t="e">
        <f>BM195*BU$111</f>
        <v>#REF!</v>
      </c>
      <c r="BV195" s="202"/>
      <c r="BW195" s="202"/>
      <c r="BX195" s="267" t="e">
        <f t="shared" si="39"/>
        <v>#REF!</v>
      </c>
      <c r="BY195" s="267" t="e">
        <f t="shared" si="40"/>
        <v>#REF!</v>
      </c>
      <c r="BZ195" s="136" t="e">
        <f>BR195*BZ$111</f>
        <v>#REF!</v>
      </c>
      <c r="CA195" s="202"/>
      <c r="CB195" s="202"/>
      <c r="CC195" s="136" t="e">
        <f>BU195*CC$111</f>
        <v>#REF!</v>
      </c>
      <c r="CD195" s="202"/>
      <c r="CE195" s="202"/>
      <c r="CF195" s="267" t="e">
        <f t="shared" si="41"/>
        <v>#REF!</v>
      </c>
      <c r="CG195" s="267" t="e">
        <f t="shared" si="42"/>
        <v>#REF!</v>
      </c>
      <c r="CH195" s="136" t="e">
        <f>BZ195*CH$111</f>
        <v>#REF!</v>
      </c>
      <c r="CI195" s="202"/>
      <c r="CJ195" s="202"/>
      <c r="CK195" s="136" t="e">
        <f>CC195*CK$111</f>
        <v>#REF!</v>
      </c>
      <c r="CL195" s="202"/>
      <c r="CM195" s="202"/>
      <c r="CN195" s="267" t="e">
        <f t="shared" si="43"/>
        <v>#REF!</v>
      </c>
      <c r="CO195" s="267" t="e">
        <f t="shared" si="44"/>
        <v>#REF!</v>
      </c>
      <c r="CP195" s="92"/>
      <c r="CQ195" s="85"/>
      <c r="CR195" s="85"/>
      <c r="CS195" s="85"/>
      <c r="CT195" s="99" t="e">
        <f t="shared" si="45"/>
        <v>#REF!</v>
      </c>
      <c r="CU195" s="99" t="e">
        <f t="array" ref="CU195">BD195</f>
        <v>#REF!</v>
      </c>
      <c r="CV195" s="101"/>
      <c r="CW195" s="101"/>
      <c r="CX195" s="101"/>
      <c r="CY195" s="101"/>
      <c r="CZ195" s="101"/>
      <c r="DA195" s="101"/>
      <c r="DB195" s="101"/>
    </row>
    <row r="196" spans="3:106" ht="14.25" customHeight="1" outlineLevel="4" x14ac:dyDescent="0.25">
      <c r="C196" s="2" t="s">
        <v>210</v>
      </c>
      <c r="D196" s="2" t="s">
        <v>211</v>
      </c>
      <c r="E196" s="2" t="s">
        <v>74</v>
      </c>
      <c r="F196" s="2" t="s">
        <v>75</v>
      </c>
      <c r="G196" s="2" t="s">
        <v>74</v>
      </c>
      <c r="H196" s="2" t="s">
        <v>258</v>
      </c>
      <c r="I196" s="2" t="s">
        <v>74</v>
      </c>
      <c r="K196" s="5" t="s">
        <v>74</v>
      </c>
      <c r="L196" s="2" t="s">
        <v>196</v>
      </c>
      <c r="M196" s="8" t="str">
        <f t="array" ref="M196">Y107</f>
        <v>1ВО::1.1</v>
      </c>
      <c r="AA196" s="107" t="str">
        <f>AA195&amp;".1"</f>
        <v>3.1.1.2.3.1.1</v>
      </c>
      <c r="AB196" s="205" t="s">
        <v>212</v>
      </c>
      <c r="AC196" s="197" t="s">
        <v>213</v>
      </c>
      <c r="AD196" s="173">
        <v>30212.634098571518</v>
      </c>
      <c r="AE196" s="173">
        <v>31981.221337261224</v>
      </c>
      <c r="AF196" s="173">
        <v>36892.159258466381</v>
      </c>
      <c r="AG196" s="174"/>
      <c r="AH196" s="174"/>
      <c r="AI196" s="173">
        <f>IF(AI197=0,0,AI195*1000/AI$89/AI197)</f>
        <v>36892.159258466381</v>
      </c>
      <c r="AJ196" s="174"/>
      <c r="AK196" s="174"/>
      <c r="AL196" s="174"/>
      <c r="AM196" s="174"/>
      <c r="AN196" s="173" t="e">
        <f>IF(AN197=0,0,AN195*1000/AN$89/AN197)</f>
        <v>#REF!</v>
      </c>
      <c r="AO196" s="173">
        <v>56561.740000000005</v>
      </c>
      <c r="AP196" s="174"/>
      <c r="AQ196" s="174"/>
      <c r="AR196" s="173">
        <f>IF(AR197=0,0,AR195*1000/AR$89/AR197)</f>
        <v>56561.740000000005</v>
      </c>
      <c r="AS196" s="174"/>
      <c r="AT196" s="174"/>
      <c r="AU196" s="173" t="e">
        <f>IF(AU197=0,0,AU195*1000/AU$89/AU197)</f>
        <v>#REF!</v>
      </c>
      <c r="AV196" s="173">
        <v>58937.333080000026</v>
      </c>
      <c r="AW196" s="174"/>
      <c r="AX196" s="174"/>
      <c r="AY196" s="173">
        <f>IF(AY197=0,0,AY195*1000/AY$89/AY197)</f>
        <v>58937.333080000026</v>
      </c>
      <c r="AZ196" s="174"/>
      <c r="BA196" s="174"/>
      <c r="BB196" s="174"/>
      <c r="BC196" s="174"/>
      <c r="BD196" s="173" t="e">
        <f>IF(BD197=0,0,BD195*1000/BD$89/BD197)</f>
        <v>#REF!</v>
      </c>
      <c r="BE196" s="174"/>
      <c r="BF196" s="174"/>
      <c r="BG196" s="267" t="e">
        <f t="shared" si="35"/>
        <v>#REF!</v>
      </c>
      <c r="BH196" s="267" t="e">
        <f>BD196-#REF!</f>
        <v>#REF!</v>
      </c>
      <c r="BI196" s="267" t="e">
        <f t="shared" si="36"/>
        <v>#REF!</v>
      </c>
      <c r="BJ196" s="173" t="e">
        <f>IF(BJ197=0,0,BJ195*1000/BJ$89/BJ197)</f>
        <v>#REF!</v>
      </c>
      <c r="BK196" s="174"/>
      <c r="BL196" s="174"/>
      <c r="BM196" s="173" t="e">
        <f>IF(BM197=0,0,BM195*1000/BM$89/BM197)</f>
        <v>#REF!</v>
      </c>
      <c r="BN196" s="174"/>
      <c r="BO196" s="174"/>
      <c r="BP196" s="267" t="e">
        <f t="shared" si="37"/>
        <v>#REF!</v>
      </c>
      <c r="BQ196" s="267" t="e">
        <f t="shared" si="38"/>
        <v>#REF!</v>
      </c>
      <c r="BR196" s="173" t="e">
        <f>IF(BR197=0,0,BR195*1000/BR$89/BR197)</f>
        <v>#REF!</v>
      </c>
      <c r="BS196" s="174"/>
      <c r="BT196" s="174"/>
      <c r="BU196" s="173" t="e">
        <f>IF(BU197=0,0,BU195*1000/BU$89/BU197)</f>
        <v>#REF!</v>
      </c>
      <c r="BV196" s="174"/>
      <c r="BW196" s="174"/>
      <c r="BX196" s="267" t="e">
        <f t="shared" si="39"/>
        <v>#REF!</v>
      </c>
      <c r="BY196" s="267" t="e">
        <f t="shared" si="40"/>
        <v>#REF!</v>
      </c>
      <c r="BZ196" s="173" t="e">
        <f>IF(BZ197=0,0,BZ195*1000/BZ$89/BZ197)</f>
        <v>#REF!</v>
      </c>
      <c r="CA196" s="174"/>
      <c r="CB196" s="174"/>
      <c r="CC196" s="173" t="e">
        <f>IF(CC197=0,0,CC195*1000/CC$89/CC197)</f>
        <v>#REF!</v>
      </c>
      <c r="CD196" s="174"/>
      <c r="CE196" s="174"/>
      <c r="CF196" s="267" t="e">
        <f t="shared" si="41"/>
        <v>#REF!</v>
      </c>
      <c r="CG196" s="267" t="e">
        <f t="shared" si="42"/>
        <v>#REF!</v>
      </c>
      <c r="CH196" s="173" t="e">
        <f>IF(CH197=0,0,CH195*1000/CH$89/CH197)</f>
        <v>#REF!</v>
      </c>
      <c r="CI196" s="174"/>
      <c r="CJ196" s="174"/>
      <c r="CK196" s="173" t="e">
        <f>IF(CK197=0,0,CK195*1000/CK$89/CK197)</f>
        <v>#REF!</v>
      </c>
      <c r="CL196" s="174"/>
      <c r="CM196" s="174"/>
      <c r="CN196" s="267" t="e">
        <f t="shared" si="43"/>
        <v>#REF!</v>
      </c>
      <c r="CO196" s="267" t="e">
        <f t="shared" si="44"/>
        <v>#REF!</v>
      </c>
      <c r="CP196" s="92"/>
      <c r="CQ196" s="85"/>
      <c r="CR196" s="85"/>
      <c r="CS196" s="85"/>
      <c r="CT196" s="99" t="e">
        <f t="shared" si="45"/>
        <v>#REF!</v>
      </c>
      <c r="CU196" s="100" t="e">
        <f>IF(CU197=0,0,CU195*1000/CU$89/CU197)</f>
        <v>#REF!</v>
      </c>
      <c r="CV196" s="101"/>
      <c r="CW196" s="101"/>
      <c r="CX196" s="101"/>
      <c r="CY196" s="101"/>
      <c r="CZ196" s="101"/>
      <c r="DA196" s="101"/>
      <c r="DB196" s="101"/>
    </row>
    <row r="197" spans="3:106" ht="14.25" customHeight="1" outlineLevel="4" x14ac:dyDescent="0.25">
      <c r="C197" s="2" t="s">
        <v>214</v>
      </c>
      <c r="D197" s="2" t="s">
        <v>215</v>
      </c>
      <c r="E197" s="2" t="s">
        <v>74</v>
      </c>
      <c r="F197" s="2" t="s">
        <v>75</v>
      </c>
      <c r="G197" s="2" t="s">
        <v>74</v>
      </c>
      <c r="H197" s="2" t="s">
        <v>258</v>
      </c>
      <c r="I197" s="2" t="s">
        <v>74</v>
      </c>
      <c r="K197" s="5" t="s">
        <v>74</v>
      </c>
      <c r="L197" s="2" t="s">
        <v>196</v>
      </c>
      <c r="M197" s="8" t="str">
        <f t="array" ref="M197">Y107</f>
        <v>1ВО::1.1</v>
      </c>
      <c r="AA197" s="107" t="str">
        <f>AA195&amp;".2"</f>
        <v>3.1.1.2.3.1.2</v>
      </c>
      <c r="AB197" s="205" t="s">
        <v>216</v>
      </c>
      <c r="AC197" s="197" t="s">
        <v>217</v>
      </c>
      <c r="AD197" s="136">
        <v>14.03</v>
      </c>
      <c r="AE197" s="136">
        <v>14.03</v>
      </c>
      <c r="AF197" s="195">
        <v>14.03</v>
      </c>
      <c r="AG197" s="202"/>
      <c r="AH197" s="202"/>
      <c r="AI197" s="136">
        <v>14.03</v>
      </c>
      <c r="AJ197" s="202"/>
      <c r="AK197" s="202"/>
      <c r="AL197" s="202"/>
      <c r="AM197" s="202"/>
      <c r="AN197" s="204" t="e">
        <f t="array" ref="AN197">IF('ВО-2021-2025'!$AN$81="Методика",'ВО-2021-2025'!AI197,'ВО-2021-2025'!#REF!)</f>
        <v>#REF!</v>
      </c>
      <c r="AO197" s="195">
        <v>55.21</v>
      </c>
      <c r="AP197" s="202"/>
      <c r="AQ197" s="202"/>
      <c r="AR197" s="136">
        <v>55.21</v>
      </c>
      <c r="AS197" s="202"/>
      <c r="AT197" s="202"/>
      <c r="AU197" s="204" t="e">
        <f t="array" ref="AU197">'ВО-2021-2025'!#REF!</f>
        <v>#REF!</v>
      </c>
      <c r="AV197" s="195">
        <v>54.657899999999998</v>
      </c>
      <c r="AW197" s="202"/>
      <c r="AX197" s="202"/>
      <c r="AY197" s="136">
        <v>54.657899999999998</v>
      </c>
      <c r="AZ197" s="202"/>
      <c r="BA197" s="202"/>
      <c r="BB197" s="202"/>
      <c r="BC197" s="202"/>
      <c r="BD197" s="204">
        <f t="array" ref="BD197">IF('ВО-2021-2025'!$BD$80="индексировать",'ВО-2021-2025'!$AR$197*(1-'ВО-2021-2025'!$BD$113)*(1+'ВО-2021-2025'!$BD$115),'ВО-2021-2025'!$AR$197)</f>
        <v>55.21</v>
      </c>
      <c r="BE197" s="202"/>
      <c r="BF197" s="202"/>
      <c r="BG197" s="267">
        <f t="shared" si="35"/>
        <v>100</v>
      </c>
      <c r="BH197" s="267" t="e">
        <f>BD197-#REF!</f>
        <v>#REF!</v>
      </c>
      <c r="BI197" s="267">
        <f t="shared" si="36"/>
        <v>0.55210000000000292</v>
      </c>
      <c r="BJ197" s="136" t="e">
        <f>#REF!*IF(#REF!="индексировать",(1-BJ$113)*(1+BJ$115),1)</f>
        <v>#REF!</v>
      </c>
      <c r="BK197" s="202"/>
      <c r="BL197" s="202"/>
      <c r="BM197" s="136">
        <f>BD197*IF($BD$80="индексировать",(1-BM$113)*(1+BM$115),1)</f>
        <v>55.21</v>
      </c>
      <c r="BN197" s="202"/>
      <c r="BO197" s="202"/>
      <c r="BP197" s="267">
        <f t="shared" si="37"/>
        <v>100</v>
      </c>
      <c r="BQ197" s="267" t="e">
        <f t="shared" si="38"/>
        <v>#REF!</v>
      </c>
      <c r="BR197" s="136" t="e">
        <f>BJ197*IF(#REF!="индексировать",(1-BR$113)*(1+BR$115),1)</f>
        <v>#REF!</v>
      </c>
      <c r="BS197" s="202"/>
      <c r="BT197" s="202"/>
      <c r="BU197" s="136">
        <f>BM197*IF($BD$80="индексировать",(1-BU$113)*(1+BU$115),1)</f>
        <v>55.21</v>
      </c>
      <c r="BV197" s="202"/>
      <c r="BW197" s="202"/>
      <c r="BX197" s="267">
        <f t="shared" si="39"/>
        <v>100</v>
      </c>
      <c r="BY197" s="267" t="e">
        <f t="shared" si="40"/>
        <v>#REF!</v>
      </c>
      <c r="BZ197" s="136" t="e">
        <f>BR197*IF(#REF!="индексировать",(1-BZ$113)*(1+BZ$115),1)</f>
        <v>#REF!</v>
      </c>
      <c r="CA197" s="202"/>
      <c r="CB197" s="202"/>
      <c r="CC197" s="136">
        <f>BU197*IF($BD$80="индексировать",(1-CC$113)*(1+CC$115),1)</f>
        <v>55.21</v>
      </c>
      <c r="CD197" s="202"/>
      <c r="CE197" s="202"/>
      <c r="CF197" s="267">
        <f t="shared" si="41"/>
        <v>100</v>
      </c>
      <c r="CG197" s="267" t="e">
        <f t="shared" si="42"/>
        <v>#REF!</v>
      </c>
      <c r="CH197" s="136" t="e">
        <f>BZ197*IF(#REF!="индексировать",(1-CH$113)*(1+CH$115),1)</f>
        <v>#REF!</v>
      </c>
      <c r="CI197" s="202"/>
      <c r="CJ197" s="202"/>
      <c r="CK197" s="136">
        <f>CC197*IF($BD$80="индексировать",(1-CK$113)*(1+CK$115),1)</f>
        <v>55.21</v>
      </c>
      <c r="CL197" s="202"/>
      <c r="CM197" s="202"/>
      <c r="CN197" s="267">
        <f t="shared" si="43"/>
        <v>100</v>
      </c>
      <c r="CO197" s="267" t="e">
        <f t="shared" si="44"/>
        <v>#REF!</v>
      </c>
      <c r="CP197" s="92"/>
      <c r="CQ197" s="85"/>
      <c r="CR197" s="85"/>
      <c r="CS197" s="85"/>
      <c r="CT197" s="99" t="e">
        <f t="shared" si="45"/>
        <v>#REF!</v>
      </c>
      <c r="CU197" s="99">
        <f t="array" ref="CU197">BD197</f>
        <v>55.21</v>
      </c>
      <c r="CV197" s="101"/>
      <c r="CW197" s="101"/>
      <c r="CX197" s="101"/>
      <c r="CY197" s="101"/>
      <c r="CZ197" s="101"/>
      <c r="DA197" s="101"/>
      <c r="DB197" s="101"/>
    </row>
    <row r="198" spans="3:106" ht="14.25" customHeight="1" outlineLevel="4" x14ac:dyDescent="0.25">
      <c r="C198" s="2" t="s">
        <v>84</v>
      </c>
      <c r="D198" s="2" t="s">
        <v>85</v>
      </c>
      <c r="E198" s="2" t="s">
        <v>74</v>
      </c>
      <c r="F198" s="2" t="s">
        <v>75</v>
      </c>
      <c r="G198" s="2" t="s">
        <v>218</v>
      </c>
      <c r="H198" s="2" t="s">
        <v>258</v>
      </c>
      <c r="I198" s="2" t="s">
        <v>74</v>
      </c>
      <c r="K198" s="5" t="s">
        <v>74</v>
      </c>
      <c r="L198" s="2" t="s">
        <v>196</v>
      </c>
      <c r="M198" s="8" t="str">
        <f t="array" ref="M198">Y107</f>
        <v>1ВО::1.1</v>
      </c>
      <c r="AA198" s="107" t="str">
        <f>AA194&amp;".2"</f>
        <v>3.1.1.2.3.2</v>
      </c>
      <c r="AB198" s="199" t="s">
        <v>261</v>
      </c>
      <c r="AC198" s="197" t="s">
        <v>114</v>
      </c>
      <c r="AD198" s="136">
        <v>1541.2367958038999</v>
      </c>
      <c r="AE198" s="136">
        <v>1631.4577186127001</v>
      </c>
      <c r="AF198" s="195">
        <v>1881.9793448097</v>
      </c>
      <c r="AG198" s="202"/>
      <c r="AH198" s="202"/>
      <c r="AI198" s="136">
        <v>1881.9793448097</v>
      </c>
      <c r="AJ198" s="202"/>
      <c r="AK198" s="202"/>
      <c r="AL198" s="202"/>
      <c r="AM198" s="202"/>
      <c r="AN198" s="204" t="e">
        <f t="array" ref="AN198">IF('ВО-2021-2025'!$AN$81="Методика",IF('ВО-2021-2025'!AI$158=0,0,'ВО-2021-2025'!AI198/'ВО-2021-2025'!AI$158*'ВО-2021-2025'!AN$159),'ВО-2021-2025'!#REF!)</f>
        <v>#REF!</v>
      </c>
      <c r="AO198" s="195">
        <v>11316.931763409601</v>
      </c>
      <c r="AP198" s="202"/>
      <c r="AQ198" s="202"/>
      <c r="AR198" s="136">
        <v>11316.931763409601</v>
      </c>
      <c r="AS198" s="202"/>
      <c r="AT198" s="202"/>
      <c r="AU198" s="204" t="e">
        <f t="array" ref="AU198">'ВО-2021-2025'!#REF!</f>
        <v>#REF!</v>
      </c>
      <c r="AV198" s="195">
        <v>11674.320468498099</v>
      </c>
      <c r="AW198" s="202"/>
      <c r="AX198" s="202"/>
      <c r="AY198" s="136">
        <v>11674.320468498099</v>
      </c>
      <c r="AZ198" s="202"/>
      <c r="BA198" s="202"/>
      <c r="BB198" s="202"/>
      <c r="BC198" s="202"/>
      <c r="BD198" s="204" t="e">
        <f>'ВО-2021-2025'!$AR$198*'ВО-2021-2025'!$BD$112</f>
        <v>#REF!</v>
      </c>
      <c r="BE198" s="202"/>
      <c r="BF198" s="202"/>
      <c r="BG198" s="267" t="e">
        <f t="shared" si="35"/>
        <v>#REF!</v>
      </c>
      <c r="BH198" s="267" t="e">
        <f>BD198-#REF!</f>
        <v>#REF!</v>
      </c>
      <c r="BI198" s="267" t="e">
        <f t="shared" si="36"/>
        <v>#REF!</v>
      </c>
      <c r="BJ198" s="136" t="e">
        <f>#REF!*BJ$111</f>
        <v>#REF!</v>
      </c>
      <c r="BK198" s="202"/>
      <c r="BL198" s="202"/>
      <c r="BM198" s="136" t="e">
        <f>BD198*BM$111</f>
        <v>#REF!</v>
      </c>
      <c r="BN198" s="202"/>
      <c r="BO198" s="202"/>
      <c r="BP198" s="267" t="e">
        <f t="shared" si="37"/>
        <v>#REF!</v>
      </c>
      <c r="BQ198" s="267" t="e">
        <f t="shared" si="38"/>
        <v>#REF!</v>
      </c>
      <c r="BR198" s="136" t="e">
        <f>BJ198*BR$111</f>
        <v>#REF!</v>
      </c>
      <c r="BS198" s="202"/>
      <c r="BT198" s="202"/>
      <c r="BU198" s="136" t="e">
        <f>BM198*BU$111</f>
        <v>#REF!</v>
      </c>
      <c r="BV198" s="202"/>
      <c r="BW198" s="202"/>
      <c r="BX198" s="267" t="e">
        <f t="shared" si="39"/>
        <v>#REF!</v>
      </c>
      <c r="BY198" s="267" t="e">
        <f t="shared" si="40"/>
        <v>#REF!</v>
      </c>
      <c r="BZ198" s="136" t="e">
        <f>BR198*BZ$111</f>
        <v>#REF!</v>
      </c>
      <c r="CA198" s="202"/>
      <c r="CB198" s="202"/>
      <c r="CC198" s="136" t="e">
        <f>BU198*CC$111</f>
        <v>#REF!</v>
      </c>
      <c r="CD198" s="202"/>
      <c r="CE198" s="202"/>
      <c r="CF198" s="267" t="e">
        <f t="shared" si="41"/>
        <v>#REF!</v>
      </c>
      <c r="CG198" s="267" t="e">
        <f t="shared" si="42"/>
        <v>#REF!</v>
      </c>
      <c r="CH198" s="136" t="e">
        <f>BZ198*CH$111</f>
        <v>#REF!</v>
      </c>
      <c r="CI198" s="202"/>
      <c r="CJ198" s="202"/>
      <c r="CK198" s="136" t="e">
        <f>CC198*CK$111</f>
        <v>#REF!</v>
      </c>
      <c r="CL198" s="202"/>
      <c r="CM198" s="202"/>
      <c r="CN198" s="267" t="e">
        <f t="shared" si="43"/>
        <v>#REF!</v>
      </c>
      <c r="CO198" s="267" t="e">
        <f t="shared" si="44"/>
        <v>#REF!</v>
      </c>
      <c r="CP198" s="92"/>
      <c r="CQ198" s="85"/>
      <c r="CR198" s="85"/>
      <c r="CS198" s="85"/>
      <c r="CT198" s="99" t="e">
        <f t="shared" si="45"/>
        <v>#REF!</v>
      </c>
      <c r="CU198" s="99" t="e">
        <f t="array" ref="CU198">BD198</f>
        <v>#REF!</v>
      </c>
      <c r="CV198" s="101"/>
      <c r="CW198" s="101"/>
      <c r="CX198" s="101"/>
      <c r="CY198" s="101"/>
      <c r="CZ198" s="101"/>
      <c r="DA198" s="101"/>
      <c r="DB198" s="101"/>
    </row>
    <row r="199" spans="3:106" ht="14.25" customHeight="1" outlineLevel="4" x14ac:dyDescent="0.25">
      <c r="C199" s="2" t="s">
        <v>220</v>
      </c>
      <c r="D199" s="2" t="s">
        <v>221</v>
      </c>
      <c r="E199" s="2" t="s">
        <v>74</v>
      </c>
      <c r="F199" s="2" t="s">
        <v>75</v>
      </c>
      <c r="G199" s="2" t="s">
        <v>74</v>
      </c>
      <c r="H199" s="2" t="s">
        <v>258</v>
      </c>
      <c r="I199" s="2" t="s">
        <v>74</v>
      </c>
      <c r="K199" s="5" t="s">
        <v>74</v>
      </c>
      <c r="L199" s="2" t="s">
        <v>196</v>
      </c>
      <c r="M199" s="8" t="str">
        <f t="array" ref="M199">Y107</f>
        <v>1ВО::1.1</v>
      </c>
      <c r="AA199" s="107" t="str">
        <f>AA198&amp;".1"</f>
        <v>3.1.1.2.3.2.1</v>
      </c>
      <c r="AB199" s="205" t="s">
        <v>222</v>
      </c>
      <c r="AC199" s="197" t="s">
        <v>122</v>
      </c>
      <c r="AD199" s="173">
        <v>30.299946438136455</v>
      </c>
      <c r="AE199" s="173">
        <v>30.29994643813642</v>
      </c>
      <c r="AF199" s="173">
        <v>30.299946438135873</v>
      </c>
      <c r="AG199" s="174"/>
      <c r="AH199" s="174"/>
      <c r="AI199" s="173">
        <f>IF(AI195=0,0,AI198/AI195*100)</f>
        <v>30.299946438135873</v>
      </c>
      <c r="AJ199" s="174"/>
      <c r="AK199" s="174"/>
      <c r="AL199" s="174"/>
      <c r="AM199" s="174"/>
      <c r="AN199" s="173" t="e">
        <f>IF(AN195=0,0,AN198/AN195*100)</f>
        <v>#REF!</v>
      </c>
      <c r="AO199" s="173">
        <v>30.2</v>
      </c>
      <c r="AP199" s="174"/>
      <c r="AQ199" s="174"/>
      <c r="AR199" s="173">
        <f>IF(AR195=0,0,AR198/AR195*100)</f>
        <v>30.2</v>
      </c>
      <c r="AS199" s="174"/>
      <c r="AT199" s="174"/>
      <c r="AU199" s="173" t="e">
        <f>IF(AU195=0,0,AU198/AU195*100)</f>
        <v>#REF!</v>
      </c>
      <c r="AV199" s="173">
        <v>30.200000000000049</v>
      </c>
      <c r="AW199" s="174"/>
      <c r="AX199" s="174"/>
      <c r="AY199" s="173">
        <f>IF(AY195=0,0,AY198/AY195*100)</f>
        <v>30.200000000000049</v>
      </c>
      <c r="AZ199" s="174"/>
      <c r="BA199" s="174"/>
      <c r="BB199" s="174"/>
      <c r="BC199" s="174"/>
      <c r="BD199" s="173" t="e">
        <f>IF(BD195=0,0,BD198/BD195*100)</f>
        <v>#REF!</v>
      </c>
      <c r="BE199" s="174"/>
      <c r="BF199" s="174"/>
      <c r="BG199" s="267" t="e">
        <f t="shared" si="35"/>
        <v>#REF!</v>
      </c>
      <c r="BH199" s="267" t="e">
        <f>BD199-#REF!</f>
        <v>#REF!</v>
      </c>
      <c r="BI199" s="267" t="e">
        <f t="shared" si="36"/>
        <v>#REF!</v>
      </c>
      <c r="BJ199" s="173" t="e">
        <f>IF(BJ195=0,0,BJ198/BJ195*100)</f>
        <v>#REF!</v>
      </c>
      <c r="BK199" s="174"/>
      <c r="BL199" s="174"/>
      <c r="BM199" s="173" t="e">
        <f>IF(BM195=0,0,BM198/BM195*100)</f>
        <v>#REF!</v>
      </c>
      <c r="BN199" s="174"/>
      <c r="BO199" s="174"/>
      <c r="BP199" s="267" t="e">
        <f t="shared" si="37"/>
        <v>#REF!</v>
      </c>
      <c r="BQ199" s="267" t="e">
        <f t="shared" si="38"/>
        <v>#REF!</v>
      </c>
      <c r="BR199" s="173" t="e">
        <f>IF(BR195=0,0,BR198/BR195*100)</f>
        <v>#REF!</v>
      </c>
      <c r="BS199" s="174"/>
      <c r="BT199" s="174"/>
      <c r="BU199" s="173" t="e">
        <f>IF(BU195=0,0,BU198/BU195*100)</f>
        <v>#REF!</v>
      </c>
      <c r="BV199" s="174"/>
      <c r="BW199" s="174"/>
      <c r="BX199" s="267" t="e">
        <f t="shared" si="39"/>
        <v>#REF!</v>
      </c>
      <c r="BY199" s="267" t="e">
        <f t="shared" si="40"/>
        <v>#REF!</v>
      </c>
      <c r="BZ199" s="173" t="e">
        <f>IF(BZ195=0,0,BZ198/BZ195*100)</f>
        <v>#REF!</v>
      </c>
      <c r="CA199" s="174"/>
      <c r="CB199" s="174"/>
      <c r="CC199" s="173" t="e">
        <f>IF(CC195=0,0,CC198/CC195*100)</f>
        <v>#REF!</v>
      </c>
      <c r="CD199" s="174"/>
      <c r="CE199" s="174"/>
      <c r="CF199" s="267" t="e">
        <f t="shared" si="41"/>
        <v>#REF!</v>
      </c>
      <c r="CG199" s="267" t="e">
        <f t="shared" si="42"/>
        <v>#REF!</v>
      </c>
      <c r="CH199" s="173" t="e">
        <f>IF(CH195=0,0,CH198/CH195*100)</f>
        <v>#REF!</v>
      </c>
      <c r="CI199" s="174"/>
      <c r="CJ199" s="174"/>
      <c r="CK199" s="173" t="e">
        <f>IF(CK195=0,0,CK198/CK195*100)</f>
        <v>#REF!</v>
      </c>
      <c r="CL199" s="174"/>
      <c r="CM199" s="174"/>
      <c r="CN199" s="267" t="e">
        <f t="shared" si="43"/>
        <v>#REF!</v>
      </c>
      <c r="CO199" s="267" t="e">
        <f t="shared" si="44"/>
        <v>#REF!</v>
      </c>
      <c r="CP199" s="92"/>
      <c r="CQ199" s="85"/>
      <c r="CR199" s="85"/>
      <c r="CS199" s="85"/>
      <c r="CT199" s="99" t="e">
        <f t="shared" si="45"/>
        <v>#REF!</v>
      </c>
      <c r="CU199" s="100" t="e">
        <f>IF(CU195=0,0,CU198/CU195*100)</f>
        <v>#REF!</v>
      </c>
      <c r="CV199" s="101"/>
      <c r="CW199" s="101"/>
      <c r="CX199" s="101"/>
      <c r="CY199" s="101"/>
      <c r="CZ199" s="101"/>
      <c r="DA199" s="101"/>
      <c r="DB199" s="101"/>
    </row>
    <row r="200" spans="3:106" ht="14.25" customHeight="1" outlineLevel="3" x14ac:dyDescent="0.25">
      <c r="C200" s="2" t="s">
        <v>84</v>
      </c>
      <c r="D200" s="2" t="s">
        <v>85</v>
      </c>
      <c r="E200" s="2" t="s">
        <v>74</v>
      </c>
      <c r="F200" s="2" t="s">
        <v>75</v>
      </c>
      <c r="G200" s="2" t="s">
        <v>262</v>
      </c>
      <c r="H200" s="2" t="s">
        <v>74</v>
      </c>
      <c r="I200" s="2" t="s">
        <v>74</v>
      </c>
      <c r="K200" s="5" t="s">
        <v>74</v>
      </c>
      <c r="L200" s="2" t="s">
        <v>196</v>
      </c>
      <c r="M200" s="8" t="str">
        <f t="array" ref="M200">Y107</f>
        <v>1ВО::1.1</v>
      </c>
      <c r="AA200" s="206" t="str">
        <f>AA158&amp;".3"</f>
        <v>3.1.1.3</v>
      </c>
      <c r="AB200" s="214" t="s">
        <v>262</v>
      </c>
      <c r="AC200" s="197" t="s">
        <v>114</v>
      </c>
      <c r="AD200" s="173">
        <v>29588.148073676901</v>
      </c>
      <c r="AE200" s="173">
        <v>31320.179148121697</v>
      </c>
      <c r="AF200" s="173">
        <v>36129.609465226007</v>
      </c>
      <c r="AG200" s="174"/>
      <c r="AH200" s="174"/>
      <c r="AI200" s="173">
        <f>AI201+AI209+AI215+AI216+AI217+AI218+AI219</f>
        <v>36129.609465226007</v>
      </c>
      <c r="AJ200" s="174"/>
      <c r="AK200" s="174"/>
      <c r="AL200" s="174"/>
      <c r="AM200" s="174"/>
      <c r="AN200" s="173">
        <f>AN201+AN209+AN215+AN216+AN217+AN218+AN219</f>
        <v>89283.037000000011</v>
      </c>
      <c r="AO200" s="173">
        <v>57065.874069882404</v>
      </c>
      <c r="AP200" s="174"/>
      <c r="AQ200" s="174"/>
      <c r="AR200" s="173">
        <f>AR201+AR209+AR215+AR216+AR217+AR218+AR219</f>
        <v>57065.874069882404</v>
      </c>
      <c r="AS200" s="174"/>
      <c r="AT200" s="174"/>
      <c r="AU200" s="173">
        <f>AU201+AU209+AU215+AU216+AU217+AU218+AU219</f>
        <v>0</v>
      </c>
      <c r="AV200" s="173">
        <v>58868.014373009304</v>
      </c>
      <c r="AW200" s="174"/>
      <c r="AX200" s="174"/>
      <c r="AY200" s="173">
        <f>AY201+AY209+AY215+AY216+AY217+AY218+AY219</f>
        <v>58868.014373009304</v>
      </c>
      <c r="AZ200" s="174"/>
      <c r="BA200" s="174"/>
      <c r="BB200" s="174"/>
      <c r="BC200" s="174"/>
      <c r="BD200" s="173" t="e">
        <f>BD201+BD209+BD215+BD216+BD217+BD218+BD219</f>
        <v>#REF!</v>
      </c>
      <c r="BE200" s="174"/>
      <c r="BF200" s="174"/>
      <c r="BG200" s="267" t="e">
        <f t="shared" si="35"/>
        <v>#REF!</v>
      </c>
      <c r="BH200" s="267" t="e">
        <f>BD200-#REF!</f>
        <v>#REF!</v>
      </c>
      <c r="BI200" s="267" t="e">
        <f t="shared" si="36"/>
        <v>#REF!</v>
      </c>
      <c r="BJ200" s="173" t="e">
        <f>BJ201+BJ209+BJ215+BJ216+BJ217+BJ218+BJ219</f>
        <v>#REF!</v>
      </c>
      <c r="BK200" s="174"/>
      <c r="BL200" s="174"/>
      <c r="BM200" s="173" t="e">
        <f>BM201+BM209+BM215+BM216+BM217+BM218+BM219</f>
        <v>#REF!</v>
      </c>
      <c r="BN200" s="174"/>
      <c r="BO200" s="174"/>
      <c r="BP200" s="267" t="e">
        <f t="shared" si="37"/>
        <v>#REF!</v>
      </c>
      <c r="BQ200" s="267" t="e">
        <f t="shared" si="38"/>
        <v>#REF!</v>
      </c>
      <c r="BR200" s="173" t="e">
        <f>BR201+BR209+BR215+BR216+BR217+BR218+BR219</f>
        <v>#REF!</v>
      </c>
      <c r="BS200" s="174"/>
      <c r="BT200" s="174"/>
      <c r="BU200" s="173" t="e">
        <f>BU201+BU209+BU215+BU216+BU217+BU218+BU219</f>
        <v>#REF!</v>
      </c>
      <c r="BV200" s="174"/>
      <c r="BW200" s="174"/>
      <c r="BX200" s="267" t="e">
        <f t="shared" si="39"/>
        <v>#REF!</v>
      </c>
      <c r="BY200" s="267" t="e">
        <f t="shared" si="40"/>
        <v>#REF!</v>
      </c>
      <c r="BZ200" s="173" t="e">
        <f>BZ201+BZ209+BZ215+BZ216+BZ217+BZ218+BZ219</f>
        <v>#REF!</v>
      </c>
      <c r="CA200" s="174"/>
      <c r="CB200" s="174"/>
      <c r="CC200" s="173" t="e">
        <f>CC201+CC209+CC215+CC216+CC217+CC218+CC219</f>
        <v>#REF!</v>
      </c>
      <c r="CD200" s="174"/>
      <c r="CE200" s="174"/>
      <c r="CF200" s="267" t="e">
        <f t="shared" si="41"/>
        <v>#REF!</v>
      </c>
      <c r="CG200" s="267" t="e">
        <f t="shared" si="42"/>
        <v>#REF!</v>
      </c>
      <c r="CH200" s="173" t="e">
        <f>CH201+CH209+CH215+CH216+CH217+CH218+CH219</f>
        <v>#REF!</v>
      </c>
      <c r="CI200" s="174"/>
      <c r="CJ200" s="174"/>
      <c r="CK200" s="173" t="e">
        <f>CK201+CK209+CK215+CK216+CK217+CK218+CK219</f>
        <v>#REF!</v>
      </c>
      <c r="CL200" s="174"/>
      <c r="CM200" s="174"/>
      <c r="CN200" s="267" t="e">
        <f t="shared" si="43"/>
        <v>#REF!</v>
      </c>
      <c r="CO200" s="267" t="e">
        <f t="shared" si="44"/>
        <v>#REF!</v>
      </c>
      <c r="CP200" s="92"/>
      <c r="CQ200" s="85"/>
      <c r="CR200" s="85"/>
      <c r="CS200" s="85"/>
      <c r="CT200" s="99" t="e">
        <f t="shared" si="45"/>
        <v>#REF!</v>
      </c>
      <c r="CU200" s="100" t="e">
        <f>CU201+CU209+CU215+CU216+CU217+CU218+CU219</f>
        <v>#REF!</v>
      </c>
      <c r="CV200" s="101"/>
      <c r="CW200" s="101"/>
      <c r="CX200" s="101"/>
      <c r="CY200" s="101"/>
      <c r="CZ200" s="101"/>
      <c r="DA200" s="101"/>
      <c r="DB200" s="101"/>
    </row>
    <row r="201" spans="3:106" ht="25.5" customHeight="1" outlineLevel="4" x14ac:dyDescent="0.25">
      <c r="C201" s="2" t="s">
        <v>84</v>
      </c>
      <c r="D201" s="2" t="s">
        <v>85</v>
      </c>
      <c r="E201" s="2" t="s">
        <v>74</v>
      </c>
      <c r="F201" s="2" t="s">
        <v>75</v>
      </c>
      <c r="G201" s="2" t="s">
        <v>263</v>
      </c>
      <c r="H201" s="2" t="s">
        <v>74</v>
      </c>
      <c r="I201" s="2" t="s">
        <v>74</v>
      </c>
      <c r="K201" s="5" t="s">
        <v>74</v>
      </c>
      <c r="L201" s="2" t="s">
        <v>196</v>
      </c>
      <c r="M201" s="8" t="str">
        <f t="array" ref="M201">Y107</f>
        <v>1ВО::1.1</v>
      </c>
      <c r="AA201" s="107" t="str">
        <f>AA200&amp;".1"</f>
        <v>3.1.1.3.1</v>
      </c>
      <c r="AB201" s="198" t="s">
        <v>264</v>
      </c>
      <c r="AC201" s="197" t="s">
        <v>114</v>
      </c>
      <c r="AD201" s="173">
        <v>1565.0183388076998</v>
      </c>
      <c r="AE201" s="173">
        <v>1656.6313856310003</v>
      </c>
      <c r="AF201" s="173">
        <v>1911.0186026594001</v>
      </c>
      <c r="AG201" s="174"/>
      <c r="AH201" s="174"/>
      <c r="AI201" s="173">
        <f>AI202+AI203+AI204+AI205+AI206+AI207+AI208</f>
        <v>1911.0186026594001</v>
      </c>
      <c r="AJ201" s="174"/>
      <c r="AK201" s="174"/>
      <c r="AL201" s="174"/>
      <c r="AM201" s="174"/>
      <c r="AN201" s="173">
        <f>AN202+AN203+AN204+AN205+AN206+AN207+AN208</f>
        <v>7918.67</v>
      </c>
      <c r="AO201" s="173">
        <v>5520.41</v>
      </c>
      <c r="AP201" s="174"/>
      <c r="AQ201" s="174"/>
      <c r="AR201" s="173">
        <f>AR202+AR203+AR204+AR205+AR206+AR207+AR208</f>
        <v>5520.41</v>
      </c>
      <c r="AS201" s="174"/>
      <c r="AT201" s="174"/>
      <c r="AU201" s="173">
        <f>AU202+AU203+AU204+AU205+AU206+AU207+AU208</f>
        <v>0</v>
      </c>
      <c r="AV201" s="173">
        <v>5694.7445478</v>
      </c>
      <c r="AW201" s="174"/>
      <c r="AX201" s="174"/>
      <c r="AY201" s="173">
        <f>AY202+AY203+AY204+AY205+AY206+AY207+AY208</f>
        <v>5694.7445478</v>
      </c>
      <c r="AZ201" s="174"/>
      <c r="BA201" s="174"/>
      <c r="BB201" s="174"/>
      <c r="BC201" s="174"/>
      <c r="BD201" s="173" t="e">
        <f>BD202+BD203+BD204+BD205+BD206+BD207+BD208</f>
        <v>#REF!</v>
      </c>
      <c r="BE201" s="174"/>
      <c r="BF201" s="174"/>
      <c r="BG201" s="267" t="e">
        <f t="shared" si="35"/>
        <v>#REF!</v>
      </c>
      <c r="BH201" s="267" t="e">
        <f>BD201-#REF!</f>
        <v>#REF!</v>
      </c>
      <c r="BI201" s="267" t="e">
        <f t="shared" si="36"/>
        <v>#REF!</v>
      </c>
      <c r="BJ201" s="173" t="e">
        <f>BJ202+BJ203+BJ204+BJ205+BJ206+BJ207+BJ208</f>
        <v>#REF!</v>
      </c>
      <c r="BK201" s="174"/>
      <c r="BL201" s="174"/>
      <c r="BM201" s="173" t="e">
        <f>BM202+BM203+BM204+BM205+BM206+BM207+BM208</f>
        <v>#REF!</v>
      </c>
      <c r="BN201" s="174"/>
      <c r="BO201" s="174"/>
      <c r="BP201" s="267" t="e">
        <f t="shared" si="37"/>
        <v>#REF!</v>
      </c>
      <c r="BQ201" s="267" t="e">
        <f t="shared" si="38"/>
        <v>#REF!</v>
      </c>
      <c r="BR201" s="173" t="e">
        <f>BR202+BR203+BR204+BR205+BR206+BR207+BR208</f>
        <v>#REF!</v>
      </c>
      <c r="BS201" s="174"/>
      <c r="BT201" s="174"/>
      <c r="BU201" s="173" t="e">
        <f>BU202+BU203+BU204+BU205+BU206+BU207+BU208</f>
        <v>#REF!</v>
      </c>
      <c r="BV201" s="174"/>
      <c r="BW201" s="174"/>
      <c r="BX201" s="267" t="e">
        <f t="shared" si="39"/>
        <v>#REF!</v>
      </c>
      <c r="BY201" s="267" t="e">
        <f t="shared" si="40"/>
        <v>#REF!</v>
      </c>
      <c r="BZ201" s="173" t="e">
        <f>BZ202+BZ203+BZ204+BZ205+BZ206+BZ207+BZ208</f>
        <v>#REF!</v>
      </c>
      <c r="CA201" s="174"/>
      <c r="CB201" s="174"/>
      <c r="CC201" s="173" t="e">
        <f>CC202+CC203+CC204+CC205+CC206+CC207+CC208</f>
        <v>#REF!</v>
      </c>
      <c r="CD201" s="174"/>
      <c r="CE201" s="174"/>
      <c r="CF201" s="267" t="e">
        <f t="shared" si="41"/>
        <v>#REF!</v>
      </c>
      <c r="CG201" s="267" t="e">
        <f t="shared" si="42"/>
        <v>#REF!</v>
      </c>
      <c r="CH201" s="173" t="e">
        <f>CH202+CH203+CH204+CH205+CH206+CH207+CH208</f>
        <v>#REF!</v>
      </c>
      <c r="CI201" s="174"/>
      <c r="CJ201" s="174"/>
      <c r="CK201" s="173" t="e">
        <f>CK202+CK203+CK204+CK205+CK206+CK207+CK208</f>
        <v>#REF!</v>
      </c>
      <c r="CL201" s="174"/>
      <c r="CM201" s="174"/>
      <c r="CN201" s="267" t="e">
        <f t="shared" si="43"/>
        <v>#REF!</v>
      </c>
      <c r="CO201" s="267" t="e">
        <f t="shared" si="44"/>
        <v>#REF!</v>
      </c>
      <c r="CP201" s="92"/>
      <c r="CQ201" s="85"/>
      <c r="CR201" s="85"/>
      <c r="CS201" s="85"/>
      <c r="CT201" s="99" t="e">
        <f t="shared" si="45"/>
        <v>#REF!</v>
      </c>
      <c r="CU201" s="100" t="e">
        <f>CU202+CU203+CU204+CU205+CU206+CU207+CU208</f>
        <v>#REF!</v>
      </c>
      <c r="CV201" s="101"/>
      <c r="CW201" s="101"/>
      <c r="CX201" s="101"/>
      <c r="CY201" s="101"/>
      <c r="CZ201" s="101"/>
      <c r="DA201" s="101"/>
      <c r="DB201" s="101"/>
    </row>
    <row r="202" spans="3:106" ht="14.25" customHeight="1" outlineLevel="5" x14ac:dyDescent="0.25">
      <c r="C202" s="2" t="s">
        <v>84</v>
      </c>
      <c r="D202" s="2" t="s">
        <v>85</v>
      </c>
      <c r="E202" s="2" t="s">
        <v>74</v>
      </c>
      <c r="F202" s="2" t="s">
        <v>75</v>
      </c>
      <c r="G202" s="2" t="s">
        <v>265</v>
      </c>
      <c r="H202" s="2" t="s">
        <v>74</v>
      </c>
      <c r="I202" s="2" t="s">
        <v>74</v>
      </c>
      <c r="K202" s="5" t="s">
        <v>74</v>
      </c>
      <c r="L202" s="2" t="s">
        <v>196</v>
      </c>
      <c r="M202" s="8" t="str">
        <f t="array" ref="M202">Y107</f>
        <v>1ВО::1.1</v>
      </c>
      <c r="AA202" s="107" t="str">
        <f>AA201&amp;".1"</f>
        <v>3.1.1.3.1.1</v>
      </c>
      <c r="AB202" s="199" t="s">
        <v>266</v>
      </c>
      <c r="AC202" s="197" t="s">
        <v>114</v>
      </c>
      <c r="AD202" s="136">
        <v>660.98962376439999</v>
      </c>
      <c r="AE202" s="136">
        <v>699.68263575670005</v>
      </c>
      <c r="AF202" s="195">
        <v>807.12374791779996</v>
      </c>
      <c r="AG202" s="202"/>
      <c r="AH202" s="202"/>
      <c r="AI202" s="136">
        <v>807.12374791779996</v>
      </c>
      <c r="AJ202" s="202"/>
      <c r="AK202" s="202"/>
      <c r="AL202" s="202"/>
      <c r="AM202" s="202"/>
      <c r="AN202" s="203">
        <f t="array" ref="AN202">IF('ВО-2021-2025'!$AN$81="Методика",IF('ВО-2021-2025'!AI$158=0,0,'ВО-2021-2025'!AI202/'ВО-2021-2025'!AI$158*'ВО-2021-2025'!AN$159),[1]Адм.расходы!BT161)</f>
        <v>1126.425</v>
      </c>
      <c r="AO202" s="195">
        <v>885.98</v>
      </c>
      <c r="AP202" s="202"/>
      <c r="AQ202" s="202"/>
      <c r="AR202" s="136">
        <v>885.98</v>
      </c>
      <c r="AS202" s="202"/>
      <c r="AT202" s="202"/>
      <c r="AU202" s="203">
        <f t="array" ref="AU202">[1]Адм.расходы!BY161</f>
        <v>0</v>
      </c>
      <c r="AV202" s="195">
        <v>913.95924839999998</v>
      </c>
      <c r="AW202" s="202"/>
      <c r="AX202" s="202"/>
      <c r="AY202" s="136">
        <v>913.95924839999998</v>
      </c>
      <c r="AZ202" s="202"/>
      <c r="BA202" s="202"/>
      <c r="BB202" s="202"/>
      <c r="BC202" s="202"/>
      <c r="BD202" s="204" t="e">
        <f>'ВО-2021-2025'!$AR$202*'ВО-2021-2025'!$BD$112</f>
        <v>#REF!</v>
      </c>
      <c r="BE202" s="202"/>
      <c r="BF202" s="202"/>
      <c r="BG202" s="267" t="e">
        <f t="shared" si="35"/>
        <v>#REF!</v>
      </c>
      <c r="BH202" s="267" t="e">
        <f>BD202-#REF!</f>
        <v>#REF!</v>
      </c>
      <c r="BI202" s="267" t="e">
        <f t="shared" si="36"/>
        <v>#REF!</v>
      </c>
      <c r="BJ202" s="136" t="e">
        <f>#REF!*BJ$111</f>
        <v>#REF!</v>
      </c>
      <c r="BK202" s="202"/>
      <c r="BL202" s="202"/>
      <c r="BM202" s="136" t="e">
        <f t="shared" ref="BM202:BM208" si="46">BD202*BM$111</f>
        <v>#REF!</v>
      </c>
      <c r="BN202" s="202"/>
      <c r="BO202" s="202"/>
      <c r="BP202" s="267" t="e">
        <f t="shared" si="37"/>
        <v>#REF!</v>
      </c>
      <c r="BQ202" s="267" t="e">
        <f t="shared" si="38"/>
        <v>#REF!</v>
      </c>
      <c r="BR202" s="136" t="e">
        <f t="shared" ref="BR202:BR208" si="47">BJ202*BR$111</f>
        <v>#REF!</v>
      </c>
      <c r="BS202" s="202"/>
      <c r="BT202" s="202"/>
      <c r="BU202" s="136" t="e">
        <f t="shared" ref="BU202:BU208" si="48">BM202*BU$111</f>
        <v>#REF!</v>
      </c>
      <c r="BV202" s="202"/>
      <c r="BW202" s="202"/>
      <c r="BX202" s="267" t="e">
        <f t="shared" si="39"/>
        <v>#REF!</v>
      </c>
      <c r="BY202" s="267" t="e">
        <f t="shared" si="40"/>
        <v>#REF!</v>
      </c>
      <c r="BZ202" s="136" t="e">
        <f t="shared" ref="BZ202:BZ208" si="49">BR202*BZ$111</f>
        <v>#REF!</v>
      </c>
      <c r="CA202" s="202"/>
      <c r="CB202" s="202"/>
      <c r="CC202" s="136" t="e">
        <f t="shared" ref="CC202:CC208" si="50">BU202*CC$111</f>
        <v>#REF!</v>
      </c>
      <c r="CD202" s="202"/>
      <c r="CE202" s="202"/>
      <c r="CF202" s="267" t="e">
        <f t="shared" si="41"/>
        <v>#REF!</v>
      </c>
      <c r="CG202" s="267" t="e">
        <f t="shared" si="42"/>
        <v>#REF!</v>
      </c>
      <c r="CH202" s="136" t="e">
        <f t="shared" ref="CH202:CH208" si="51">BZ202*CH$111</f>
        <v>#REF!</v>
      </c>
      <c r="CI202" s="202"/>
      <c r="CJ202" s="202"/>
      <c r="CK202" s="136" t="e">
        <f t="shared" ref="CK202:CK208" si="52">CC202*CK$111</f>
        <v>#REF!</v>
      </c>
      <c r="CL202" s="202"/>
      <c r="CM202" s="202"/>
      <c r="CN202" s="267" t="e">
        <f t="shared" si="43"/>
        <v>#REF!</v>
      </c>
      <c r="CO202" s="267" t="e">
        <f t="shared" si="44"/>
        <v>#REF!</v>
      </c>
      <c r="CP202" s="92"/>
      <c r="CQ202" s="85"/>
      <c r="CR202" s="85"/>
      <c r="CS202" s="85"/>
      <c r="CT202" s="99" t="e">
        <f t="shared" si="45"/>
        <v>#REF!</v>
      </c>
      <c r="CU202" s="99" t="e">
        <f t="array" ref="CU202">BD202</f>
        <v>#REF!</v>
      </c>
      <c r="CV202" s="101"/>
      <c r="CW202" s="101"/>
      <c r="CX202" s="101"/>
      <c r="CY202" s="101"/>
      <c r="CZ202" s="101"/>
      <c r="DA202" s="101"/>
      <c r="DB202" s="101"/>
    </row>
    <row r="203" spans="3:106" ht="14.25" customHeight="1" outlineLevel="5" x14ac:dyDescent="0.25">
      <c r="C203" s="2" t="s">
        <v>84</v>
      </c>
      <c r="D203" s="2" t="s">
        <v>85</v>
      </c>
      <c r="E203" s="2" t="s">
        <v>74</v>
      </c>
      <c r="F203" s="2" t="s">
        <v>75</v>
      </c>
      <c r="G203" s="2" t="s">
        <v>267</v>
      </c>
      <c r="H203" s="2" t="s">
        <v>74</v>
      </c>
      <c r="I203" s="2" t="s">
        <v>74</v>
      </c>
      <c r="K203" s="5" t="s">
        <v>74</v>
      </c>
      <c r="L203" s="2" t="s">
        <v>196</v>
      </c>
      <c r="M203" s="8" t="str">
        <f t="array" ref="M203">Y107</f>
        <v>1ВО::1.1</v>
      </c>
      <c r="AA203" s="107" t="str">
        <f>AA201&amp;".2"</f>
        <v>3.1.1.3.1.2</v>
      </c>
      <c r="AB203" s="199" t="s">
        <v>268</v>
      </c>
      <c r="AC203" s="197" t="s">
        <v>114</v>
      </c>
      <c r="AD203" s="136"/>
      <c r="AE203" s="136"/>
      <c r="AF203" s="195"/>
      <c r="AG203" s="202"/>
      <c r="AH203" s="202"/>
      <c r="AI203" s="136">
        <f t="array" ref="AI203">'ВО-2021-2025'!$AF$203</f>
        <v>0</v>
      </c>
      <c r="AJ203" s="202"/>
      <c r="AK203" s="202"/>
      <c r="AL203" s="202"/>
      <c r="AM203" s="202"/>
      <c r="AN203" s="203">
        <f t="array" ref="AN203">IF('ВО-2021-2025'!$AN$81="Методика",IF('ВО-2021-2025'!AI$158=0,0,'ВО-2021-2025'!AI203/'ВО-2021-2025'!AI$158*'ВО-2021-2025'!AN$159),[1]Адм.расходы!BT162)</f>
        <v>0</v>
      </c>
      <c r="AO203" s="195"/>
      <c r="AP203" s="202"/>
      <c r="AQ203" s="202"/>
      <c r="AR203" s="136">
        <f t="array" ref="AR203">'ВО-2021-2025'!$AO$203</f>
        <v>0</v>
      </c>
      <c r="AS203" s="202"/>
      <c r="AT203" s="202"/>
      <c r="AU203" s="203">
        <f t="array" ref="AU203">[1]Адм.расходы!BY162</f>
        <v>0</v>
      </c>
      <c r="AV203" s="195">
        <v>0</v>
      </c>
      <c r="AW203" s="202"/>
      <c r="AX203" s="202"/>
      <c r="AY203" s="136">
        <f>IF(AY$88,AR203*AY$112,AV203*1)</f>
        <v>0</v>
      </c>
      <c r="AZ203" s="202"/>
      <c r="BA203" s="202"/>
      <c r="BB203" s="202"/>
      <c r="BC203" s="202"/>
      <c r="BD203" s="204" t="e">
        <f>'ВО-2021-2025'!$AR$203*'ВО-2021-2025'!$BD$112</f>
        <v>#REF!</v>
      </c>
      <c r="BE203" s="202"/>
      <c r="BF203" s="202"/>
      <c r="BG203" s="267">
        <f t="shared" si="35"/>
        <v>0</v>
      </c>
      <c r="BH203" s="267" t="e">
        <f>BD203-#REF!</f>
        <v>#REF!</v>
      </c>
      <c r="BI203" s="267" t="e">
        <f t="shared" si="36"/>
        <v>#REF!</v>
      </c>
      <c r="BJ203" s="136" t="e">
        <f>#REF!*BJ$111</f>
        <v>#REF!</v>
      </c>
      <c r="BK203" s="202"/>
      <c r="BL203" s="202"/>
      <c r="BM203" s="136" t="e">
        <f t="shared" si="46"/>
        <v>#REF!</v>
      </c>
      <c r="BN203" s="202"/>
      <c r="BO203" s="202"/>
      <c r="BP203" s="267" t="e">
        <f t="shared" si="37"/>
        <v>#REF!</v>
      </c>
      <c r="BQ203" s="267" t="e">
        <f t="shared" si="38"/>
        <v>#REF!</v>
      </c>
      <c r="BR203" s="136" t="e">
        <f t="shared" si="47"/>
        <v>#REF!</v>
      </c>
      <c r="BS203" s="202"/>
      <c r="BT203" s="202"/>
      <c r="BU203" s="136" t="e">
        <f t="shared" si="48"/>
        <v>#REF!</v>
      </c>
      <c r="BV203" s="202"/>
      <c r="BW203" s="202"/>
      <c r="BX203" s="267" t="e">
        <f t="shared" si="39"/>
        <v>#REF!</v>
      </c>
      <c r="BY203" s="267" t="e">
        <f t="shared" si="40"/>
        <v>#REF!</v>
      </c>
      <c r="BZ203" s="136" t="e">
        <f t="shared" si="49"/>
        <v>#REF!</v>
      </c>
      <c r="CA203" s="202"/>
      <c r="CB203" s="202"/>
      <c r="CC203" s="136" t="e">
        <f t="shared" si="50"/>
        <v>#REF!</v>
      </c>
      <c r="CD203" s="202"/>
      <c r="CE203" s="202"/>
      <c r="CF203" s="267" t="e">
        <f t="shared" si="41"/>
        <v>#REF!</v>
      </c>
      <c r="CG203" s="267" t="e">
        <f t="shared" si="42"/>
        <v>#REF!</v>
      </c>
      <c r="CH203" s="136" t="e">
        <f t="shared" si="51"/>
        <v>#REF!</v>
      </c>
      <c r="CI203" s="202"/>
      <c r="CJ203" s="202"/>
      <c r="CK203" s="136" t="e">
        <f t="shared" si="52"/>
        <v>#REF!</v>
      </c>
      <c r="CL203" s="202"/>
      <c r="CM203" s="202"/>
      <c r="CN203" s="267" t="e">
        <f t="shared" si="43"/>
        <v>#REF!</v>
      </c>
      <c r="CO203" s="267" t="e">
        <f t="shared" si="44"/>
        <v>#REF!</v>
      </c>
      <c r="CP203" s="92"/>
      <c r="CQ203" s="85"/>
      <c r="CR203" s="85"/>
      <c r="CS203" s="85"/>
      <c r="CT203" s="99" t="e">
        <f t="shared" si="45"/>
        <v>#REF!</v>
      </c>
      <c r="CU203" s="99" t="e">
        <f t="array" ref="CU203">BD203</f>
        <v>#REF!</v>
      </c>
      <c r="CV203" s="101"/>
      <c r="CW203" s="101"/>
      <c r="CX203" s="101"/>
      <c r="CY203" s="101"/>
      <c r="CZ203" s="101"/>
      <c r="DA203" s="101"/>
      <c r="DB203" s="101"/>
    </row>
    <row r="204" spans="3:106" ht="14.25" customHeight="1" outlineLevel="5" x14ac:dyDescent="0.25">
      <c r="C204" s="2" t="s">
        <v>84</v>
      </c>
      <c r="D204" s="2" t="s">
        <v>85</v>
      </c>
      <c r="E204" s="2" t="s">
        <v>74</v>
      </c>
      <c r="F204" s="2" t="s">
        <v>75</v>
      </c>
      <c r="G204" s="2" t="s">
        <v>269</v>
      </c>
      <c r="H204" s="2" t="s">
        <v>74</v>
      </c>
      <c r="I204" s="2" t="s">
        <v>74</v>
      </c>
      <c r="K204" s="5" t="s">
        <v>74</v>
      </c>
      <c r="L204" s="2" t="s">
        <v>196</v>
      </c>
      <c r="M204" s="8" t="str">
        <f t="array" ref="M204">Y107</f>
        <v>1ВО::1.1</v>
      </c>
      <c r="AA204" s="107" t="str">
        <f>AA201&amp;".3"</f>
        <v>3.1.1.3.1.3</v>
      </c>
      <c r="AB204" s="199" t="s">
        <v>270</v>
      </c>
      <c r="AC204" s="197" t="s">
        <v>114</v>
      </c>
      <c r="AD204" s="136"/>
      <c r="AE204" s="136"/>
      <c r="AF204" s="195"/>
      <c r="AG204" s="202"/>
      <c r="AH204" s="202"/>
      <c r="AI204" s="136">
        <f t="array" ref="AI204">'ВО-2021-2025'!$AF$204</f>
        <v>0</v>
      </c>
      <c r="AJ204" s="202"/>
      <c r="AK204" s="202"/>
      <c r="AL204" s="202"/>
      <c r="AM204" s="202"/>
      <c r="AN204" s="203">
        <f t="array" ref="AN204">IF('ВО-2021-2025'!$AN$81="Методика",IF('ВО-2021-2025'!AI$158=0,0,'ВО-2021-2025'!AI204/'ВО-2021-2025'!AI$158*'ВО-2021-2025'!AN$159),[1]Адм.расходы!BT163)</f>
        <v>154.44</v>
      </c>
      <c r="AO204" s="195"/>
      <c r="AP204" s="202"/>
      <c r="AQ204" s="202"/>
      <c r="AR204" s="136">
        <f t="array" ref="AR204">'ВО-2021-2025'!$AO$204</f>
        <v>0</v>
      </c>
      <c r="AS204" s="202"/>
      <c r="AT204" s="202"/>
      <c r="AU204" s="203">
        <f t="array" ref="AU204">[1]Адм.расходы!BY163</f>
        <v>0</v>
      </c>
      <c r="AV204" s="195">
        <v>0</v>
      </c>
      <c r="AW204" s="202"/>
      <c r="AX204" s="202"/>
      <c r="AY204" s="136">
        <f>IF(AY$88,AR204*AY$112,AV204*1)</f>
        <v>0</v>
      </c>
      <c r="AZ204" s="202"/>
      <c r="BA204" s="202"/>
      <c r="BB204" s="202"/>
      <c r="BC204" s="202"/>
      <c r="BD204" s="204" t="e">
        <f>'ВО-2021-2025'!$AR$204*'ВО-2021-2025'!$BD$112</f>
        <v>#REF!</v>
      </c>
      <c r="BE204" s="202"/>
      <c r="BF204" s="202"/>
      <c r="BG204" s="267">
        <f t="shared" si="35"/>
        <v>0</v>
      </c>
      <c r="BH204" s="267" t="e">
        <f>BD204-#REF!</f>
        <v>#REF!</v>
      </c>
      <c r="BI204" s="267" t="e">
        <f t="shared" si="36"/>
        <v>#REF!</v>
      </c>
      <c r="BJ204" s="136" t="e">
        <f>#REF!*BJ$111</f>
        <v>#REF!</v>
      </c>
      <c r="BK204" s="202"/>
      <c r="BL204" s="202"/>
      <c r="BM204" s="136" t="e">
        <f t="shared" si="46"/>
        <v>#REF!</v>
      </c>
      <c r="BN204" s="202"/>
      <c r="BO204" s="202"/>
      <c r="BP204" s="267" t="e">
        <f t="shared" si="37"/>
        <v>#REF!</v>
      </c>
      <c r="BQ204" s="267" t="e">
        <f t="shared" si="38"/>
        <v>#REF!</v>
      </c>
      <c r="BR204" s="136" t="e">
        <f t="shared" si="47"/>
        <v>#REF!</v>
      </c>
      <c r="BS204" s="202"/>
      <c r="BT204" s="202"/>
      <c r="BU204" s="136" t="e">
        <f t="shared" si="48"/>
        <v>#REF!</v>
      </c>
      <c r="BV204" s="202"/>
      <c r="BW204" s="202"/>
      <c r="BX204" s="267" t="e">
        <f t="shared" si="39"/>
        <v>#REF!</v>
      </c>
      <c r="BY204" s="267" t="e">
        <f t="shared" si="40"/>
        <v>#REF!</v>
      </c>
      <c r="BZ204" s="136" t="e">
        <f t="shared" si="49"/>
        <v>#REF!</v>
      </c>
      <c r="CA204" s="202"/>
      <c r="CB204" s="202"/>
      <c r="CC204" s="136" t="e">
        <f t="shared" si="50"/>
        <v>#REF!</v>
      </c>
      <c r="CD204" s="202"/>
      <c r="CE204" s="202"/>
      <c r="CF204" s="267" t="e">
        <f t="shared" si="41"/>
        <v>#REF!</v>
      </c>
      <c r="CG204" s="267" t="e">
        <f t="shared" si="42"/>
        <v>#REF!</v>
      </c>
      <c r="CH204" s="136" t="e">
        <f t="shared" si="51"/>
        <v>#REF!</v>
      </c>
      <c r="CI204" s="202"/>
      <c r="CJ204" s="202"/>
      <c r="CK204" s="136" t="e">
        <f t="shared" si="52"/>
        <v>#REF!</v>
      </c>
      <c r="CL204" s="202"/>
      <c r="CM204" s="202"/>
      <c r="CN204" s="267" t="e">
        <f t="shared" si="43"/>
        <v>#REF!</v>
      </c>
      <c r="CO204" s="267" t="e">
        <f t="shared" si="44"/>
        <v>#REF!</v>
      </c>
      <c r="CP204" s="92" t="s">
        <v>561</v>
      </c>
      <c r="CQ204" s="85"/>
      <c r="CR204" s="85"/>
      <c r="CS204" s="85"/>
      <c r="CT204" s="99" t="e">
        <f t="shared" si="45"/>
        <v>#REF!</v>
      </c>
      <c r="CU204" s="99" t="e">
        <f t="array" ref="CU204">BD204</f>
        <v>#REF!</v>
      </c>
      <c r="CV204" s="101"/>
      <c r="CW204" s="101"/>
      <c r="CX204" s="101"/>
      <c r="CY204" s="101"/>
      <c r="CZ204" s="101"/>
      <c r="DA204" s="101"/>
      <c r="DB204" s="101"/>
    </row>
    <row r="205" spans="3:106" ht="14.25" customHeight="1" outlineLevel="5" x14ac:dyDescent="0.25">
      <c r="C205" s="2" t="s">
        <v>84</v>
      </c>
      <c r="D205" s="2" t="s">
        <v>85</v>
      </c>
      <c r="E205" s="2" t="s">
        <v>74</v>
      </c>
      <c r="F205" s="2" t="s">
        <v>75</v>
      </c>
      <c r="G205" s="2" t="s">
        <v>271</v>
      </c>
      <c r="H205" s="2" t="s">
        <v>74</v>
      </c>
      <c r="I205" s="2" t="s">
        <v>74</v>
      </c>
      <c r="K205" s="5" t="s">
        <v>74</v>
      </c>
      <c r="L205" s="2" t="s">
        <v>196</v>
      </c>
      <c r="M205" s="8" t="str">
        <f t="array" ref="M205">Y107</f>
        <v>1ВО::1.1</v>
      </c>
      <c r="AA205" s="206" t="str">
        <f>AA201&amp;".4"</f>
        <v>3.1.1.3.1.4</v>
      </c>
      <c r="AB205" s="199" t="s">
        <v>272</v>
      </c>
      <c r="AC205" s="197" t="s">
        <v>114</v>
      </c>
      <c r="AD205" s="136">
        <v>137.14599463889999</v>
      </c>
      <c r="AE205" s="136">
        <v>145.17424716279999</v>
      </c>
      <c r="AF205" s="195">
        <v>167.46675776009999</v>
      </c>
      <c r="AG205" s="202"/>
      <c r="AH205" s="202"/>
      <c r="AI205" s="136">
        <v>167.46675776009999</v>
      </c>
      <c r="AJ205" s="202"/>
      <c r="AK205" s="202"/>
      <c r="AL205" s="202"/>
      <c r="AM205" s="202"/>
      <c r="AN205" s="203">
        <f t="array" ref="AN205">IF('ВО-2021-2025'!$AN$81="Методика",IF('ВО-2021-2025'!AI$158=0,0,'ВО-2021-2025'!AI205/'ВО-2021-2025'!AI$158*'ВО-2021-2025'!AN$159),[1]Адм.расходы!BT164)</f>
        <v>1161.213</v>
      </c>
      <c r="AO205" s="195">
        <v>1053.43</v>
      </c>
      <c r="AP205" s="202"/>
      <c r="AQ205" s="202"/>
      <c r="AR205" s="136">
        <v>1053.43</v>
      </c>
      <c r="AS205" s="202"/>
      <c r="AT205" s="202"/>
      <c r="AU205" s="203">
        <f t="array" ref="AU205">[1]Адм.расходы!BY164</f>
        <v>0</v>
      </c>
      <c r="AV205" s="195">
        <v>1086.6973194</v>
      </c>
      <c r="AW205" s="202"/>
      <c r="AX205" s="202"/>
      <c r="AY205" s="136">
        <v>1086.6973194</v>
      </c>
      <c r="AZ205" s="202"/>
      <c r="BA205" s="202"/>
      <c r="BB205" s="202"/>
      <c r="BC205" s="202"/>
      <c r="BD205" s="204" t="e">
        <f>'ВО-2021-2025'!$AR$205*'ВО-2021-2025'!$BD$112</f>
        <v>#REF!</v>
      </c>
      <c r="BE205" s="202"/>
      <c r="BF205" s="202"/>
      <c r="BG205" s="267" t="e">
        <f t="shared" si="35"/>
        <v>#REF!</v>
      </c>
      <c r="BH205" s="267" t="e">
        <f>BD205-#REF!</f>
        <v>#REF!</v>
      </c>
      <c r="BI205" s="267" t="e">
        <f t="shared" si="36"/>
        <v>#REF!</v>
      </c>
      <c r="BJ205" s="136" t="e">
        <f>#REF!*BJ$111</f>
        <v>#REF!</v>
      </c>
      <c r="BK205" s="202"/>
      <c r="BL205" s="202"/>
      <c r="BM205" s="136" t="e">
        <f t="shared" si="46"/>
        <v>#REF!</v>
      </c>
      <c r="BN205" s="202"/>
      <c r="BO205" s="202"/>
      <c r="BP205" s="267" t="e">
        <f t="shared" si="37"/>
        <v>#REF!</v>
      </c>
      <c r="BQ205" s="267" t="e">
        <f t="shared" si="38"/>
        <v>#REF!</v>
      </c>
      <c r="BR205" s="136" t="e">
        <f t="shared" si="47"/>
        <v>#REF!</v>
      </c>
      <c r="BS205" s="202"/>
      <c r="BT205" s="202"/>
      <c r="BU205" s="136" t="e">
        <f t="shared" si="48"/>
        <v>#REF!</v>
      </c>
      <c r="BV205" s="202"/>
      <c r="BW205" s="202"/>
      <c r="BX205" s="267" t="e">
        <f t="shared" si="39"/>
        <v>#REF!</v>
      </c>
      <c r="BY205" s="267" t="e">
        <f t="shared" si="40"/>
        <v>#REF!</v>
      </c>
      <c r="BZ205" s="136" t="e">
        <f t="shared" si="49"/>
        <v>#REF!</v>
      </c>
      <c r="CA205" s="202"/>
      <c r="CB205" s="202"/>
      <c r="CC205" s="136" t="e">
        <f t="shared" si="50"/>
        <v>#REF!</v>
      </c>
      <c r="CD205" s="202"/>
      <c r="CE205" s="202"/>
      <c r="CF205" s="267" t="e">
        <f t="shared" si="41"/>
        <v>#REF!</v>
      </c>
      <c r="CG205" s="267" t="e">
        <f t="shared" si="42"/>
        <v>#REF!</v>
      </c>
      <c r="CH205" s="136" t="e">
        <f t="shared" si="51"/>
        <v>#REF!</v>
      </c>
      <c r="CI205" s="202"/>
      <c r="CJ205" s="202"/>
      <c r="CK205" s="136" t="e">
        <f t="shared" si="52"/>
        <v>#REF!</v>
      </c>
      <c r="CL205" s="202"/>
      <c r="CM205" s="202"/>
      <c r="CN205" s="267" t="e">
        <f t="shared" si="43"/>
        <v>#REF!</v>
      </c>
      <c r="CO205" s="267" t="e">
        <f t="shared" si="44"/>
        <v>#REF!</v>
      </c>
      <c r="CP205" s="92"/>
      <c r="CQ205" s="85"/>
      <c r="CR205" s="85"/>
      <c r="CS205" s="85"/>
      <c r="CT205" s="99" t="e">
        <f t="shared" si="45"/>
        <v>#REF!</v>
      </c>
      <c r="CU205" s="99" t="e">
        <f t="array" ref="CU205">BD205</f>
        <v>#REF!</v>
      </c>
      <c r="CV205" s="101"/>
      <c r="CW205" s="101"/>
      <c r="CX205" s="101"/>
      <c r="CY205" s="101"/>
      <c r="CZ205" s="101"/>
      <c r="DA205" s="101"/>
      <c r="DB205" s="101"/>
    </row>
    <row r="206" spans="3:106" ht="14.25" customHeight="1" outlineLevel="5" x14ac:dyDescent="0.25">
      <c r="C206" s="2" t="s">
        <v>84</v>
      </c>
      <c r="D206" s="2" t="s">
        <v>85</v>
      </c>
      <c r="E206" s="2" t="s">
        <v>74</v>
      </c>
      <c r="F206" s="2" t="s">
        <v>75</v>
      </c>
      <c r="G206" s="2" t="s">
        <v>273</v>
      </c>
      <c r="H206" s="2" t="s">
        <v>74</v>
      </c>
      <c r="I206" s="2" t="s">
        <v>74</v>
      </c>
      <c r="K206" s="5" t="s">
        <v>74</v>
      </c>
      <c r="L206" s="2" t="s">
        <v>196</v>
      </c>
      <c r="M206" s="8" t="str">
        <f t="array" ref="M206">Y107</f>
        <v>1ВО::1.1</v>
      </c>
      <c r="AA206" s="206" t="str">
        <f>AA201&amp;".5"</f>
        <v>3.1.1.3.1.5</v>
      </c>
      <c r="AB206" s="199" t="s">
        <v>274</v>
      </c>
      <c r="AC206" s="197" t="s">
        <v>114</v>
      </c>
      <c r="AD206" s="136">
        <v>431.69342459810002</v>
      </c>
      <c r="AE206" s="136">
        <v>456.96389519920001</v>
      </c>
      <c r="AF206" s="195">
        <v>527.13386456620003</v>
      </c>
      <c r="AG206" s="202"/>
      <c r="AH206" s="202"/>
      <c r="AI206" s="136">
        <v>527.13386456620003</v>
      </c>
      <c r="AJ206" s="202"/>
      <c r="AK206" s="202"/>
      <c r="AL206" s="202"/>
      <c r="AM206" s="202"/>
      <c r="AN206" s="203">
        <f t="array" ref="AN206">IF('ВО-2021-2025'!$AN$81="Методика",IF('ВО-2021-2025'!AI$158=0,0,'ВО-2021-2025'!AI206/'ВО-2021-2025'!AI$158*'ВО-2021-2025'!AN$159),[1]Адм.расходы!BT165)</f>
        <v>1032.828</v>
      </c>
      <c r="AO206" s="195"/>
      <c r="AP206" s="202"/>
      <c r="AQ206" s="202"/>
      <c r="AR206" s="136">
        <f t="array" ref="AR206">'ВО-2021-2025'!$AO$206</f>
        <v>0</v>
      </c>
      <c r="AS206" s="202"/>
      <c r="AT206" s="202"/>
      <c r="AU206" s="203">
        <f t="array" ref="AU206">[1]Адм.расходы!BY165</f>
        <v>0</v>
      </c>
      <c r="AV206" s="195">
        <v>0</v>
      </c>
      <c r="AW206" s="202"/>
      <c r="AX206" s="202"/>
      <c r="AY206" s="136">
        <f>IF(AY$88,AR206*AY$112,AV206*1)</f>
        <v>0</v>
      </c>
      <c r="AZ206" s="202"/>
      <c r="BA206" s="202"/>
      <c r="BB206" s="202"/>
      <c r="BC206" s="202"/>
      <c r="BD206" s="204" t="e">
        <f>'ВО-2021-2025'!$AR$206*'ВО-2021-2025'!$BD$112</f>
        <v>#REF!</v>
      </c>
      <c r="BE206" s="202"/>
      <c r="BF206" s="202"/>
      <c r="BG206" s="267">
        <f t="shared" si="35"/>
        <v>0</v>
      </c>
      <c r="BH206" s="267" t="e">
        <f>BD206-#REF!</f>
        <v>#REF!</v>
      </c>
      <c r="BI206" s="267" t="e">
        <f t="shared" si="36"/>
        <v>#REF!</v>
      </c>
      <c r="BJ206" s="136" t="e">
        <f>#REF!*BJ$111</f>
        <v>#REF!</v>
      </c>
      <c r="BK206" s="202"/>
      <c r="BL206" s="202"/>
      <c r="BM206" s="136" t="e">
        <f t="shared" si="46"/>
        <v>#REF!</v>
      </c>
      <c r="BN206" s="202"/>
      <c r="BO206" s="202"/>
      <c r="BP206" s="267" t="e">
        <f t="shared" si="37"/>
        <v>#REF!</v>
      </c>
      <c r="BQ206" s="267" t="e">
        <f t="shared" si="38"/>
        <v>#REF!</v>
      </c>
      <c r="BR206" s="136" t="e">
        <f t="shared" si="47"/>
        <v>#REF!</v>
      </c>
      <c r="BS206" s="202"/>
      <c r="BT206" s="202"/>
      <c r="BU206" s="136" t="e">
        <f t="shared" si="48"/>
        <v>#REF!</v>
      </c>
      <c r="BV206" s="202"/>
      <c r="BW206" s="202"/>
      <c r="BX206" s="267" t="e">
        <f t="shared" si="39"/>
        <v>#REF!</v>
      </c>
      <c r="BY206" s="267" t="e">
        <f t="shared" si="40"/>
        <v>#REF!</v>
      </c>
      <c r="BZ206" s="136" t="e">
        <f t="shared" si="49"/>
        <v>#REF!</v>
      </c>
      <c r="CA206" s="202"/>
      <c r="CB206" s="202"/>
      <c r="CC206" s="136" t="e">
        <f t="shared" si="50"/>
        <v>#REF!</v>
      </c>
      <c r="CD206" s="202"/>
      <c r="CE206" s="202"/>
      <c r="CF206" s="267" t="e">
        <f t="shared" si="41"/>
        <v>#REF!</v>
      </c>
      <c r="CG206" s="267" t="e">
        <f t="shared" si="42"/>
        <v>#REF!</v>
      </c>
      <c r="CH206" s="136" t="e">
        <f t="shared" si="51"/>
        <v>#REF!</v>
      </c>
      <c r="CI206" s="202"/>
      <c r="CJ206" s="202"/>
      <c r="CK206" s="136" t="e">
        <f t="shared" si="52"/>
        <v>#REF!</v>
      </c>
      <c r="CL206" s="202"/>
      <c r="CM206" s="202"/>
      <c r="CN206" s="267" t="e">
        <f t="shared" si="43"/>
        <v>#REF!</v>
      </c>
      <c r="CO206" s="267" t="e">
        <f t="shared" si="44"/>
        <v>#REF!</v>
      </c>
      <c r="CP206" s="92"/>
      <c r="CQ206" s="85"/>
      <c r="CR206" s="85"/>
      <c r="CS206" s="85"/>
      <c r="CT206" s="99" t="e">
        <f t="shared" si="45"/>
        <v>#REF!</v>
      </c>
      <c r="CU206" s="99" t="e">
        <f t="array" ref="CU206">BD206</f>
        <v>#REF!</v>
      </c>
      <c r="CV206" s="101"/>
      <c r="CW206" s="101"/>
      <c r="CX206" s="101"/>
      <c r="CY206" s="101"/>
      <c r="CZ206" s="101"/>
      <c r="DA206" s="101"/>
      <c r="DB206" s="101"/>
    </row>
    <row r="207" spans="3:106" ht="14.25" customHeight="1" outlineLevel="5" x14ac:dyDescent="0.25">
      <c r="C207" s="2" t="s">
        <v>84</v>
      </c>
      <c r="D207" s="2" t="s">
        <v>85</v>
      </c>
      <c r="E207" s="2" t="s">
        <v>74</v>
      </c>
      <c r="F207" s="2" t="s">
        <v>75</v>
      </c>
      <c r="G207" s="2" t="s">
        <v>275</v>
      </c>
      <c r="H207" s="2" t="s">
        <v>74</v>
      </c>
      <c r="I207" s="2" t="s">
        <v>74</v>
      </c>
      <c r="J207" s="2" t="s">
        <v>74</v>
      </c>
      <c r="K207" s="5" t="s">
        <v>74</v>
      </c>
      <c r="L207" s="2" t="s">
        <v>196</v>
      </c>
      <c r="M207" s="8" t="str">
        <f t="array" ref="M207">Y107</f>
        <v>1ВО::1.1</v>
      </c>
      <c r="AA207" s="206" t="str">
        <f>AA201&amp;".6"</f>
        <v>3.1.1.3.1.6</v>
      </c>
      <c r="AB207" s="199" t="s">
        <v>276</v>
      </c>
      <c r="AC207" s="197" t="s">
        <v>114</v>
      </c>
      <c r="AD207" s="136"/>
      <c r="AE207" s="136"/>
      <c r="AF207" s="195"/>
      <c r="AG207" s="202"/>
      <c r="AH207" s="202"/>
      <c r="AI207" s="136">
        <f t="array" ref="AI207">'ВО-2021-2025'!$AF$207</f>
        <v>0</v>
      </c>
      <c r="AJ207" s="202"/>
      <c r="AK207" s="202"/>
      <c r="AL207" s="202"/>
      <c r="AM207" s="202"/>
      <c r="AN207" s="203">
        <f t="array" ref="AN207">IF('ВО-2021-2025'!$AN$81="Методика",IF('ВО-2021-2025'!AI$158=0,0,'ВО-2021-2025'!AI207/'ВО-2021-2025'!AI$158*'ВО-2021-2025'!AN$159),[1]Адм.расходы!BT166)</f>
        <v>4443.7640000000001</v>
      </c>
      <c r="AO207" s="195">
        <v>3581</v>
      </c>
      <c r="AP207" s="202"/>
      <c r="AQ207" s="202"/>
      <c r="AR207" s="136">
        <v>3581</v>
      </c>
      <c r="AS207" s="202"/>
      <c r="AT207" s="202"/>
      <c r="AU207" s="203">
        <f t="array" ref="AU207">[1]Адм.расходы!BY166</f>
        <v>0</v>
      </c>
      <c r="AV207" s="195">
        <v>3694.0879799999998</v>
      </c>
      <c r="AW207" s="202"/>
      <c r="AX207" s="202"/>
      <c r="AY207" s="136">
        <v>3694.0879799999998</v>
      </c>
      <c r="AZ207" s="202"/>
      <c r="BA207" s="202"/>
      <c r="BB207" s="202"/>
      <c r="BC207" s="202"/>
      <c r="BD207" s="204" t="e">
        <f>'ВО-2021-2025'!$AR$207*'ВО-2021-2025'!$BD$112</f>
        <v>#REF!</v>
      </c>
      <c r="BE207" s="202"/>
      <c r="BF207" s="202"/>
      <c r="BG207" s="267" t="e">
        <f t="shared" si="35"/>
        <v>#REF!</v>
      </c>
      <c r="BH207" s="267" t="e">
        <f>BD207-#REF!</f>
        <v>#REF!</v>
      </c>
      <c r="BI207" s="267" t="e">
        <f t="shared" si="36"/>
        <v>#REF!</v>
      </c>
      <c r="BJ207" s="136" t="e">
        <f>#REF!*BJ$111</f>
        <v>#REF!</v>
      </c>
      <c r="BK207" s="202"/>
      <c r="BL207" s="202"/>
      <c r="BM207" s="136" t="e">
        <f t="shared" si="46"/>
        <v>#REF!</v>
      </c>
      <c r="BN207" s="202"/>
      <c r="BO207" s="202"/>
      <c r="BP207" s="267" t="e">
        <f t="shared" si="37"/>
        <v>#REF!</v>
      </c>
      <c r="BQ207" s="267" t="e">
        <f t="shared" si="38"/>
        <v>#REF!</v>
      </c>
      <c r="BR207" s="136" t="e">
        <f t="shared" si="47"/>
        <v>#REF!</v>
      </c>
      <c r="BS207" s="202"/>
      <c r="BT207" s="202"/>
      <c r="BU207" s="136" t="e">
        <f t="shared" si="48"/>
        <v>#REF!</v>
      </c>
      <c r="BV207" s="202"/>
      <c r="BW207" s="202"/>
      <c r="BX207" s="267" t="e">
        <f t="shared" si="39"/>
        <v>#REF!</v>
      </c>
      <c r="BY207" s="267" t="e">
        <f t="shared" si="40"/>
        <v>#REF!</v>
      </c>
      <c r="BZ207" s="136" t="e">
        <f t="shared" si="49"/>
        <v>#REF!</v>
      </c>
      <c r="CA207" s="202"/>
      <c r="CB207" s="202"/>
      <c r="CC207" s="136" t="e">
        <f t="shared" si="50"/>
        <v>#REF!</v>
      </c>
      <c r="CD207" s="202"/>
      <c r="CE207" s="202"/>
      <c r="CF207" s="267" t="e">
        <f t="shared" si="41"/>
        <v>#REF!</v>
      </c>
      <c r="CG207" s="267" t="e">
        <f t="shared" si="42"/>
        <v>#REF!</v>
      </c>
      <c r="CH207" s="136" t="e">
        <f t="shared" si="51"/>
        <v>#REF!</v>
      </c>
      <c r="CI207" s="202"/>
      <c r="CJ207" s="202"/>
      <c r="CK207" s="136" t="e">
        <f t="shared" si="52"/>
        <v>#REF!</v>
      </c>
      <c r="CL207" s="202"/>
      <c r="CM207" s="202"/>
      <c r="CN207" s="267" t="e">
        <f t="shared" si="43"/>
        <v>#REF!</v>
      </c>
      <c r="CO207" s="267" t="e">
        <f t="shared" si="44"/>
        <v>#REF!</v>
      </c>
      <c r="CP207" s="92"/>
      <c r="CQ207" s="85"/>
      <c r="CR207" s="85"/>
      <c r="CS207" s="85"/>
      <c r="CT207" s="99" t="e">
        <f t="shared" si="45"/>
        <v>#REF!</v>
      </c>
      <c r="CU207" s="99" t="e">
        <f t="array" ref="CU207">BD207</f>
        <v>#REF!</v>
      </c>
      <c r="CV207" s="101"/>
      <c r="CW207" s="101"/>
      <c r="CX207" s="101"/>
      <c r="CY207" s="101"/>
      <c r="CZ207" s="101"/>
      <c r="DA207" s="101"/>
      <c r="DB207" s="101"/>
    </row>
    <row r="208" spans="3:106" ht="14.25" customHeight="1" outlineLevel="5" x14ac:dyDescent="0.25">
      <c r="C208" s="2" t="s">
        <v>84</v>
      </c>
      <c r="D208" s="2" t="s">
        <v>85</v>
      </c>
      <c r="E208" s="2" t="s">
        <v>74</v>
      </c>
      <c r="F208" s="2" t="s">
        <v>75</v>
      </c>
      <c r="G208" s="2" t="s">
        <v>277</v>
      </c>
      <c r="H208" s="2" t="s">
        <v>74</v>
      </c>
      <c r="I208" s="2" t="s">
        <v>74</v>
      </c>
      <c r="J208" s="2" t="s">
        <v>74</v>
      </c>
      <c r="K208" s="5" t="s">
        <v>74</v>
      </c>
      <c r="L208" s="2" t="s">
        <v>196</v>
      </c>
      <c r="M208" s="8" t="str">
        <f t="array" ref="M208">Y107</f>
        <v>1ВО::1.1</v>
      </c>
      <c r="AA208" s="206" t="str">
        <f>AA201&amp;".7"</f>
        <v>3.1.1.3.1.7</v>
      </c>
      <c r="AB208" s="199" t="s">
        <v>278</v>
      </c>
      <c r="AC208" s="197" t="s">
        <v>114</v>
      </c>
      <c r="AD208" s="136">
        <v>335.18929580629998</v>
      </c>
      <c r="AE208" s="136">
        <v>354.81060751230001</v>
      </c>
      <c r="AF208" s="195">
        <v>409.29423241529997</v>
      </c>
      <c r="AG208" s="202"/>
      <c r="AH208" s="202"/>
      <c r="AI208" s="136">
        <v>409.29423241529997</v>
      </c>
      <c r="AJ208" s="202"/>
      <c r="AK208" s="202"/>
      <c r="AL208" s="202"/>
      <c r="AM208" s="202"/>
      <c r="AN208" s="203">
        <f t="array" ref="AN208">IF('ВО-2021-2025'!$AN$81="Методика",IF('ВО-2021-2025'!AI$158=0,0,'ВО-2021-2025'!AI208/'ВО-2021-2025'!AI$158*'ВО-2021-2025'!AN$159),[1]Адм.расходы!BT167)</f>
        <v>0</v>
      </c>
      <c r="AO208" s="195"/>
      <c r="AP208" s="202"/>
      <c r="AQ208" s="202"/>
      <c r="AR208" s="136">
        <f t="array" ref="AR208">'ВО-2021-2025'!$AO$208</f>
        <v>0</v>
      </c>
      <c r="AS208" s="202"/>
      <c r="AT208" s="202"/>
      <c r="AU208" s="203">
        <f t="array" ref="AU208">[1]Адм.расходы!BY167</f>
        <v>0</v>
      </c>
      <c r="AV208" s="195">
        <v>0</v>
      </c>
      <c r="AW208" s="202"/>
      <c r="AX208" s="202"/>
      <c r="AY208" s="136">
        <f>IF(AY$88,AR208*AY$112,AV208*1)</f>
        <v>0</v>
      </c>
      <c r="AZ208" s="202"/>
      <c r="BA208" s="202"/>
      <c r="BB208" s="202"/>
      <c r="BC208" s="202"/>
      <c r="BD208" s="204" t="e">
        <f>'ВО-2021-2025'!$AR$208*'ВО-2021-2025'!$BD$112</f>
        <v>#REF!</v>
      </c>
      <c r="BE208" s="202"/>
      <c r="BF208" s="202"/>
      <c r="BG208" s="267">
        <f t="shared" si="35"/>
        <v>0</v>
      </c>
      <c r="BH208" s="267" t="e">
        <f>BD208-#REF!</f>
        <v>#REF!</v>
      </c>
      <c r="BI208" s="267" t="e">
        <f t="shared" si="36"/>
        <v>#REF!</v>
      </c>
      <c r="BJ208" s="136" t="e">
        <f>#REF!*BJ$111</f>
        <v>#REF!</v>
      </c>
      <c r="BK208" s="202"/>
      <c r="BL208" s="202"/>
      <c r="BM208" s="136" t="e">
        <f t="shared" si="46"/>
        <v>#REF!</v>
      </c>
      <c r="BN208" s="202"/>
      <c r="BO208" s="202"/>
      <c r="BP208" s="267" t="e">
        <f t="shared" si="37"/>
        <v>#REF!</v>
      </c>
      <c r="BQ208" s="267" t="e">
        <f t="shared" si="38"/>
        <v>#REF!</v>
      </c>
      <c r="BR208" s="136" t="e">
        <f t="shared" si="47"/>
        <v>#REF!</v>
      </c>
      <c r="BS208" s="202"/>
      <c r="BT208" s="202"/>
      <c r="BU208" s="136" t="e">
        <f t="shared" si="48"/>
        <v>#REF!</v>
      </c>
      <c r="BV208" s="202"/>
      <c r="BW208" s="202"/>
      <c r="BX208" s="267" t="e">
        <f t="shared" si="39"/>
        <v>#REF!</v>
      </c>
      <c r="BY208" s="267" t="e">
        <f t="shared" si="40"/>
        <v>#REF!</v>
      </c>
      <c r="BZ208" s="136" t="e">
        <f t="shared" si="49"/>
        <v>#REF!</v>
      </c>
      <c r="CA208" s="202"/>
      <c r="CB208" s="202"/>
      <c r="CC208" s="136" t="e">
        <f t="shared" si="50"/>
        <v>#REF!</v>
      </c>
      <c r="CD208" s="202"/>
      <c r="CE208" s="202"/>
      <c r="CF208" s="267" t="e">
        <f t="shared" si="41"/>
        <v>#REF!</v>
      </c>
      <c r="CG208" s="267" t="e">
        <f t="shared" si="42"/>
        <v>#REF!</v>
      </c>
      <c r="CH208" s="136" t="e">
        <f t="shared" si="51"/>
        <v>#REF!</v>
      </c>
      <c r="CI208" s="202"/>
      <c r="CJ208" s="202"/>
      <c r="CK208" s="136" t="e">
        <f t="shared" si="52"/>
        <v>#REF!</v>
      </c>
      <c r="CL208" s="202"/>
      <c r="CM208" s="202"/>
      <c r="CN208" s="267" t="e">
        <f t="shared" si="43"/>
        <v>#REF!</v>
      </c>
      <c r="CO208" s="267" t="e">
        <f t="shared" si="44"/>
        <v>#REF!</v>
      </c>
      <c r="CP208" s="92"/>
      <c r="CQ208" s="85"/>
      <c r="CR208" s="85"/>
      <c r="CS208" s="85"/>
      <c r="CT208" s="99" t="e">
        <f t="shared" si="45"/>
        <v>#REF!</v>
      </c>
      <c r="CU208" s="99" t="e">
        <f t="array" ref="CU208">BD208</f>
        <v>#REF!</v>
      </c>
      <c r="CV208" s="101"/>
      <c r="CW208" s="101"/>
      <c r="CX208" s="101"/>
      <c r="CY208" s="101"/>
      <c r="CZ208" s="101"/>
      <c r="DA208" s="101"/>
      <c r="DB208" s="101"/>
    </row>
    <row r="209" spans="3:106" ht="14.25" customHeight="1" outlineLevel="4" x14ac:dyDescent="0.25">
      <c r="C209" s="2" t="s">
        <v>84</v>
      </c>
      <c r="D209" s="2" t="s">
        <v>85</v>
      </c>
      <c r="E209" s="2" t="s">
        <v>74</v>
      </c>
      <c r="F209" s="2" t="s">
        <v>75</v>
      </c>
      <c r="G209" s="2" t="s">
        <v>205</v>
      </c>
      <c r="H209" s="2" t="s">
        <v>279</v>
      </c>
      <c r="I209" s="2" t="s">
        <v>74</v>
      </c>
      <c r="J209" s="2" t="s">
        <v>74</v>
      </c>
      <c r="K209" s="5" t="s">
        <v>74</v>
      </c>
      <c r="L209" s="2" t="s">
        <v>196</v>
      </c>
      <c r="M209" s="8" t="str">
        <f t="array" ref="M209">Y107</f>
        <v>1ВО::1.1</v>
      </c>
      <c r="AA209" s="206" t="str">
        <f>AA200&amp;".2"</f>
        <v>3.1.1.3.2</v>
      </c>
      <c r="AB209" s="198" t="s">
        <v>280</v>
      </c>
      <c r="AC209" s="197" t="s">
        <v>114</v>
      </c>
      <c r="AD209" s="173">
        <v>24965.2655082071</v>
      </c>
      <c r="AE209" s="173">
        <v>26426.682273268198</v>
      </c>
      <c r="AF209" s="173">
        <v>30484.682270792502</v>
      </c>
      <c r="AG209" s="174"/>
      <c r="AH209" s="174"/>
      <c r="AI209" s="173">
        <f>AI210+AI213</f>
        <v>30484.682270792502</v>
      </c>
      <c r="AJ209" s="174"/>
      <c r="AK209" s="174"/>
      <c r="AL209" s="174"/>
      <c r="AM209" s="174"/>
      <c r="AN209" s="173">
        <f>AN210+AN213</f>
        <v>72442.915000000008</v>
      </c>
      <c r="AO209" s="173">
        <v>47061.009966650396</v>
      </c>
      <c r="AP209" s="174"/>
      <c r="AQ209" s="174"/>
      <c r="AR209" s="173">
        <f>AR210+AR213</f>
        <v>47061.009966650396</v>
      </c>
      <c r="AS209" s="174"/>
      <c r="AT209" s="174"/>
      <c r="AU209" s="173">
        <f>AU210+AU213</f>
        <v>0</v>
      </c>
      <c r="AV209" s="173">
        <v>48547.196661397204</v>
      </c>
      <c r="AW209" s="174"/>
      <c r="AX209" s="174"/>
      <c r="AY209" s="173">
        <f>AY210+AY213</f>
        <v>48547.196661397204</v>
      </c>
      <c r="AZ209" s="174"/>
      <c r="BA209" s="174"/>
      <c r="BB209" s="174"/>
      <c r="BC209" s="174"/>
      <c r="BD209" s="173" t="e">
        <f>BD210+BD213</f>
        <v>#REF!</v>
      </c>
      <c r="BE209" s="174"/>
      <c r="BF209" s="174"/>
      <c r="BG209" s="267" t="e">
        <f t="shared" si="35"/>
        <v>#REF!</v>
      </c>
      <c r="BH209" s="267" t="e">
        <f>BD209-#REF!</f>
        <v>#REF!</v>
      </c>
      <c r="BI209" s="267" t="e">
        <f t="shared" si="36"/>
        <v>#REF!</v>
      </c>
      <c r="BJ209" s="173" t="e">
        <f>BJ210+BJ213</f>
        <v>#REF!</v>
      </c>
      <c r="BK209" s="174"/>
      <c r="BL209" s="174"/>
      <c r="BM209" s="173" t="e">
        <f>BM210+BM213</f>
        <v>#REF!</v>
      </c>
      <c r="BN209" s="174"/>
      <c r="BO209" s="174"/>
      <c r="BP209" s="267" t="e">
        <f t="shared" si="37"/>
        <v>#REF!</v>
      </c>
      <c r="BQ209" s="267" t="e">
        <f t="shared" si="38"/>
        <v>#REF!</v>
      </c>
      <c r="BR209" s="173" t="e">
        <f>BR210+BR213</f>
        <v>#REF!</v>
      </c>
      <c r="BS209" s="174"/>
      <c r="BT209" s="174"/>
      <c r="BU209" s="173" t="e">
        <f>BU210+BU213</f>
        <v>#REF!</v>
      </c>
      <c r="BV209" s="174"/>
      <c r="BW209" s="174"/>
      <c r="BX209" s="267" t="e">
        <f t="shared" si="39"/>
        <v>#REF!</v>
      </c>
      <c r="BY209" s="267" t="e">
        <f t="shared" si="40"/>
        <v>#REF!</v>
      </c>
      <c r="BZ209" s="173" t="e">
        <f>BZ210+BZ213</f>
        <v>#REF!</v>
      </c>
      <c r="CA209" s="174"/>
      <c r="CB209" s="174"/>
      <c r="CC209" s="173" t="e">
        <f>CC210+CC213</f>
        <v>#REF!</v>
      </c>
      <c r="CD209" s="174"/>
      <c r="CE209" s="174"/>
      <c r="CF209" s="267" t="e">
        <f t="shared" si="41"/>
        <v>#REF!</v>
      </c>
      <c r="CG209" s="267" t="e">
        <f t="shared" si="42"/>
        <v>#REF!</v>
      </c>
      <c r="CH209" s="173" t="e">
        <f>CH210+CH213</f>
        <v>#REF!</v>
      </c>
      <c r="CI209" s="174"/>
      <c r="CJ209" s="174"/>
      <c r="CK209" s="173" t="e">
        <f>CK210+CK213</f>
        <v>#REF!</v>
      </c>
      <c r="CL209" s="174"/>
      <c r="CM209" s="174"/>
      <c r="CN209" s="267" t="e">
        <f t="shared" si="43"/>
        <v>#REF!</v>
      </c>
      <c r="CO209" s="267" t="e">
        <f t="shared" si="44"/>
        <v>#REF!</v>
      </c>
      <c r="CP209" s="92"/>
      <c r="CQ209" s="85"/>
      <c r="CR209" s="85"/>
      <c r="CS209" s="85"/>
      <c r="CT209" s="99" t="e">
        <f t="shared" si="45"/>
        <v>#REF!</v>
      </c>
      <c r="CU209" s="100" t="e">
        <f>CU210+CU213</f>
        <v>#REF!</v>
      </c>
      <c r="CV209" s="101"/>
      <c r="CW209" s="101"/>
      <c r="CX209" s="101"/>
      <c r="CY209" s="101"/>
      <c r="CZ209" s="101"/>
      <c r="DA209" s="101"/>
      <c r="DB209" s="101"/>
    </row>
    <row r="210" spans="3:106" ht="14.25" customHeight="1" outlineLevel="5" x14ac:dyDescent="0.25">
      <c r="C210" s="2" t="s">
        <v>84</v>
      </c>
      <c r="D210" s="2" t="s">
        <v>85</v>
      </c>
      <c r="E210" s="2" t="s">
        <v>74</v>
      </c>
      <c r="F210" s="2" t="s">
        <v>75</v>
      </c>
      <c r="G210" s="2" t="s">
        <v>208</v>
      </c>
      <c r="H210" s="2" t="s">
        <v>279</v>
      </c>
      <c r="I210" s="2" t="s">
        <v>74</v>
      </c>
      <c r="J210" s="2" t="s">
        <v>74</v>
      </c>
      <c r="K210" s="5" t="s">
        <v>74</v>
      </c>
      <c r="L210" s="2" t="s">
        <v>196</v>
      </c>
      <c r="M210" s="8" t="str">
        <f t="array" ref="M210">Y107</f>
        <v>1ВО::1.1</v>
      </c>
      <c r="AA210" s="107" t="str">
        <f>AA209&amp;".1"</f>
        <v>3.1.1.3.2.1</v>
      </c>
      <c r="AB210" s="199" t="s">
        <v>281</v>
      </c>
      <c r="AC210" s="197" t="s">
        <v>114</v>
      </c>
      <c r="AD210" s="136">
        <v>19174.546236554801</v>
      </c>
      <c r="AE210" s="136">
        <v>20296.9858646584</v>
      </c>
      <c r="AF210" s="195">
        <v>23413.7285468017</v>
      </c>
      <c r="AG210" s="202"/>
      <c r="AH210" s="202"/>
      <c r="AI210" s="136">
        <v>23413.7285468017</v>
      </c>
      <c r="AJ210" s="202"/>
      <c r="AK210" s="202"/>
      <c r="AL210" s="202"/>
      <c r="AM210" s="202"/>
      <c r="AN210" s="203">
        <f t="array" ref="AN210">IF('ВО-2021-2025'!$AN$81="Методика",IF('ВО-2021-2025'!AI$158=0,0,'ВО-2021-2025'!AI210/'ВО-2021-2025'!AI$158*'ВО-2021-2025'!AN$159),[1]Адм.расходы!BT156)</f>
        <v>55639.72</v>
      </c>
      <c r="AO210" s="195">
        <v>36145.168945199999</v>
      </c>
      <c r="AP210" s="202"/>
      <c r="AQ210" s="202"/>
      <c r="AR210" s="136">
        <v>36145.168945199999</v>
      </c>
      <c r="AS210" s="202"/>
      <c r="AT210" s="202"/>
      <c r="AU210" s="203">
        <f t="array" ref="AU210">[1]Адм.расходы!BY156</f>
        <v>0</v>
      </c>
      <c r="AV210" s="195">
        <v>37286.633380489402</v>
      </c>
      <c r="AW210" s="202"/>
      <c r="AX210" s="202"/>
      <c r="AY210" s="136">
        <v>37286.633380489402</v>
      </c>
      <c r="AZ210" s="202"/>
      <c r="BA210" s="202"/>
      <c r="BB210" s="202"/>
      <c r="BC210" s="202"/>
      <c r="BD210" s="204" t="e">
        <f>'ВО-2021-2025'!$AR$210*'ВО-2021-2025'!$BD$112</f>
        <v>#REF!</v>
      </c>
      <c r="BE210" s="202"/>
      <c r="BF210" s="202"/>
      <c r="BG210" s="267" t="e">
        <f t="shared" si="35"/>
        <v>#REF!</v>
      </c>
      <c r="BH210" s="267" t="e">
        <f>BD210-#REF!</f>
        <v>#REF!</v>
      </c>
      <c r="BI210" s="267" t="e">
        <f t="shared" si="36"/>
        <v>#REF!</v>
      </c>
      <c r="BJ210" s="136" t="e">
        <f>#REF!*BJ$111</f>
        <v>#REF!</v>
      </c>
      <c r="BK210" s="202"/>
      <c r="BL210" s="202"/>
      <c r="BM210" s="136" t="e">
        <f>BD210*BM$111</f>
        <v>#REF!</v>
      </c>
      <c r="BN210" s="202"/>
      <c r="BO210" s="202"/>
      <c r="BP210" s="267" t="e">
        <f t="shared" si="37"/>
        <v>#REF!</v>
      </c>
      <c r="BQ210" s="267" t="e">
        <f t="shared" si="38"/>
        <v>#REF!</v>
      </c>
      <c r="BR210" s="136" t="e">
        <f>BJ210*BR$111</f>
        <v>#REF!</v>
      </c>
      <c r="BS210" s="202"/>
      <c r="BT210" s="202"/>
      <c r="BU210" s="136" t="e">
        <f>BM210*BU$111</f>
        <v>#REF!</v>
      </c>
      <c r="BV210" s="202"/>
      <c r="BW210" s="202"/>
      <c r="BX210" s="267" t="e">
        <f t="shared" si="39"/>
        <v>#REF!</v>
      </c>
      <c r="BY210" s="267" t="e">
        <f t="shared" si="40"/>
        <v>#REF!</v>
      </c>
      <c r="BZ210" s="136" t="e">
        <f>BR210*BZ$111</f>
        <v>#REF!</v>
      </c>
      <c r="CA210" s="202"/>
      <c r="CB210" s="202"/>
      <c r="CC210" s="136" t="e">
        <f>BU210*CC$111</f>
        <v>#REF!</v>
      </c>
      <c r="CD210" s="202"/>
      <c r="CE210" s="202"/>
      <c r="CF210" s="267" t="e">
        <f t="shared" si="41"/>
        <v>#REF!</v>
      </c>
      <c r="CG210" s="267" t="e">
        <f t="shared" si="42"/>
        <v>#REF!</v>
      </c>
      <c r="CH210" s="136" t="e">
        <f>BZ210*CH$111</f>
        <v>#REF!</v>
      </c>
      <c r="CI210" s="202"/>
      <c r="CJ210" s="202"/>
      <c r="CK210" s="136" t="e">
        <f>CC210*CK$111</f>
        <v>#REF!</v>
      </c>
      <c r="CL210" s="202"/>
      <c r="CM210" s="202"/>
      <c r="CN210" s="267" t="e">
        <f t="shared" si="43"/>
        <v>#REF!</v>
      </c>
      <c r="CO210" s="267" t="e">
        <f t="shared" si="44"/>
        <v>#REF!</v>
      </c>
      <c r="CP210" s="92"/>
      <c r="CQ210" s="85"/>
      <c r="CR210" s="85"/>
      <c r="CS210" s="85"/>
      <c r="CT210" s="99" t="e">
        <f t="shared" si="45"/>
        <v>#REF!</v>
      </c>
      <c r="CU210" s="99" t="e">
        <f t="array" ref="CU210">BD210</f>
        <v>#REF!</v>
      </c>
      <c r="CV210" s="101"/>
      <c r="CW210" s="101"/>
      <c r="CX210" s="101"/>
      <c r="CY210" s="101"/>
      <c r="CZ210" s="101"/>
      <c r="DA210" s="101"/>
      <c r="DB210" s="101"/>
    </row>
    <row r="211" spans="3:106" ht="14.25" customHeight="1" outlineLevel="5" x14ac:dyDescent="0.25">
      <c r="C211" s="2" t="s">
        <v>210</v>
      </c>
      <c r="D211" s="2" t="s">
        <v>211</v>
      </c>
      <c r="E211" s="2" t="s">
        <v>74</v>
      </c>
      <c r="F211" s="2" t="s">
        <v>75</v>
      </c>
      <c r="G211" s="2" t="s">
        <v>74</v>
      </c>
      <c r="H211" s="2" t="s">
        <v>279</v>
      </c>
      <c r="I211" s="2" t="s">
        <v>74</v>
      </c>
      <c r="J211" s="2" t="s">
        <v>74</v>
      </c>
      <c r="K211" s="5" t="s">
        <v>74</v>
      </c>
      <c r="L211" s="2" t="s">
        <v>196</v>
      </c>
      <c r="M211" s="8" t="str">
        <f t="array" ref="M211">Y107</f>
        <v>1ВО::1.1</v>
      </c>
      <c r="AA211" s="107" t="str">
        <f>AA210&amp;".1"</f>
        <v>3.1.1.3.2.1.1</v>
      </c>
      <c r="AB211" s="205" t="s">
        <v>212</v>
      </c>
      <c r="AC211" s="197" t="s">
        <v>213</v>
      </c>
      <c r="AD211" s="173">
        <v>56622.213077471068</v>
      </c>
      <c r="AE211" s="173">
        <v>59936.764306220182</v>
      </c>
      <c r="AF211" s="173">
        <v>69140.469368065504</v>
      </c>
      <c r="AG211" s="174"/>
      <c r="AH211" s="174"/>
      <c r="AI211" s="173">
        <f>IF(AI212=0,0,AI210*1000/AI$89/AI212)</f>
        <v>69140.469368065504</v>
      </c>
      <c r="AJ211" s="174"/>
      <c r="AK211" s="174"/>
      <c r="AL211" s="174"/>
      <c r="AM211" s="174"/>
      <c r="AN211" s="173">
        <f>IF(AN212=0,0,AN210*1000/AN$89/AN212)</f>
        <v>69828.965863453806</v>
      </c>
      <c r="AO211" s="173">
        <v>72076.989999999991</v>
      </c>
      <c r="AP211" s="174"/>
      <c r="AQ211" s="174"/>
      <c r="AR211" s="173">
        <f>IF(AR212=0,0,AR210*1000/AR$89/AR212)</f>
        <v>72076.989999999991</v>
      </c>
      <c r="AS211" s="174"/>
      <c r="AT211" s="174"/>
      <c r="AU211" s="173">
        <f>IF(AU212=0,0,AU210*1000/AU$89/AU212)</f>
        <v>0</v>
      </c>
      <c r="AV211" s="173">
        <v>75104.223579999962</v>
      </c>
      <c r="AW211" s="174"/>
      <c r="AX211" s="174"/>
      <c r="AY211" s="173">
        <f>IF(AY212=0,0,AY210*1000/AY$89/AY212)</f>
        <v>75104.223579999962</v>
      </c>
      <c r="AZ211" s="174"/>
      <c r="BA211" s="174"/>
      <c r="BB211" s="174"/>
      <c r="BC211" s="174"/>
      <c r="BD211" s="173" t="e">
        <f>IF(BD212=0,0,BD210*1000/BD$89/BD212)</f>
        <v>#REF!</v>
      </c>
      <c r="BE211" s="174"/>
      <c r="BF211" s="174"/>
      <c r="BG211" s="267" t="e">
        <f t="shared" si="35"/>
        <v>#REF!</v>
      </c>
      <c r="BH211" s="267" t="e">
        <f>BD211-#REF!</f>
        <v>#REF!</v>
      </c>
      <c r="BI211" s="267" t="e">
        <f t="shared" si="36"/>
        <v>#REF!</v>
      </c>
      <c r="BJ211" s="173" t="e">
        <f>IF(BJ212=0,0,BJ210*1000/BJ$89/BJ212)</f>
        <v>#REF!</v>
      </c>
      <c r="BK211" s="174"/>
      <c r="BL211" s="174"/>
      <c r="BM211" s="173" t="e">
        <f>IF(BM212=0,0,BM210*1000/BM$89/BM212)</f>
        <v>#REF!</v>
      </c>
      <c r="BN211" s="174"/>
      <c r="BO211" s="174"/>
      <c r="BP211" s="267" t="e">
        <f t="shared" si="37"/>
        <v>#REF!</v>
      </c>
      <c r="BQ211" s="267" t="e">
        <f t="shared" si="38"/>
        <v>#REF!</v>
      </c>
      <c r="BR211" s="173" t="e">
        <f>IF(BR212=0,0,BR210*1000/BR$89/BR212)</f>
        <v>#REF!</v>
      </c>
      <c r="BS211" s="174"/>
      <c r="BT211" s="174"/>
      <c r="BU211" s="173" t="e">
        <f>IF(BU212=0,0,BU210*1000/BU$89/BU212)</f>
        <v>#REF!</v>
      </c>
      <c r="BV211" s="174"/>
      <c r="BW211" s="174"/>
      <c r="BX211" s="267" t="e">
        <f t="shared" si="39"/>
        <v>#REF!</v>
      </c>
      <c r="BY211" s="267" t="e">
        <f t="shared" si="40"/>
        <v>#REF!</v>
      </c>
      <c r="BZ211" s="173" t="e">
        <f>IF(BZ212=0,0,BZ210*1000/BZ$89/BZ212)</f>
        <v>#REF!</v>
      </c>
      <c r="CA211" s="174"/>
      <c r="CB211" s="174"/>
      <c r="CC211" s="173" t="e">
        <f>IF(CC212=0,0,CC210*1000/CC$89/CC212)</f>
        <v>#REF!</v>
      </c>
      <c r="CD211" s="174"/>
      <c r="CE211" s="174"/>
      <c r="CF211" s="267" t="e">
        <f t="shared" si="41"/>
        <v>#REF!</v>
      </c>
      <c r="CG211" s="267" t="e">
        <f t="shared" si="42"/>
        <v>#REF!</v>
      </c>
      <c r="CH211" s="173" t="e">
        <f>IF(CH212=0,0,CH210*1000/CH$89/CH212)</f>
        <v>#REF!</v>
      </c>
      <c r="CI211" s="174"/>
      <c r="CJ211" s="174"/>
      <c r="CK211" s="173" t="e">
        <f>IF(CK212=0,0,CK210*1000/CK$89/CK212)</f>
        <v>#REF!</v>
      </c>
      <c r="CL211" s="174"/>
      <c r="CM211" s="174"/>
      <c r="CN211" s="267" t="e">
        <f t="shared" si="43"/>
        <v>#REF!</v>
      </c>
      <c r="CO211" s="267" t="e">
        <f t="shared" si="44"/>
        <v>#REF!</v>
      </c>
      <c r="CP211" s="92"/>
      <c r="CQ211" s="85"/>
      <c r="CR211" s="85"/>
      <c r="CS211" s="85"/>
      <c r="CT211" s="99" t="e">
        <f t="shared" si="45"/>
        <v>#REF!</v>
      </c>
      <c r="CU211" s="100" t="e">
        <f>IF(CU212=0,0,CU210*1000/CU$89/CU212)</f>
        <v>#REF!</v>
      </c>
      <c r="CV211" s="101"/>
      <c r="CW211" s="101"/>
      <c r="CX211" s="101"/>
      <c r="CY211" s="101"/>
      <c r="CZ211" s="101"/>
      <c r="DA211" s="101"/>
      <c r="DB211" s="101"/>
    </row>
    <row r="212" spans="3:106" ht="14.25" customHeight="1" outlineLevel="5" x14ac:dyDescent="0.25">
      <c r="C212" s="2" t="s">
        <v>214</v>
      </c>
      <c r="D212" s="2" t="s">
        <v>215</v>
      </c>
      <c r="E212" s="2" t="s">
        <v>74</v>
      </c>
      <c r="F212" s="2" t="s">
        <v>75</v>
      </c>
      <c r="G212" s="2" t="s">
        <v>74</v>
      </c>
      <c r="H212" s="2" t="s">
        <v>279</v>
      </c>
      <c r="I212" s="2" t="s">
        <v>74</v>
      </c>
      <c r="J212" s="2" t="s">
        <v>74</v>
      </c>
      <c r="K212" s="5" t="s">
        <v>74</v>
      </c>
      <c r="L212" s="2" t="s">
        <v>196</v>
      </c>
      <c r="M212" s="8" t="str">
        <f t="array" ref="M212">Y107</f>
        <v>1ВО::1.1</v>
      </c>
      <c r="AA212" s="107" t="str">
        <f>AA210&amp;".2"</f>
        <v>3.1.1.3.2.1.2</v>
      </c>
      <c r="AB212" s="205" t="s">
        <v>216</v>
      </c>
      <c r="AC212" s="197" t="s">
        <v>217</v>
      </c>
      <c r="AD212" s="136">
        <v>28.22</v>
      </c>
      <c r="AE212" s="136">
        <v>28.22</v>
      </c>
      <c r="AF212" s="195">
        <v>28.22</v>
      </c>
      <c r="AG212" s="202"/>
      <c r="AH212" s="202"/>
      <c r="AI212" s="136">
        <v>28.22</v>
      </c>
      <c r="AJ212" s="202"/>
      <c r="AK212" s="202"/>
      <c r="AL212" s="202"/>
      <c r="AM212" s="202"/>
      <c r="AN212" s="203">
        <f t="array" ref="AN212">IF('ВО-2021-2025'!$AN$81="Методика",'ВО-2021-2025'!AI212,[1]Адм.расходы!BT158)</f>
        <v>66.400000000000006</v>
      </c>
      <c r="AO212" s="195">
        <v>41.79</v>
      </c>
      <c r="AP212" s="202"/>
      <c r="AQ212" s="202"/>
      <c r="AR212" s="136">
        <v>41.79</v>
      </c>
      <c r="AS212" s="202"/>
      <c r="AT212" s="202"/>
      <c r="AU212" s="203">
        <f t="array" ref="AU212">[1]Адм.расходы!BY158</f>
        <v>0</v>
      </c>
      <c r="AV212" s="195">
        <v>41.372100000000003</v>
      </c>
      <c r="AW212" s="202"/>
      <c r="AX212" s="202"/>
      <c r="AY212" s="136">
        <v>41.372100000000003</v>
      </c>
      <c r="AZ212" s="202"/>
      <c r="BA212" s="202"/>
      <c r="BB212" s="202"/>
      <c r="BC212" s="202"/>
      <c r="BD212" s="204">
        <f t="array" ref="BD212">IF('ВО-2021-2025'!$BD$80="индексировать",'ВО-2021-2025'!$AR$212*(1-'ВО-2021-2025'!$BD$113)*(1+'ВО-2021-2025'!$BD$115),'ВО-2021-2025'!$AR$212)</f>
        <v>41.79</v>
      </c>
      <c r="BE212" s="202"/>
      <c r="BF212" s="202"/>
      <c r="BG212" s="267">
        <f t="shared" si="35"/>
        <v>100</v>
      </c>
      <c r="BH212" s="267" t="e">
        <f>BD212-#REF!</f>
        <v>#REF!</v>
      </c>
      <c r="BI212" s="267">
        <f t="shared" si="36"/>
        <v>0.41789999999999594</v>
      </c>
      <c r="BJ212" s="136" t="e">
        <f>#REF!*IF(#REF!="индексировать",(1-BJ$113)*(1+BJ$115),1)</f>
        <v>#REF!</v>
      </c>
      <c r="BK212" s="202"/>
      <c r="BL212" s="202"/>
      <c r="BM212" s="136">
        <f>BD212*IF($BD$80="индексировать",(1-BM$113)*(1+BM$115),1)</f>
        <v>41.79</v>
      </c>
      <c r="BN212" s="202"/>
      <c r="BO212" s="202"/>
      <c r="BP212" s="267">
        <f t="shared" si="37"/>
        <v>100</v>
      </c>
      <c r="BQ212" s="267" t="e">
        <f t="shared" si="38"/>
        <v>#REF!</v>
      </c>
      <c r="BR212" s="136" t="e">
        <f>BJ212*IF(#REF!="индексировать",(1-BR$113)*(1+BR$115),1)</f>
        <v>#REF!</v>
      </c>
      <c r="BS212" s="202"/>
      <c r="BT212" s="202"/>
      <c r="BU212" s="136">
        <f>BM212*IF($BD$80="индексировать",(1-BU$113)*(1+BU$115),1)</f>
        <v>41.79</v>
      </c>
      <c r="BV212" s="202"/>
      <c r="BW212" s="202"/>
      <c r="BX212" s="267">
        <f t="shared" si="39"/>
        <v>100</v>
      </c>
      <c r="BY212" s="267" t="e">
        <f t="shared" si="40"/>
        <v>#REF!</v>
      </c>
      <c r="BZ212" s="136" t="e">
        <f>BR212*IF(#REF!="индексировать",(1-BZ$113)*(1+BZ$115),1)</f>
        <v>#REF!</v>
      </c>
      <c r="CA212" s="202"/>
      <c r="CB212" s="202"/>
      <c r="CC212" s="136">
        <f>BU212*IF($BD$80="индексировать",(1-CC$113)*(1+CC$115),1)</f>
        <v>41.79</v>
      </c>
      <c r="CD212" s="202"/>
      <c r="CE212" s="202"/>
      <c r="CF212" s="267">
        <f t="shared" si="41"/>
        <v>100</v>
      </c>
      <c r="CG212" s="267" t="e">
        <f t="shared" si="42"/>
        <v>#REF!</v>
      </c>
      <c r="CH212" s="136" t="e">
        <f>BZ212*IF(#REF!="индексировать",(1-CH$113)*(1+CH$115),1)</f>
        <v>#REF!</v>
      </c>
      <c r="CI212" s="202"/>
      <c r="CJ212" s="202"/>
      <c r="CK212" s="136">
        <f>CC212*IF($BD$80="индексировать",(1-CK$113)*(1+CK$115),1)</f>
        <v>41.79</v>
      </c>
      <c r="CL212" s="202"/>
      <c r="CM212" s="202"/>
      <c r="CN212" s="267">
        <f t="shared" si="43"/>
        <v>100</v>
      </c>
      <c r="CO212" s="267" t="e">
        <f t="shared" si="44"/>
        <v>#REF!</v>
      </c>
      <c r="CP212" s="92"/>
      <c r="CQ212" s="85"/>
      <c r="CR212" s="85"/>
      <c r="CS212" s="85"/>
      <c r="CT212" s="99" t="e">
        <f t="shared" si="45"/>
        <v>#REF!</v>
      </c>
      <c r="CU212" s="99">
        <f t="array" ref="CU212">BD212</f>
        <v>41.79</v>
      </c>
      <c r="CV212" s="101"/>
      <c r="CW212" s="101"/>
      <c r="CX212" s="101"/>
      <c r="CY212" s="101"/>
      <c r="CZ212" s="101"/>
      <c r="DA212" s="101"/>
      <c r="DB212" s="101"/>
    </row>
    <row r="213" spans="3:106" ht="14.25" customHeight="1" outlineLevel="5" x14ac:dyDescent="0.25">
      <c r="C213" s="2" t="s">
        <v>84</v>
      </c>
      <c r="D213" s="2" t="s">
        <v>85</v>
      </c>
      <c r="E213" s="2" t="s">
        <v>74</v>
      </c>
      <c r="F213" s="2" t="s">
        <v>75</v>
      </c>
      <c r="G213" s="2" t="s">
        <v>218</v>
      </c>
      <c r="H213" s="2" t="s">
        <v>279</v>
      </c>
      <c r="I213" s="2" t="s">
        <v>74</v>
      </c>
      <c r="J213" s="2" t="s">
        <v>74</v>
      </c>
      <c r="K213" s="5" t="s">
        <v>74</v>
      </c>
      <c r="L213" s="2" t="s">
        <v>196</v>
      </c>
      <c r="M213" s="8" t="str">
        <f t="array" ref="M213">Y107</f>
        <v>1ВО::1.1</v>
      </c>
      <c r="AA213" s="107" t="str">
        <f>AA209&amp;".2"</f>
        <v>3.1.1.3.2.2</v>
      </c>
      <c r="AB213" s="199" t="s">
        <v>282</v>
      </c>
      <c r="AC213" s="197" t="s">
        <v>114</v>
      </c>
      <c r="AD213" s="136">
        <v>5790.7192716523004</v>
      </c>
      <c r="AE213" s="136">
        <v>6129.6964086097996</v>
      </c>
      <c r="AF213" s="195">
        <v>7070.9537239908004</v>
      </c>
      <c r="AG213" s="202"/>
      <c r="AH213" s="202"/>
      <c r="AI213" s="136">
        <v>7070.9537239908004</v>
      </c>
      <c r="AJ213" s="202"/>
      <c r="AK213" s="202"/>
      <c r="AL213" s="202"/>
      <c r="AM213" s="202"/>
      <c r="AN213" s="203">
        <f t="array" ref="AN213">IF('ВО-2021-2025'!$AN$81="Методика",IF('ВО-2021-2025'!AI$158=0,0,'ВО-2021-2025'!AI213/'ВО-2021-2025'!AI$158*'ВО-2021-2025'!AN$159),[1]Адм.расходы!BT159)</f>
        <v>16803.195</v>
      </c>
      <c r="AO213" s="195">
        <v>10915.8410214504</v>
      </c>
      <c r="AP213" s="202"/>
      <c r="AQ213" s="202"/>
      <c r="AR213" s="136">
        <v>10915.8410214504</v>
      </c>
      <c r="AS213" s="202"/>
      <c r="AT213" s="202"/>
      <c r="AU213" s="203">
        <f t="array" ref="AU213">[1]Адм.расходы!BY159</f>
        <v>0</v>
      </c>
      <c r="AV213" s="195">
        <v>11260.5632809078</v>
      </c>
      <c r="AW213" s="202"/>
      <c r="AX213" s="202"/>
      <c r="AY213" s="136">
        <v>11260.5632809078</v>
      </c>
      <c r="AZ213" s="202"/>
      <c r="BA213" s="202"/>
      <c r="BB213" s="202"/>
      <c r="BC213" s="202"/>
      <c r="BD213" s="204" t="e">
        <f>'ВО-2021-2025'!$AR$213*'ВО-2021-2025'!$BD$112</f>
        <v>#REF!</v>
      </c>
      <c r="BE213" s="202"/>
      <c r="BF213" s="202"/>
      <c r="BG213" s="267" t="e">
        <f t="shared" si="35"/>
        <v>#REF!</v>
      </c>
      <c r="BH213" s="267" t="e">
        <f>BD213-#REF!</f>
        <v>#REF!</v>
      </c>
      <c r="BI213" s="267" t="e">
        <f t="shared" si="36"/>
        <v>#REF!</v>
      </c>
      <c r="BJ213" s="136" t="e">
        <f>#REF!*BJ$111</f>
        <v>#REF!</v>
      </c>
      <c r="BK213" s="202"/>
      <c r="BL213" s="202"/>
      <c r="BM213" s="136" t="e">
        <f>BD213*BM$111</f>
        <v>#REF!</v>
      </c>
      <c r="BN213" s="202"/>
      <c r="BO213" s="202"/>
      <c r="BP213" s="267" t="e">
        <f t="shared" si="37"/>
        <v>#REF!</v>
      </c>
      <c r="BQ213" s="267" t="e">
        <f t="shared" si="38"/>
        <v>#REF!</v>
      </c>
      <c r="BR213" s="136" t="e">
        <f>BJ213*BR$111</f>
        <v>#REF!</v>
      </c>
      <c r="BS213" s="202"/>
      <c r="BT213" s="202"/>
      <c r="BU213" s="136" t="e">
        <f>BM213*BU$111</f>
        <v>#REF!</v>
      </c>
      <c r="BV213" s="202"/>
      <c r="BW213" s="202"/>
      <c r="BX213" s="267" t="e">
        <f t="shared" si="39"/>
        <v>#REF!</v>
      </c>
      <c r="BY213" s="267" t="e">
        <f t="shared" si="40"/>
        <v>#REF!</v>
      </c>
      <c r="BZ213" s="136" t="e">
        <f>BR213*BZ$111</f>
        <v>#REF!</v>
      </c>
      <c r="CA213" s="202"/>
      <c r="CB213" s="202"/>
      <c r="CC213" s="136" t="e">
        <f>BU213*CC$111</f>
        <v>#REF!</v>
      </c>
      <c r="CD213" s="202"/>
      <c r="CE213" s="202"/>
      <c r="CF213" s="267" t="e">
        <f t="shared" si="41"/>
        <v>#REF!</v>
      </c>
      <c r="CG213" s="267" t="e">
        <f t="shared" si="42"/>
        <v>#REF!</v>
      </c>
      <c r="CH213" s="136" t="e">
        <f>BZ213*CH$111</f>
        <v>#REF!</v>
      </c>
      <c r="CI213" s="202"/>
      <c r="CJ213" s="202"/>
      <c r="CK213" s="136" t="e">
        <f>CC213*CK$111</f>
        <v>#REF!</v>
      </c>
      <c r="CL213" s="202"/>
      <c r="CM213" s="202"/>
      <c r="CN213" s="267" t="e">
        <f t="shared" si="43"/>
        <v>#REF!</v>
      </c>
      <c r="CO213" s="267" t="e">
        <f t="shared" si="44"/>
        <v>#REF!</v>
      </c>
      <c r="CP213" s="92"/>
      <c r="CQ213" s="85"/>
      <c r="CR213" s="85"/>
      <c r="CS213" s="85"/>
      <c r="CT213" s="99" t="e">
        <f t="shared" si="45"/>
        <v>#REF!</v>
      </c>
      <c r="CU213" s="99" t="e">
        <f t="array" ref="CU213">BD213</f>
        <v>#REF!</v>
      </c>
      <c r="CV213" s="101"/>
      <c r="CW213" s="101"/>
      <c r="CX213" s="101"/>
      <c r="CY213" s="101"/>
      <c r="CZ213" s="101"/>
      <c r="DA213" s="101"/>
      <c r="DB213" s="101"/>
    </row>
    <row r="214" spans="3:106" ht="14.25" customHeight="1" outlineLevel="5" x14ac:dyDescent="0.25">
      <c r="C214" s="2" t="s">
        <v>220</v>
      </c>
      <c r="D214" s="2" t="s">
        <v>221</v>
      </c>
      <c r="E214" s="2" t="s">
        <v>74</v>
      </c>
      <c r="F214" s="2" t="s">
        <v>75</v>
      </c>
      <c r="G214" s="2" t="s">
        <v>74</v>
      </c>
      <c r="H214" s="2" t="s">
        <v>279</v>
      </c>
      <c r="I214" s="2" t="s">
        <v>74</v>
      </c>
      <c r="J214" s="2" t="s">
        <v>74</v>
      </c>
      <c r="K214" s="5" t="s">
        <v>74</v>
      </c>
      <c r="L214" s="2" t="s">
        <v>196</v>
      </c>
      <c r="M214" s="8" t="str">
        <f t="array" ref="M214">Y107</f>
        <v>1ВО::1.1</v>
      </c>
      <c r="AA214" s="107" t="str">
        <f>AA213&amp;".1"</f>
        <v>3.1.1.3.2.2.1</v>
      </c>
      <c r="AB214" s="205" t="s">
        <v>222</v>
      </c>
      <c r="AC214" s="197" t="s">
        <v>122</v>
      </c>
      <c r="AD214" s="173">
        <v>30.200032898889358</v>
      </c>
      <c r="AE214" s="173">
        <v>30.200032898889557</v>
      </c>
      <c r="AF214" s="173">
        <v>30.200032898889518</v>
      </c>
      <c r="AG214" s="174"/>
      <c r="AH214" s="174"/>
      <c r="AI214" s="173">
        <f>IF(AI210=0,0,AI213/AI210*100)</f>
        <v>30.200032898889518</v>
      </c>
      <c r="AJ214" s="174"/>
      <c r="AK214" s="174"/>
      <c r="AL214" s="174"/>
      <c r="AM214" s="174"/>
      <c r="AN214" s="173">
        <f>IF(AN210=0,0,AN213/AN210*100)</f>
        <v>30.19999920919803</v>
      </c>
      <c r="AO214" s="173">
        <v>30.2</v>
      </c>
      <c r="AP214" s="174"/>
      <c r="AQ214" s="174"/>
      <c r="AR214" s="173">
        <f>IF(AR210=0,0,AR213/AR210*100)</f>
        <v>30.2</v>
      </c>
      <c r="AS214" s="174"/>
      <c r="AT214" s="174"/>
      <c r="AU214" s="173">
        <f>IF(AU210=0,0,AU213/AU210*100)</f>
        <v>0</v>
      </c>
      <c r="AV214" s="173">
        <v>30.2</v>
      </c>
      <c r="AW214" s="174"/>
      <c r="AX214" s="174"/>
      <c r="AY214" s="173">
        <f>IF(AY210=0,0,AY213/AY210*100)</f>
        <v>30.2</v>
      </c>
      <c r="AZ214" s="174"/>
      <c r="BA214" s="174"/>
      <c r="BB214" s="174"/>
      <c r="BC214" s="174"/>
      <c r="BD214" s="173" t="e">
        <f>IF(BD210=0,0,BD213/BD210*100)</f>
        <v>#REF!</v>
      </c>
      <c r="BE214" s="174"/>
      <c r="BF214" s="174"/>
      <c r="BG214" s="267" t="e">
        <f t="shared" si="35"/>
        <v>#REF!</v>
      </c>
      <c r="BH214" s="267" t="e">
        <f>BD214-#REF!</f>
        <v>#REF!</v>
      </c>
      <c r="BI214" s="267" t="e">
        <f t="shared" si="36"/>
        <v>#REF!</v>
      </c>
      <c r="BJ214" s="173" t="e">
        <f>IF(BJ210=0,0,BJ213/BJ210*100)</f>
        <v>#REF!</v>
      </c>
      <c r="BK214" s="174"/>
      <c r="BL214" s="174"/>
      <c r="BM214" s="173" t="e">
        <f>IF(BM210=0,0,BM213/BM210*100)</f>
        <v>#REF!</v>
      </c>
      <c r="BN214" s="174"/>
      <c r="BO214" s="174"/>
      <c r="BP214" s="267" t="e">
        <f t="shared" si="37"/>
        <v>#REF!</v>
      </c>
      <c r="BQ214" s="267" t="e">
        <f t="shared" si="38"/>
        <v>#REF!</v>
      </c>
      <c r="BR214" s="173" t="e">
        <f>IF(BR210=0,0,BR213/BR210*100)</f>
        <v>#REF!</v>
      </c>
      <c r="BS214" s="174"/>
      <c r="BT214" s="174"/>
      <c r="BU214" s="173" t="e">
        <f>IF(BU210=0,0,BU213/BU210*100)</f>
        <v>#REF!</v>
      </c>
      <c r="BV214" s="174"/>
      <c r="BW214" s="174"/>
      <c r="BX214" s="267" t="e">
        <f t="shared" si="39"/>
        <v>#REF!</v>
      </c>
      <c r="BY214" s="267" t="e">
        <f t="shared" si="40"/>
        <v>#REF!</v>
      </c>
      <c r="BZ214" s="173" t="e">
        <f>IF(BZ210=0,0,BZ213/BZ210*100)</f>
        <v>#REF!</v>
      </c>
      <c r="CA214" s="174"/>
      <c r="CB214" s="174"/>
      <c r="CC214" s="173" t="e">
        <f>IF(CC210=0,0,CC213/CC210*100)</f>
        <v>#REF!</v>
      </c>
      <c r="CD214" s="174"/>
      <c r="CE214" s="174"/>
      <c r="CF214" s="267" t="e">
        <f t="shared" si="41"/>
        <v>#REF!</v>
      </c>
      <c r="CG214" s="267" t="e">
        <f t="shared" si="42"/>
        <v>#REF!</v>
      </c>
      <c r="CH214" s="173" t="e">
        <f>IF(CH210=0,0,CH213/CH210*100)</f>
        <v>#REF!</v>
      </c>
      <c r="CI214" s="174"/>
      <c r="CJ214" s="174"/>
      <c r="CK214" s="173" t="e">
        <f>IF(CK210=0,0,CK213/CK210*100)</f>
        <v>#REF!</v>
      </c>
      <c r="CL214" s="174"/>
      <c r="CM214" s="174"/>
      <c r="CN214" s="267" t="e">
        <f t="shared" si="43"/>
        <v>#REF!</v>
      </c>
      <c r="CO214" s="267" t="e">
        <f t="shared" si="44"/>
        <v>#REF!</v>
      </c>
      <c r="CP214" s="92"/>
      <c r="CQ214" s="85"/>
      <c r="CR214" s="85"/>
      <c r="CS214" s="85"/>
      <c r="CT214" s="99" t="e">
        <f t="shared" si="45"/>
        <v>#REF!</v>
      </c>
      <c r="CU214" s="100" t="e">
        <f>IF(CU210=0,0,CU213/CU210*100)</f>
        <v>#REF!</v>
      </c>
      <c r="CV214" s="101"/>
      <c r="CW214" s="101"/>
      <c r="CX214" s="101"/>
      <c r="CY214" s="101"/>
      <c r="CZ214" s="101"/>
      <c r="DA214" s="101"/>
      <c r="DB214" s="101"/>
    </row>
    <row r="215" spans="3:106" ht="28.5" customHeight="1" outlineLevel="4" x14ac:dyDescent="0.25">
      <c r="C215" s="2" t="s">
        <v>84</v>
      </c>
      <c r="D215" s="2" t="s">
        <v>85</v>
      </c>
      <c r="E215" s="2" t="s">
        <v>74</v>
      </c>
      <c r="F215" s="2" t="s">
        <v>75</v>
      </c>
      <c r="G215" s="2" t="s">
        <v>283</v>
      </c>
      <c r="H215" s="2" t="s">
        <v>74</v>
      </c>
      <c r="I215" s="2" t="s">
        <v>74</v>
      </c>
      <c r="J215" s="2" t="s">
        <v>74</v>
      </c>
      <c r="K215" s="5" t="s">
        <v>74</v>
      </c>
      <c r="L215" s="2" t="s">
        <v>196</v>
      </c>
      <c r="M215" s="8" t="str">
        <f t="array" ref="M215">Y107</f>
        <v>1ВО::1.1</v>
      </c>
      <c r="AA215" s="206" t="str">
        <f>AA200&amp;".3"</f>
        <v>3.1.1.3.3</v>
      </c>
      <c r="AB215" s="198" t="s">
        <v>283</v>
      </c>
      <c r="AC215" s="197" t="s">
        <v>114</v>
      </c>
      <c r="AD215" s="136"/>
      <c r="AE215" s="136"/>
      <c r="AF215" s="195"/>
      <c r="AG215" s="202"/>
      <c r="AH215" s="202"/>
      <c r="AI215" s="136">
        <f t="array" ref="AI215">'ВО-2021-2025'!$AF$215</f>
        <v>0</v>
      </c>
      <c r="AJ215" s="202"/>
      <c r="AK215" s="202"/>
      <c r="AL215" s="202"/>
      <c r="AM215" s="202"/>
      <c r="AN215" s="203">
        <f t="array" ref="AN215">IF('ВО-2021-2025'!$AN$81="Методика",IF('ВО-2021-2025'!AI$158=0,0,'ВО-2021-2025'!AI215/'ВО-2021-2025'!AI$158*'ВО-2021-2025'!AN$159),[1]Адм.расходы!BT168)</f>
        <v>0</v>
      </c>
      <c r="AO215" s="195"/>
      <c r="AP215" s="202"/>
      <c r="AQ215" s="202"/>
      <c r="AR215" s="136">
        <f t="array" ref="AR215">'ВО-2021-2025'!$AO$215</f>
        <v>0</v>
      </c>
      <c r="AS215" s="202"/>
      <c r="AT215" s="202"/>
      <c r="AU215" s="203">
        <f t="array" ref="AU215">[1]Адм.расходы!BY168</f>
        <v>0</v>
      </c>
      <c r="AV215" s="195">
        <v>0</v>
      </c>
      <c r="AW215" s="202"/>
      <c r="AX215" s="202"/>
      <c r="AY215" s="136">
        <f>IF(AY$88,AR215*AY$112,AV215*1)</f>
        <v>0</v>
      </c>
      <c r="AZ215" s="202"/>
      <c r="BA215" s="202"/>
      <c r="BB215" s="202"/>
      <c r="BC215" s="202"/>
      <c r="BD215" s="204" t="e">
        <f>'ВО-2021-2025'!$AR$215*'ВО-2021-2025'!$BD$112</f>
        <v>#REF!</v>
      </c>
      <c r="BE215" s="202"/>
      <c r="BF215" s="202"/>
      <c r="BG215" s="267">
        <f t="shared" si="35"/>
        <v>0</v>
      </c>
      <c r="BH215" s="267" t="e">
        <f>BD215-#REF!</f>
        <v>#REF!</v>
      </c>
      <c r="BI215" s="267" t="e">
        <f t="shared" si="36"/>
        <v>#REF!</v>
      </c>
      <c r="BJ215" s="136" t="e">
        <f>#REF!*BJ$111</f>
        <v>#REF!</v>
      </c>
      <c r="BK215" s="202"/>
      <c r="BL215" s="202"/>
      <c r="BM215" s="136" t="e">
        <f>BD215*BM$111</f>
        <v>#REF!</v>
      </c>
      <c r="BN215" s="202"/>
      <c r="BO215" s="202"/>
      <c r="BP215" s="267" t="e">
        <f t="shared" si="37"/>
        <v>#REF!</v>
      </c>
      <c r="BQ215" s="267" t="e">
        <f t="shared" si="38"/>
        <v>#REF!</v>
      </c>
      <c r="BR215" s="136" t="e">
        <f>BJ215*BR$111</f>
        <v>#REF!</v>
      </c>
      <c r="BS215" s="202"/>
      <c r="BT215" s="202"/>
      <c r="BU215" s="136" t="e">
        <f>BM215*BU$111</f>
        <v>#REF!</v>
      </c>
      <c r="BV215" s="202"/>
      <c r="BW215" s="202"/>
      <c r="BX215" s="267" t="e">
        <f t="shared" si="39"/>
        <v>#REF!</v>
      </c>
      <c r="BY215" s="267" t="e">
        <f t="shared" si="40"/>
        <v>#REF!</v>
      </c>
      <c r="BZ215" s="136" t="e">
        <f>BR215*BZ$111</f>
        <v>#REF!</v>
      </c>
      <c r="CA215" s="202"/>
      <c r="CB215" s="202"/>
      <c r="CC215" s="136" t="e">
        <f>BU215*CC$111</f>
        <v>#REF!</v>
      </c>
      <c r="CD215" s="202"/>
      <c r="CE215" s="202"/>
      <c r="CF215" s="267" t="e">
        <f t="shared" si="41"/>
        <v>#REF!</v>
      </c>
      <c r="CG215" s="267" t="e">
        <f t="shared" si="42"/>
        <v>#REF!</v>
      </c>
      <c r="CH215" s="136" t="e">
        <f>BZ215*CH$111</f>
        <v>#REF!</v>
      </c>
      <c r="CI215" s="202"/>
      <c r="CJ215" s="202"/>
      <c r="CK215" s="136" t="e">
        <f>CC215*CK$111</f>
        <v>#REF!</v>
      </c>
      <c r="CL215" s="202"/>
      <c r="CM215" s="202"/>
      <c r="CN215" s="267" t="e">
        <f t="shared" si="43"/>
        <v>#REF!</v>
      </c>
      <c r="CO215" s="267" t="e">
        <f t="shared" si="44"/>
        <v>#REF!</v>
      </c>
      <c r="CP215" s="92"/>
      <c r="CQ215" s="85"/>
      <c r="CR215" s="85"/>
      <c r="CS215" s="85"/>
      <c r="CT215" s="99" t="e">
        <f t="shared" si="45"/>
        <v>#REF!</v>
      </c>
      <c r="CU215" s="99" t="e">
        <f t="array" ref="CU215">BD215</f>
        <v>#REF!</v>
      </c>
      <c r="CV215" s="101"/>
      <c r="CW215" s="101"/>
      <c r="CX215" s="101"/>
      <c r="CY215" s="101"/>
      <c r="CZ215" s="101"/>
      <c r="DA215" s="101"/>
      <c r="DB215" s="101"/>
    </row>
    <row r="216" spans="3:106" ht="14.25" customHeight="1" outlineLevel="4" x14ac:dyDescent="0.25">
      <c r="C216" s="2" t="s">
        <v>84</v>
      </c>
      <c r="D216" s="2" t="s">
        <v>85</v>
      </c>
      <c r="E216" s="2" t="s">
        <v>74</v>
      </c>
      <c r="F216" s="2" t="s">
        <v>75</v>
      </c>
      <c r="G216" s="2" t="s">
        <v>284</v>
      </c>
      <c r="H216" s="2" t="s">
        <v>74</v>
      </c>
      <c r="I216" s="2" t="s">
        <v>74</v>
      </c>
      <c r="J216" s="2" t="s">
        <v>74</v>
      </c>
      <c r="K216" s="5" t="s">
        <v>74</v>
      </c>
      <c r="L216" s="2" t="s">
        <v>196</v>
      </c>
      <c r="M216" s="8" t="str">
        <f t="array" ref="M216">Y107</f>
        <v>1ВО::1.1</v>
      </c>
      <c r="AA216" s="206" t="str">
        <f>AA200&amp;".4"</f>
        <v>3.1.1.3.4</v>
      </c>
      <c r="AB216" s="198" t="s">
        <v>285</v>
      </c>
      <c r="AC216" s="197" t="s">
        <v>114</v>
      </c>
      <c r="AD216" s="136"/>
      <c r="AE216" s="136"/>
      <c r="AF216" s="195"/>
      <c r="AG216" s="202"/>
      <c r="AH216" s="202"/>
      <c r="AI216" s="136">
        <f t="array" ref="AI216">'ВО-2021-2025'!$AF$216</f>
        <v>0</v>
      </c>
      <c r="AJ216" s="202"/>
      <c r="AK216" s="202"/>
      <c r="AL216" s="202"/>
      <c r="AM216" s="202"/>
      <c r="AN216" s="203">
        <f t="array" ref="AN216">IF('ВО-2021-2025'!$AN$81="Методика",IF('ВО-2021-2025'!AI$158=0,0,'ВО-2021-2025'!AI216/'ВО-2021-2025'!AI$158*'ВО-2021-2025'!AN$159),[1]Адм.расходы!BT173)</f>
        <v>558.12699999999995</v>
      </c>
      <c r="AO216" s="195">
        <v>316.91372627200002</v>
      </c>
      <c r="AP216" s="202"/>
      <c r="AQ216" s="202"/>
      <c r="AR216" s="136">
        <v>316.91372627200002</v>
      </c>
      <c r="AS216" s="202"/>
      <c r="AT216" s="202"/>
      <c r="AU216" s="203">
        <f t="array" ref="AU216">[1]Адм.расходы!BY173</f>
        <v>0</v>
      </c>
      <c r="AV216" s="195">
        <v>326.92186174770001</v>
      </c>
      <c r="AW216" s="202"/>
      <c r="AX216" s="202"/>
      <c r="AY216" s="136">
        <v>326.92186174770001</v>
      </c>
      <c r="AZ216" s="202"/>
      <c r="BA216" s="202"/>
      <c r="BB216" s="202"/>
      <c r="BC216" s="202"/>
      <c r="BD216" s="204" t="e">
        <f>'ВО-2021-2025'!$AR$216*'ВО-2021-2025'!$BD$112</f>
        <v>#REF!</v>
      </c>
      <c r="BE216" s="202"/>
      <c r="BF216" s="202"/>
      <c r="BG216" s="267" t="e">
        <f t="shared" si="35"/>
        <v>#REF!</v>
      </c>
      <c r="BH216" s="267" t="e">
        <f>BD216-#REF!</f>
        <v>#REF!</v>
      </c>
      <c r="BI216" s="267" t="e">
        <f t="shared" si="36"/>
        <v>#REF!</v>
      </c>
      <c r="BJ216" s="136" t="e">
        <f>#REF!*BJ$111</f>
        <v>#REF!</v>
      </c>
      <c r="BK216" s="202"/>
      <c r="BL216" s="202"/>
      <c r="BM216" s="136" t="e">
        <f>BD216*BM$111</f>
        <v>#REF!</v>
      </c>
      <c r="BN216" s="202"/>
      <c r="BO216" s="202"/>
      <c r="BP216" s="267" t="e">
        <f t="shared" si="37"/>
        <v>#REF!</v>
      </c>
      <c r="BQ216" s="267" t="e">
        <f t="shared" si="38"/>
        <v>#REF!</v>
      </c>
      <c r="BR216" s="136" t="e">
        <f>BJ216*BR$111</f>
        <v>#REF!</v>
      </c>
      <c r="BS216" s="202"/>
      <c r="BT216" s="202"/>
      <c r="BU216" s="136" t="e">
        <f>BM216*BU$111</f>
        <v>#REF!</v>
      </c>
      <c r="BV216" s="202"/>
      <c r="BW216" s="202"/>
      <c r="BX216" s="267" t="e">
        <f t="shared" si="39"/>
        <v>#REF!</v>
      </c>
      <c r="BY216" s="267" t="e">
        <f t="shared" si="40"/>
        <v>#REF!</v>
      </c>
      <c r="BZ216" s="136" t="e">
        <f>BR216*BZ$111</f>
        <v>#REF!</v>
      </c>
      <c r="CA216" s="202"/>
      <c r="CB216" s="202"/>
      <c r="CC216" s="136" t="e">
        <f>BU216*CC$111</f>
        <v>#REF!</v>
      </c>
      <c r="CD216" s="202"/>
      <c r="CE216" s="202"/>
      <c r="CF216" s="267" t="e">
        <f t="shared" si="41"/>
        <v>#REF!</v>
      </c>
      <c r="CG216" s="267" t="e">
        <f t="shared" si="42"/>
        <v>#REF!</v>
      </c>
      <c r="CH216" s="136" t="e">
        <f>BZ216*CH$111</f>
        <v>#REF!</v>
      </c>
      <c r="CI216" s="202"/>
      <c r="CJ216" s="202"/>
      <c r="CK216" s="136" t="e">
        <f>CC216*CK$111</f>
        <v>#REF!</v>
      </c>
      <c r="CL216" s="202"/>
      <c r="CM216" s="202"/>
      <c r="CN216" s="267" t="e">
        <f t="shared" si="43"/>
        <v>#REF!</v>
      </c>
      <c r="CO216" s="267" t="e">
        <f t="shared" si="44"/>
        <v>#REF!</v>
      </c>
      <c r="CP216" s="92"/>
      <c r="CQ216" s="85"/>
      <c r="CR216" s="85"/>
      <c r="CS216" s="85"/>
      <c r="CT216" s="99" t="e">
        <f t="shared" si="45"/>
        <v>#REF!</v>
      </c>
      <c r="CU216" s="99" t="e">
        <f t="array" ref="CU216">BD216</f>
        <v>#REF!</v>
      </c>
      <c r="CV216" s="101"/>
      <c r="CW216" s="101"/>
      <c r="CX216" s="101"/>
      <c r="CY216" s="101"/>
      <c r="CZ216" s="101"/>
      <c r="DA216" s="101"/>
      <c r="DB216" s="101"/>
    </row>
    <row r="217" spans="3:106" ht="14.25" customHeight="1" outlineLevel="4" x14ac:dyDescent="0.25">
      <c r="C217" s="2" t="s">
        <v>84</v>
      </c>
      <c r="D217" s="2" t="s">
        <v>85</v>
      </c>
      <c r="E217" s="2" t="s">
        <v>74</v>
      </c>
      <c r="F217" s="2" t="s">
        <v>75</v>
      </c>
      <c r="G217" s="2" t="s">
        <v>286</v>
      </c>
      <c r="H217" s="2" t="s">
        <v>74</v>
      </c>
      <c r="I217" s="2" t="s">
        <v>74</v>
      </c>
      <c r="J217" s="2" t="s">
        <v>74</v>
      </c>
      <c r="K217" s="5" t="s">
        <v>74</v>
      </c>
      <c r="L217" s="2" t="s">
        <v>196</v>
      </c>
      <c r="M217" s="8" t="str">
        <f t="array" ref="M217">Y107</f>
        <v>1ВО::1.1</v>
      </c>
      <c r="AA217" s="206" t="str">
        <f>AA200&amp;".5"</f>
        <v>3.1.1.3.5</v>
      </c>
      <c r="AB217" s="198" t="s">
        <v>287</v>
      </c>
      <c r="AC217" s="197" t="s">
        <v>114</v>
      </c>
      <c r="AD217" s="136">
        <v>35.711609850999999</v>
      </c>
      <c r="AE217" s="136">
        <v>37.802096143900002</v>
      </c>
      <c r="AF217" s="195">
        <v>43.606869685699998</v>
      </c>
      <c r="AG217" s="202"/>
      <c r="AH217" s="202"/>
      <c r="AI217" s="136">
        <v>43.606869685699998</v>
      </c>
      <c r="AJ217" s="202"/>
      <c r="AK217" s="202"/>
      <c r="AL217" s="202"/>
      <c r="AM217" s="202"/>
      <c r="AN217" s="203">
        <f t="array" ref="AN217">IF('ВО-2021-2025'!$AN$81="Методика",IF('ВО-2021-2025'!AI$158=0,0,'ВО-2021-2025'!AI217/'ВО-2021-2025'!AI$158*'ВО-2021-2025'!AN$159),[1]Адм.расходы!BT174)</f>
        <v>524.58000000000004</v>
      </c>
      <c r="AO217" s="195">
        <v>309.62210876799998</v>
      </c>
      <c r="AP217" s="202"/>
      <c r="AQ217" s="202"/>
      <c r="AR217" s="136">
        <v>309.62210876799998</v>
      </c>
      <c r="AS217" s="202"/>
      <c r="AT217" s="202"/>
      <c r="AU217" s="203">
        <f t="array" ref="AU217">[1]Адм.расходы!BY174</f>
        <v>0</v>
      </c>
      <c r="AV217" s="195">
        <v>319.39997496289999</v>
      </c>
      <c r="AW217" s="202"/>
      <c r="AX217" s="202"/>
      <c r="AY217" s="136">
        <v>319.39997496289999</v>
      </c>
      <c r="AZ217" s="202"/>
      <c r="BA217" s="202"/>
      <c r="BB217" s="202"/>
      <c r="BC217" s="202"/>
      <c r="BD217" s="204" t="e">
        <f>'ВО-2021-2025'!$AR$217*'ВО-2021-2025'!$BD$112</f>
        <v>#REF!</v>
      </c>
      <c r="BE217" s="202"/>
      <c r="BF217" s="202"/>
      <c r="BG217" s="267" t="e">
        <f t="shared" si="35"/>
        <v>#REF!</v>
      </c>
      <c r="BH217" s="267" t="e">
        <f>BD217-#REF!</f>
        <v>#REF!</v>
      </c>
      <c r="BI217" s="267" t="e">
        <f t="shared" si="36"/>
        <v>#REF!</v>
      </c>
      <c r="BJ217" s="136" t="e">
        <f>#REF!*BJ$111</f>
        <v>#REF!</v>
      </c>
      <c r="BK217" s="202"/>
      <c r="BL217" s="202"/>
      <c r="BM217" s="136" t="e">
        <f>BD217*BM$111</f>
        <v>#REF!</v>
      </c>
      <c r="BN217" s="202"/>
      <c r="BO217" s="202"/>
      <c r="BP217" s="267" t="e">
        <f t="shared" si="37"/>
        <v>#REF!</v>
      </c>
      <c r="BQ217" s="267" t="e">
        <f t="shared" si="38"/>
        <v>#REF!</v>
      </c>
      <c r="BR217" s="136" t="e">
        <f>BJ217*BR$111</f>
        <v>#REF!</v>
      </c>
      <c r="BS217" s="202"/>
      <c r="BT217" s="202"/>
      <c r="BU217" s="136" t="e">
        <f>BM217*BU$111</f>
        <v>#REF!</v>
      </c>
      <c r="BV217" s="202"/>
      <c r="BW217" s="202"/>
      <c r="BX217" s="267" t="e">
        <f t="shared" si="39"/>
        <v>#REF!</v>
      </c>
      <c r="BY217" s="267" t="e">
        <f t="shared" si="40"/>
        <v>#REF!</v>
      </c>
      <c r="BZ217" s="136" t="e">
        <f>BR217*BZ$111</f>
        <v>#REF!</v>
      </c>
      <c r="CA217" s="202"/>
      <c r="CB217" s="202"/>
      <c r="CC217" s="136" t="e">
        <f>BU217*CC$111</f>
        <v>#REF!</v>
      </c>
      <c r="CD217" s="202"/>
      <c r="CE217" s="202"/>
      <c r="CF217" s="267" t="e">
        <f t="shared" si="41"/>
        <v>#REF!</v>
      </c>
      <c r="CG217" s="267" t="e">
        <f t="shared" si="42"/>
        <v>#REF!</v>
      </c>
      <c r="CH217" s="136" t="e">
        <f>BZ217*CH$111</f>
        <v>#REF!</v>
      </c>
      <c r="CI217" s="202"/>
      <c r="CJ217" s="202"/>
      <c r="CK217" s="136" t="e">
        <f>CC217*CK$111</f>
        <v>#REF!</v>
      </c>
      <c r="CL217" s="202"/>
      <c r="CM217" s="202"/>
      <c r="CN217" s="267" t="e">
        <f t="shared" si="43"/>
        <v>#REF!</v>
      </c>
      <c r="CO217" s="267" t="e">
        <f t="shared" si="44"/>
        <v>#REF!</v>
      </c>
      <c r="CP217" s="92" t="s">
        <v>562</v>
      </c>
      <c r="CQ217" s="85"/>
      <c r="CR217" s="85"/>
      <c r="CS217" s="85"/>
      <c r="CT217" s="99" t="e">
        <f t="shared" si="45"/>
        <v>#REF!</v>
      </c>
      <c r="CU217" s="99" t="e">
        <f t="array" ref="CU217">BD217</f>
        <v>#REF!</v>
      </c>
      <c r="CV217" s="101"/>
      <c r="CW217" s="101"/>
      <c r="CX217" s="101"/>
      <c r="CY217" s="101"/>
      <c r="CZ217" s="101"/>
      <c r="DA217" s="101"/>
      <c r="DB217" s="101"/>
    </row>
    <row r="218" spans="3:106" ht="14.25" customHeight="1" outlineLevel="4" x14ac:dyDescent="0.25">
      <c r="C218" s="2" t="s">
        <v>84</v>
      </c>
      <c r="D218" s="2" t="s">
        <v>85</v>
      </c>
      <c r="E218" s="2" t="s">
        <v>74</v>
      </c>
      <c r="F218" s="2" t="s">
        <v>75</v>
      </c>
      <c r="G218" s="2" t="s">
        <v>288</v>
      </c>
      <c r="H218" s="2" t="s">
        <v>74</v>
      </c>
      <c r="I218" s="2" t="s">
        <v>74</v>
      </c>
      <c r="J218" s="2" t="s">
        <v>74</v>
      </c>
      <c r="K218" s="5" t="s">
        <v>74</v>
      </c>
      <c r="L218" s="2" t="s">
        <v>196</v>
      </c>
      <c r="M218" s="8" t="str">
        <f t="array" ref="M218">Y107</f>
        <v>1ВО::1.1</v>
      </c>
      <c r="AA218" s="206" t="str">
        <f>AA200&amp;".6"</f>
        <v>3.1.1.3.6</v>
      </c>
      <c r="AB218" s="198" t="s">
        <v>289</v>
      </c>
      <c r="AC218" s="197" t="s">
        <v>114</v>
      </c>
      <c r="AD218" s="136">
        <v>41.569235997299998</v>
      </c>
      <c r="AE218" s="136">
        <v>44.002616021900003</v>
      </c>
      <c r="AF218" s="195">
        <v>50.7595223131</v>
      </c>
      <c r="AG218" s="202"/>
      <c r="AH218" s="202"/>
      <c r="AI218" s="136">
        <v>50.7595223131</v>
      </c>
      <c r="AJ218" s="202"/>
      <c r="AK218" s="202"/>
      <c r="AL218" s="202"/>
      <c r="AM218" s="202"/>
      <c r="AN218" s="203">
        <f t="array" ref="AN218">IF('ВО-2021-2025'!$AN$81="Методика",IF('ВО-2021-2025'!AI$158=0,0,'ВО-2021-2025'!AI218/'ВО-2021-2025'!AI$158*'ВО-2021-2025'!AN$159),[1]Адм.расходы!BT175)</f>
        <v>0.32</v>
      </c>
      <c r="AO218" s="195"/>
      <c r="AP218" s="202"/>
      <c r="AQ218" s="202"/>
      <c r="AR218" s="136">
        <f t="array" ref="AR218">'ВО-2021-2025'!$AO$218</f>
        <v>0</v>
      </c>
      <c r="AS218" s="202"/>
      <c r="AT218" s="202"/>
      <c r="AU218" s="203">
        <f t="array" ref="AU218">[1]Адм.расходы!BY175</f>
        <v>0</v>
      </c>
      <c r="AV218" s="195">
        <v>0</v>
      </c>
      <c r="AW218" s="202"/>
      <c r="AX218" s="202"/>
      <c r="AY218" s="136">
        <f>IF(AY$88,AR218*AY$112,AV218*1)</f>
        <v>0</v>
      </c>
      <c r="AZ218" s="202"/>
      <c r="BA218" s="202"/>
      <c r="BB218" s="202"/>
      <c r="BC218" s="202"/>
      <c r="BD218" s="204" t="e">
        <f>'ВО-2021-2025'!$AR$218*'ВО-2021-2025'!$BD$112</f>
        <v>#REF!</v>
      </c>
      <c r="BE218" s="202"/>
      <c r="BF218" s="202"/>
      <c r="BG218" s="267">
        <f t="shared" si="35"/>
        <v>0</v>
      </c>
      <c r="BH218" s="267" t="e">
        <f>BD218-#REF!</f>
        <v>#REF!</v>
      </c>
      <c r="BI218" s="267" t="e">
        <f t="shared" si="36"/>
        <v>#REF!</v>
      </c>
      <c r="BJ218" s="136" t="e">
        <f>#REF!*BJ$111</f>
        <v>#REF!</v>
      </c>
      <c r="BK218" s="202"/>
      <c r="BL218" s="202"/>
      <c r="BM218" s="136" t="e">
        <f>BD218*BM$111</f>
        <v>#REF!</v>
      </c>
      <c r="BN218" s="202"/>
      <c r="BO218" s="202"/>
      <c r="BP218" s="267" t="e">
        <f t="shared" si="37"/>
        <v>#REF!</v>
      </c>
      <c r="BQ218" s="267" t="e">
        <f t="shared" si="38"/>
        <v>#REF!</v>
      </c>
      <c r="BR218" s="136" t="e">
        <f>BJ218*BR$111</f>
        <v>#REF!</v>
      </c>
      <c r="BS218" s="202"/>
      <c r="BT218" s="202"/>
      <c r="BU218" s="136" t="e">
        <f>BM218*BU$111</f>
        <v>#REF!</v>
      </c>
      <c r="BV218" s="202"/>
      <c r="BW218" s="202"/>
      <c r="BX218" s="267" t="e">
        <f t="shared" si="39"/>
        <v>#REF!</v>
      </c>
      <c r="BY218" s="267" t="e">
        <f t="shared" si="40"/>
        <v>#REF!</v>
      </c>
      <c r="BZ218" s="136" t="e">
        <f>BR218*BZ$111</f>
        <v>#REF!</v>
      </c>
      <c r="CA218" s="202"/>
      <c r="CB218" s="202"/>
      <c r="CC218" s="136" t="e">
        <f>BU218*CC$111</f>
        <v>#REF!</v>
      </c>
      <c r="CD218" s="202"/>
      <c r="CE218" s="202"/>
      <c r="CF218" s="267" t="e">
        <f t="shared" si="41"/>
        <v>#REF!</v>
      </c>
      <c r="CG218" s="267" t="e">
        <f t="shared" si="42"/>
        <v>#REF!</v>
      </c>
      <c r="CH218" s="136" t="e">
        <f>BZ218*CH$111</f>
        <v>#REF!</v>
      </c>
      <c r="CI218" s="202"/>
      <c r="CJ218" s="202"/>
      <c r="CK218" s="136" t="e">
        <f>CC218*CK$111</f>
        <v>#REF!</v>
      </c>
      <c r="CL218" s="202"/>
      <c r="CM218" s="202"/>
      <c r="CN218" s="267" t="e">
        <f t="shared" si="43"/>
        <v>#REF!</v>
      </c>
      <c r="CO218" s="267" t="e">
        <f t="shared" si="44"/>
        <v>#REF!</v>
      </c>
      <c r="CP218" s="92"/>
      <c r="CQ218" s="85"/>
      <c r="CR218" s="85"/>
      <c r="CS218" s="85"/>
      <c r="CT218" s="99" t="e">
        <f t="shared" si="45"/>
        <v>#REF!</v>
      </c>
      <c r="CU218" s="99" t="e">
        <f t="array" ref="CU218">BD218</f>
        <v>#REF!</v>
      </c>
      <c r="CV218" s="101"/>
      <c r="CW218" s="101"/>
      <c r="CX218" s="101"/>
      <c r="CY218" s="101"/>
      <c r="CZ218" s="101"/>
      <c r="DA218" s="101"/>
      <c r="DB218" s="101"/>
    </row>
    <row r="219" spans="3:106" ht="14.25" customHeight="1" outlineLevel="4" x14ac:dyDescent="0.25">
      <c r="C219" s="2" t="s">
        <v>84</v>
      </c>
      <c r="D219" s="2" t="s">
        <v>85</v>
      </c>
      <c r="E219" s="2" t="s">
        <v>74</v>
      </c>
      <c r="F219" s="2" t="s">
        <v>75</v>
      </c>
      <c r="G219" s="2" t="s">
        <v>290</v>
      </c>
      <c r="H219" s="2" t="s">
        <v>74</v>
      </c>
      <c r="I219" s="2" t="s">
        <v>74</v>
      </c>
      <c r="J219" s="2" t="s">
        <v>74</v>
      </c>
      <c r="K219" s="5" t="s">
        <v>74</v>
      </c>
      <c r="L219" s="2" t="s">
        <v>196</v>
      </c>
      <c r="M219" s="8" t="str">
        <f t="array" ref="M219">Y107</f>
        <v>1ВО::1.1</v>
      </c>
      <c r="AA219" s="206" t="str">
        <f>AA200&amp;".7"</f>
        <v>3.1.1.3.7</v>
      </c>
      <c r="AB219" s="198" t="s">
        <v>291</v>
      </c>
      <c r="AC219" s="197" t="s">
        <v>114</v>
      </c>
      <c r="AD219" s="173">
        <v>2980.5833808138004</v>
      </c>
      <c r="AE219" s="173">
        <v>3155.0607770567003</v>
      </c>
      <c r="AF219" s="173">
        <v>3639.5421997753001</v>
      </c>
      <c r="AG219" s="174"/>
      <c r="AH219" s="174"/>
      <c r="AI219" s="173">
        <f>AI220+AI221+AI226+AI222+AI223+AI224+AI225</f>
        <v>3639.5421997753001</v>
      </c>
      <c r="AJ219" s="174"/>
      <c r="AK219" s="174"/>
      <c r="AL219" s="174"/>
      <c r="AM219" s="174"/>
      <c r="AN219" s="173">
        <f>AN220+AN221+AN226+AN222+AN223+AN224+AN225</f>
        <v>7838.4250000000002</v>
      </c>
      <c r="AO219" s="173">
        <v>3857.9182681920001</v>
      </c>
      <c r="AP219" s="174"/>
      <c r="AQ219" s="174"/>
      <c r="AR219" s="173">
        <f>AR220+AR221+AR226+AR222+AR223+AR224+AR225</f>
        <v>3857.9182681920001</v>
      </c>
      <c r="AS219" s="174"/>
      <c r="AT219" s="174"/>
      <c r="AU219" s="173">
        <f>AU220+AU221+AU226+AU222+AU223+AU224+AU225</f>
        <v>0</v>
      </c>
      <c r="AV219" s="173">
        <v>3979.7513271015</v>
      </c>
      <c r="AW219" s="174"/>
      <c r="AX219" s="174"/>
      <c r="AY219" s="173">
        <f>AY220+AY221+AY226+AY222+AY223+AY224+AY225</f>
        <v>3979.7513271015</v>
      </c>
      <c r="AZ219" s="174"/>
      <c r="BA219" s="174"/>
      <c r="BB219" s="174"/>
      <c r="BC219" s="174"/>
      <c r="BD219" s="173" t="e">
        <f>BD220+BD221+BD226+BD222+BD223+BD224+BD225</f>
        <v>#REF!</v>
      </c>
      <c r="BE219" s="174"/>
      <c r="BF219" s="174"/>
      <c r="BG219" s="267" t="e">
        <f t="shared" si="35"/>
        <v>#REF!</v>
      </c>
      <c r="BH219" s="267" t="e">
        <f>BD219-#REF!</f>
        <v>#REF!</v>
      </c>
      <c r="BI219" s="267" t="e">
        <f t="shared" si="36"/>
        <v>#REF!</v>
      </c>
      <c r="BJ219" s="173" t="e">
        <f>BJ220+BJ221+BJ226+BJ222+BJ223+BJ224+BJ225</f>
        <v>#REF!</v>
      </c>
      <c r="BK219" s="174"/>
      <c r="BL219" s="174"/>
      <c r="BM219" s="173" t="e">
        <f>BM220+BM221+BM226+BM222+BM223+BM224+BM225</f>
        <v>#REF!</v>
      </c>
      <c r="BN219" s="174"/>
      <c r="BO219" s="174"/>
      <c r="BP219" s="267" t="e">
        <f t="shared" si="37"/>
        <v>#REF!</v>
      </c>
      <c r="BQ219" s="267" t="e">
        <f t="shared" si="38"/>
        <v>#REF!</v>
      </c>
      <c r="BR219" s="173" t="e">
        <f>BR220+BR221+BR226+BR222+BR223+BR224+BR225</f>
        <v>#REF!</v>
      </c>
      <c r="BS219" s="174"/>
      <c r="BT219" s="174"/>
      <c r="BU219" s="173" t="e">
        <f>BU220+BU221+BU226+BU222+BU223+BU224+BU225</f>
        <v>#REF!</v>
      </c>
      <c r="BV219" s="174"/>
      <c r="BW219" s="174"/>
      <c r="BX219" s="267" t="e">
        <f t="shared" si="39"/>
        <v>#REF!</v>
      </c>
      <c r="BY219" s="267" t="e">
        <f t="shared" si="40"/>
        <v>#REF!</v>
      </c>
      <c r="BZ219" s="173" t="e">
        <f>BZ220+BZ221+BZ226+BZ222+BZ223+BZ224+BZ225</f>
        <v>#REF!</v>
      </c>
      <c r="CA219" s="174"/>
      <c r="CB219" s="174"/>
      <c r="CC219" s="173" t="e">
        <f>CC220+CC221+CC226+CC222+CC223+CC224+CC225</f>
        <v>#REF!</v>
      </c>
      <c r="CD219" s="174"/>
      <c r="CE219" s="174"/>
      <c r="CF219" s="267" t="e">
        <f t="shared" si="41"/>
        <v>#REF!</v>
      </c>
      <c r="CG219" s="267" t="e">
        <f t="shared" si="42"/>
        <v>#REF!</v>
      </c>
      <c r="CH219" s="173" t="e">
        <f>CH220+CH221+CH226+CH222+CH223+CH224+CH225</f>
        <v>#REF!</v>
      </c>
      <c r="CI219" s="174"/>
      <c r="CJ219" s="174"/>
      <c r="CK219" s="173" t="e">
        <f>CK220+CK221+CK226+CK222+CK223+CK224+CK225</f>
        <v>#REF!</v>
      </c>
      <c r="CL219" s="174"/>
      <c r="CM219" s="174"/>
      <c r="CN219" s="267" t="e">
        <f t="shared" si="43"/>
        <v>#REF!</v>
      </c>
      <c r="CO219" s="267" t="e">
        <f t="shared" si="44"/>
        <v>#REF!</v>
      </c>
      <c r="CP219" s="92"/>
      <c r="CQ219" s="85"/>
      <c r="CR219" s="85"/>
      <c r="CS219" s="85"/>
      <c r="CT219" s="99" t="e">
        <f t="shared" si="45"/>
        <v>#REF!</v>
      </c>
      <c r="CU219" s="100" t="e">
        <f>CU220+CU221+CU226+CU222+CU223+CU224+CU225</f>
        <v>#REF!</v>
      </c>
      <c r="CV219" s="101"/>
      <c r="CW219" s="101"/>
      <c r="CX219" s="101"/>
      <c r="CY219" s="101"/>
      <c r="CZ219" s="101"/>
      <c r="DA219" s="101"/>
      <c r="DB219" s="101"/>
    </row>
    <row r="220" spans="3:106" ht="14.25" customHeight="1" outlineLevel="5" x14ac:dyDescent="0.25">
      <c r="C220" s="2" t="s">
        <v>84</v>
      </c>
      <c r="D220" s="2" t="s">
        <v>85</v>
      </c>
      <c r="E220" s="2" t="s">
        <v>74</v>
      </c>
      <c r="F220" s="2" t="s">
        <v>75</v>
      </c>
      <c r="G220" s="2" t="s">
        <v>292</v>
      </c>
      <c r="H220" s="2" t="s">
        <v>74</v>
      </c>
      <c r="I220" s="2" t="s">
        <v>74</v>
      </c>
      <c r="J220" s="2" t="s">
        <v>74</v>
      </c>
      <c r="K220" s="5" t="s">
        <v>74</v>
      </c>
      <c r="L220" s="2" t="s">
        <v>196</v>
      </c>
      <c r="M220" s="8" t="str">
        <f t="array" ref="M220">Y107</f>
        <v>1ВО::1.1</v>
      </c>
      <c r="AA220" s="107" t="str">
        <f>AA219&amp;".1"</f>
        <v>3.1.1.3.7.1</v>
      </c>
      <c r="AB220" s="199" t="s">
        <v>293</v>
      </c>
      <c r="AC220" s="197" t="s">
        <v>114</v>
      </c>
      <c r="AD220" s="136"/>
      <c r="AE220" s="136"/>
      <c r="AF220" s="195"/>
      <c r="AG220" s="202"/>
      <c r="AH220" s="202"/>
      <c r="AI220" s="136">
        <f t="array" ref="AI220">'ВО-2021-2025'!$AF$220</f>
        <v>0</v>
      </c>
      <c r="AJ220" s="202"/>
      <c r="AK220" s="202"/>
      <c r="AL220" s="202"/>
      <c r="AM220" s="202"/>
      <c r="AN220" s="203">
        <f t="array" ref="AN220">IF('ВО-2021-2025'!$AN$81="Методика",IF('ВО-2021-2025'!AI$158=0,0,'ВО-2021-2025'!AI220/'ВО-2021-2025'!AI$158*'ВО-2021-2025'!AN$159),[1]Адм.расходы!BT177)</f>
        <v>0</v>
      </c>
      <c r="AO220" s="195"/>
      <c r="AP220" s="202"/>
      <c r="AQ220" s="202"/>
      <c r="AR220" s="136">
        <f t="array" ref="AR220">'ВО-2021-2025'!$AO$220</f>
        <v>0</v>
      </c>
      <c r="AS220" s="202"/>
      <c r="AT220" s="202"/>
      <c r="AU220" s="203">
        <f t="array" ref="AU220">[1]Адм.расходы!BY177</f>
        <v>0</v>
      </c>
      <c r="AV220" s="195">
        <v>0</v>
      </c>
      <c r="AW220" s="202"/>
      <c r="AX220" s="202"/>
      <c r="AY220" s="136">
        <f t="shared" ref="AY220:AY225" si="53">IF(AY$88,AR220*AY$112,AV220*1)</f>
        <v>0</v>
      </c>
      <c r="AZ220" s="202"/>
      <c r="BA220" s="202"/>
      <c r="BB220" s="202"/>
      <c r="BC220" s="202"/>
      <c r="BD220" s="204" t="e">
        <f>'ВО-2021-2025'!$AR$220*'ВО-2021-2025'!$BD$112</f>
        <v>#REF!</v>
      </c>
      <c r="BE220" s="202"/>
      <c r="BF220" s="202"/>
      <c r="BG220" s="267">
        <f t="shared" si="35"/>
        <v>0</v>
      </c>
      <c r="BH220" s="267" t="e">
        <f>BD220-#REF!</f>
        <v>#REF!</v>
      </c>
      <c r="BI220" s="267" t="e">
        <f t="shared" si="36"/>
        <v>#REF!</v>
      </c>
      <c r="BJ220" s="136" t="e">
        <f>#REF!*BJ$111</f>
        <v>#REF!</v>
      </c>
      <c r="BK220" s="202"/>
      <c r="BL220" s="202"/>
      <c r="BM220" s="136" t="e">
        <f t="shared" ref="BM220:BM229" si="54">BD220*BM$111</f>
        <v>#REF!</v>
      </c>
      <c r="BN220" s="202"/>
      <c r="BO220" s="202"/>
      <c r="BP220" s="267" t="e">
        <f t="shared" si="37"/>
        <v>#REF!</v>
      </c>
      <c r="BQ220" s="267" t="e">
        <f t="shared" si="38"/>
        <v>#REF!</v>
      </c>
      <c r="BR220" s="136" t="e">
        <f t="shared" ref="BR220:BR229" si="55">BJ220*BR$111</f>
        <v>#REF!</v>
      </c>
      <c r="BS220" s="202"/>
      <c r="BT220" s="202"/>
      <c r="BU220" s="136" t="e">
        <f t="shared" ref="BU220:BU229" si="56">BM220*BU$111</f>
        <v>#REF!</v>
      </c>
      <c r="BV220" s="202"/>
      <c r="BW220" s="202"/>
      <c r="BX220" s="267" t="e">
        <f t="shared" si="39"/>
        <v>#REF!</v>
      </c>
      <c r="BY220" s="267" t="e">
        <f t="shared" si="40"/>
        <v>#REF!</v>
      </c>
      <c r="BZ220" s="136" t="e">
        <f t="shared" ref="BZ220:BZ229" si="57">BR220*BZ$111</f>
        <v>#REF!</v>
      </c>
      <c r="CA220" s="202"/>
      <c r="CB220" s="202"/>
      <c r="CC220" s="136" t="e">
        <f t="shared" ref="CC220:CC229" si="58">BU220*CC$111</f>
        <v>#REF!</v>
      </c>
      <c r="CD220" s="202"/>
      <c r="CE220" s="202"/>
      <c r="CF220" s="267" t="e">
        <f t="shared" si="41"/>
        <v>#REF!</v>
      </c>
      <c r="CG220" s="267" t="e">
        <f t="shared" si="42"/>
        <v>#REF!</v>
      </c>
      <c r="CH220" s="136" t="e">
        <f t="shared" ref="CH220:CH229" si="59">BZ220*CH$111</f>
        <v>#REF!</v>
      </c>
      <c r="CI220" s="202"/>
      <c r="CJ220" s="202"/>
      <c r="CK220" s="136" t="e">
        <f t="shared" ref="CK220:CK229" si="60">CC220*CK$111</f>
        <v>#REF!</v>
      </c>
      <c r="CL220" s="202"/>
      <c r="CM220" s="202"/>
      <c r="CN220" s="267" t="e">
        <f t="shared" si="43"/>
        <v>#REF!</v>
      </c>
      <c r="CO220" s="267" t="e">
        <f t="shared" si="44"/>
        <v>#REF!</v>
      </c>
      <c r="CP220" s="92"/>
      <c r="CQ220" s="85"/>
      <c r="CR220" s="85"/>
      <c r="CS220" s="85"/>
      <c r="CT220" s="99" t="e">
        <f t="shared" si="45"/>
        <v>#REF!</v>
      </c>
      <c r="CU220" s="99" t="e">
        <f t="array" ref="CU220">BD220</f>
        <v>#REF!</v>
      </c>
      <c r="CV220" s="101"/>
      <c r="CW220" s="101"/>
      <c r="CX220" s="101"/>
      <c r="CY220" s="101"/>
      <c r="CZ220" s="101"/>
      <c r="DA220" s="101"/>
      <c r="DB220" s="101"/>
    </row>
    <row r="221" spans="3:106" ht="30.2" customHeight="1" outlineLevel="5" x14ac:dyDescent="0.25">
      <c r="C221" s="2" t="s">
        <v>84</v>
      </c>
      <c r="D221" s="2" t="s">
        <v>85</v>
      </c>
      <c r="E221" s="2" t="s">
        <v>74</v>
      </c>
      <c r="F221" s="2" t="s">
        <v>75</v>
      </c>
      <c r="G221" s="2" t="s">
        <v>294</v>
      </c>
      <c r="H221" s="2" t="s">
        <v>74</v>
      </c>
      <c r="I221" s="2" t="s">
        <v>74</v>
      </c>
      <c r="J221" s="2" t="s">
        <v>74</v>
      </c>
      <c r="K221" s="5" t="s">
        <v>74</v>
      </c>
      <c r="L221" s="2" t="s">
        <v>196</v>
      </c>
      <c r="M221" s="8" t="str">
        <f t="array" ref="M221">Y107</f>
        <v>1ВО::1.1</v>
      </c>
      <c r="AA221" s="107" t="str">
        <f>AA219&amp;".2"</f>
        <v>3.1.1.3.7.2</v>
      </c>
      <c r="AB221" s="199" t="s">
        <v>295</v>
      </c>
      <c r="AC221" s="197" t="s">
        <v>114</v>
      </c>
      <c r="AD221" s="136"/>
      <c r="AE221" s="136"/>
      <c r="AF221" s="195"/>
      <c r="AG221" s="202"/>
      <c r="AH221" s="202"/>
      <c r="AI221" s="136">
        <f t="array" ref="AI221">'ВО-2021-2025'!$AF$221</f>
        <v>0</v>
      </c>
      <c r="AJ221" s="202"/>
      <c r="AK221" s="202"/>
      <c r="AL221" s="202"/>
      <c r="AM221" s="202"/>
      <c r="AN221" s="203">
        <f t="array" ref="AN221">IF('ВО-2021-2025'!$AN$81="Методика",IF('ВО-2021-2025'!AI$158=0,0,'ВО-2021-2025'!AI221/'ВО-2021-2025'!AI$158*'ВО-2021-2025'!AN$159),[1]Адм.расходы!BT178)</f>
        <v>165.00399999999999</v>
      </c>
      <c r="AO221" s="195"/>
      <c r="AP221" s="202"/>
      <c r="AQ221" s="202"/>
      <c r="AR221" s="136">
        <f t="array" ref="AR221">'ВО-2021-2025'!$AO$221</f>
        <v>0</v>
      </c>
      <c r="AS221" s="202"/>
      <c r="AT221" s="202"/>
      <c r="AU221" s="203">
        <f t="array" ref="AU221">[1]Адм.расходы!BY178</f>
        <v>0</v>
      </c>
      <c r="AV221" s="195">
        <v>0</v>
      </c>
      <c r="AW221" s="202"/>
      <c r="AX221" s="202"/>
      <c r="AY221" s="136">
        <f t="shared" si="53"/>
        <v>0</v>
      </c>
      <c r="AZ221" s="202"/>
      <c r="BA221" s="202"/>
      <c r="BB221" s="202"/>
      <c r="BC221" s="202"/>
      <c r="BD221" s="204" t="e">
        <f>'ВО-2021-2025'!$AR$221*'ВО-2021-2025'!$BD$112</f>
        <v>#REF!</v>
      </c>
      <c r="BE221" s="202"/>
      <c r="BF221" s="202"/>
      <c r="BG221" s="267">
        <f t="shared" si="35"/>
        <v>0</v>
      </c>
      <c r="BH221" s="267" t="e">
        <f>BD221-#REF!</f>
        <v>#REF!</v>
      </c>
      <c r="BI221" s="267" t="e">
        <f t="shared" si="36"/>
        <v>#REF!</v>
      </c>
      <c r="BJ221" s="136" t="e">
        <f>#REF!*BJ$111</f>
        <v>#REF!</v>
      </c>
      <c r="BK221" s="202"/>
      <c r="BL221" s="202"/>
      <c r="BM221" s="136" t="e">
        <f t="shared" si="54"/>
        <v>#REF!</v>
      </c>
      <c r="BN221" s="202"/>
      <c r="BO221" s="202"/>
      <c r="BP221" s="267" t="e">
        <f t="shared" si="37"/>
        <v>#REF!</v>
      </c>
      <c r="BQ221" s="267" t="e">
        <f t="shared" si="38"/>
        <v>#REF!</v>
      </c>
      <c r="BR221" s="136" t="e">
        <f t="shared" si="55"/>
        <v>#REF!</v>
      </c>
      <c r="BS221" s="202"/>
      <c r="BT221" s="202"/>
      <c r="BU221" s="136" t="e">
        <f t="shared" si="56"/>
        <v>#REF!</v>
      </c>
      <c r="BV221" s="202"/>
      <c r="BW221" s="202"/>
      <c r="BX221" s="267" t="e">
        <f t="shared" si="39"/>
        <v>#REF!</v>
      </c>
      <c r="BY221" s="267" t="e">
        <f t="shared" si="40"/>
        <v>#REF!</v>
      </c>
      <c r="BZ221" s="136" t="e">
        <f t="shared" si="57"/>
        <v>#REF!</v>
      </c>
      <c r="CA221" s="202"/>
      <c r="CB221" s="202"/>
      <c r="CC221" s="136" t="e">
        <f t="shared" si="58"/>
        <v>#REF!</v>
      </c>
      <c r="CD221" s="202"/>
      <c r="CE221" s="202"/>
      <c r="CF221" s="267" t="e">
        <f t="shared" si="41"/>
        <v>#REF!</v>
      </c>
      <c r="CG221" s="267" t="e">
        <f t="shared" si="42"/>
        <v>#REF!</v>
      </c>
      <c r="CH221" s="136" t="e">
        <f t="shared" si="59"/>
        <v>#REF!</v>
      </c>
      <c r="CI221" s="202"/>
      <c r="CJ221" s="202"/>
      <c r="CK221" s="136" t="e">
        <f t="shared" si="60"/>
        <v>#REF!</v>
      </c>
      <c r="CL221" s="202"/>
      <c r="CM221" s="202"/>
      <c r="CN221" s="267" t="e">
        <f t="shared" si="43"/>
        <v>#REF!</v>
      </c>
      <c r="CO221" s="267" t="e">
        <f t="shared" si="44"/>
        <v>#REF!</v>
      </c>
      <c r="CP221" s="92" t="s">
        <v>563</v>
      </c>
      <c r="CQ221" s="85"/>
      <c r="CR221" s="85"/>
      <c r="CS221" s="85"/>
      <c r="CT221" s="99" t="e">
        <f t="shared" si="45"/>
        <v>#REF!</v>
      </c>
      <c r="CU221" s="99" t="e">
        <f t="array" ref="CU221">BD221</f>
        <v>#REF!</v>
      </c>
      <c r="CV221" s="101"/>
      <c r="CW221" s="101"/>
      <c r="CX221" s="101"/>
      <c r="CY221" s="101"/>
      <c r="CZ221" s="101"/>
      <c r="DA221" s="101"/>
      <c r="DB221" s="101"/>
    </row>
    <row r="222" spans="3:106" ht="14.25" customHeight="1" outlineLevel="5" x14ac:dyDescent="0.25">
      <c r="C222" s="2" t="s">
        <v>84</v>
      </c>
      <c r="D222" s="2" t="s">
        <v>85</v>
      </c>
      <c r="E222" s="2" t="s">
        <v>74</v>
      </c>
      <c r="F222" s="2" t="s">
        <v>75</v>
      </c>
      <c r="G222" s="2" t="s">
        <v>296</v>
      </c>
      <c r="H222" s="2" t="s">
        <v>74</v>
      </c>
      <c r="I222" s="2" t="s">
        <v>74</v>
      </c>
      <c r="J222" s="2" t="s">
        <v>74</v>
      </c>
      <c r="K222" s="5" t="s">
        <v>74</v>
      </c>
      <c r="L222" s="2" t="s">
        <v>196</v>
      </c>
      <c r="M222" s="8" t="str">
        <f t="array" ref="M222">Y107</f>
        <v>1ВО::1.1</v>
      </c>
      <c r="AA222" s="107" t="str">
        <f>AA219&amp;".3"</f>
        <v>3.1.1.3.7.3</v>
      </c>
      <c r="AB222" s="199" t="s">
        <v>297</v>
      </c>
      <c r="AC222" s="197" t="s">
        <v>114</v>
      </c>
      <c r="AD222" s="136"/>
      <c r="AE222" s="136"/>
      <c r="AF222" s="195"/>
      <c r="AG222" s="202"/>
      <c r="AH222" s="202"/>
      <c r="AI222" s="136">
        <f t="array" ref="AI222">'ВО-2021-2025'!$AF$222</f>
        <v>0</v>
      </c>
      <c r="AJ222" s="202"/>
      <c r="AK222" s="202"/>
      <c r="AL222" s="202"/>
      <c r="AM222" s="202"/>
      <c r="AN222" s="203">
        <f t="array" ref="AN222">IF('ВО-2021-2025'!$AN$81="Методика",IF('ВО-2021-2025'!AI$158=0,0,'ВО-2021-2025'!AI222/'ВО-2021-2025'!AI$158*'ВО-2021-2025'!AN$159),[1]Адм.расходы!BT179)</f>
        <v>0</v>
      </c>
      <c r="AO222" s="195"/>
      <c r="AP222" s="202"/>
      <c r="AQ222" s="202"/>
      <c r="AR222" s="136">
        <f t="array" ref="AR222">'ВО-2021-2025'!$AO$222</f>
        <v>0</v>
      </c>
      <c r="AS222" s="202"/>
      <c r="AT222" s="202"/>
      <c r="AU222" s="203">
        <f t="array" ref="AU222">[1]Адм.расходы!BY179</f>
        <v>0</v>
      </c>
      <c r="AV222" s="195">
        <v>0</v>
      </c>
      <c r="AW222" s="202"/>
      <c r="AX222" s="202"/>
      <c r="AY222" s="136">
        <f t="shared" si="53"/>
        <v>0</v>
      </c>
      <c r="AZ222" s="202"/>
      <c r="BA222" s="202"/>
      <c r="BB222" s="202"/>
      <c r="BC222" s="202"/>
      <c r="BD222" s="204" t="e">
        <f>'ВО-2021-2025'!$AR$222*'ВО-2021-2025'!$BD$112</f>
        <v>#REF!</v>
      </c>
      <c r="BE222" s="202"/>
      <c r="BF222" s="202"/>
      <c r="BG222" s="267">
        <f t="shared" ref="BG222:BG253" si="61">IF(AR222=0,0,BD222/AR222)*100</f>
        <v>0</v>
      </c>
      <c r="BH222" s="267" t="e">
        <f>BD222-#REF!</f>
        <v>#REF!</v>
      </c>
      <c r="BI222" s="267" t="e">
        <f t="shared" ref="BI222:BI253" si="62">BD222-AY222</f>
        <v>#REF!</v>
      </c>
      <c r="BJ222" s="136" t="e">
        <f>#REF!*BJ$111</f>
        <v>#REF!</v>
      </c>
      <c r="BK222" s="202"/>
      <c r="BL222" s="202"/>
      <c r="BM222" s="136" t="e">
        <f t="shared" si="54"/>
        <v>#REF!</v>
      </c>
      <c r="BN222" s="202"/>
      <c r="BO222" s="202"/>
      <c r="BP222" s="267" t="e">
        <f t="shared" si="37"/>
        <v>#REF!</v>
      </c>
      <c r="BQ222" s="267" t="e">
        <f t="shared" si="38"/>
        <v>#REF!</v>
      </c>
      <c r="BR222" s="136" t="e">
        <f t="shared" si="55"/>
        <v>#REF!</v>
      </c>
      <c r="BS222" s="202"/>
      <c r="BT222" s="202"/>
      <c r="BU222" s="136" t="e">
        <f t="shared" si="56"/>
        <v>#REF!</v>
      </c>
      <c r="BV222" s="202"/>
      <c r="BW222" s="202"/>
      <c r="BX222" s="267" t="e">
        <f t="shared" si="39"/>
        <v>#REF!</v>
      </c>
      <c r="BY222" s="267" t="e">
        <f t="shared" si="40"/>
        <v>#REF!</v>
      </c>
      <c r="BZ222" s="136" t="e">
        <f t="shared" si="57"/>
        <v>#REF!</v>
      </c>
      <c r="CA222" s="202"/>
      <c r="CB222" s="202"/>
      <c r="CC222" s="136" t="e">
        <f t="shared" si="58"/>
        <v>#REF!</v>
      </c>
      <c r="CD222" s="202"/>
      <c r="CE222" s="202"/>
      <c r="CF222" s="267" t="e">
        <f t="shared" si="41"/>
        <v>#REF!</v>
      </c>
      <c r="CG222" s="267" t="e">
        <f t="shared" si="42"/>
        <v>#REF!</v>
      </c>
      <c r="CH222" s="136" t="e">
        <f t="shared" si="59"/>
        <v>#REF!</v>
      </c>
      <c r="CI222" s="202"/>
      <c r="CJ222" s="202"/>
      <c r="CK222" s="136" t="e">
        <f t="shared" si="60"/>
        <v>#REF!</v>
      </c>
      <c r="CL222" s="202"/>
      <c r="CM222" s="202"/>
      <c r="CN222" s="267" t="e">
        <f t="shared" si="43"/>
        <v>#REF!</v>
      </c>
      <c r="CO222" s="267" t="e">
        <f t="shared" si="44"/>
        <v>#REF!</v>
      </c>
      <c r="CP222" s="92"/>
      <c r="CQ222" s="85"/>
      <c r="CR222" s="85"/>
      <c r="CS222" s="85"/>
      <c r="CT222" s="99" t="e">
        <f t="shared" ref="CT222:CT253" si="63">SUM(AD222:CO222)</f>
        <v>#REF!</v>
      </c>
      <c r="CU222" s="99" t="e">
        <f t="array" ref="CU222">BD222</f>
        <v>#REF!</v>
      </c>
      <c r="CV222" s="101"/>
      <c r="CW222" s="101"/>
      <c r="CX222" s="101"/>
      <c r="CY222" s="101"/>
      <c r="CZ222" s="101"/>
      <c r="DA222" s="101"/>
      <c r="DB222" s="101"/>
    </row>
    <row r="223" spans="3:106" ht="14.25" customHeight="1" outlineLevel="5" x14ac:dyDescent="0.25">
      <c r="C223" s="2" t="s">
        <v>84</v>
      </c>
      <c r="D223" s="2" t="s">
        <v>85</v>
      </c>
      <c r="E223" s="2" t="s">
        <v>74</v>
      </c>
      <c r="F223" s="2" t="s">
        <v>75</v>
      </c>
      <c r="G223" s="2" t="s">
        <v>298</v>
      </c>
      <c r="H223" s="2" t="s">
        <v>74</v>
      </c>
      <c r="I223" s="2" t="s">
        <v>74</v>
      </c>
      <c r="J223" s="2" t="s">
        <v>74</v>
      </c>
      <c r="K223" s="5" t="s">
        <v>74</v>
      </c>
      <c r="L223" s="2" t="s">
        <v>196</v>
      </c>
      <c r="M223" s="8" t="str">
        <f t="array" ref="M223">Y107</f>
        <v>1ВО::1.1</v>
      </c>
      <c r="AA223" s="206" t="str">
        <f>AA219&amp;".4"</f>
        <v>3.1.1.3.7.4</v>
      </c>
      <c r="AB223" s="199" t="s">
        <v>299</v>
      </c>
      <c r="AC223" s="197" t="s">
        <v>114</v>
      </c>
      <c r="AD223" s="136">
        <v>1246.3488061851001</v>
      </c>
      <c r="AE223" s="136">
        <v>1319.3075752346001</v>
      </c>
      <c r="AF223" s="195">
        <v>1521.8963861067</v>
      </c>
      <c r="AG223" s="202"/>
      <c r="AH223" s="202"/>
      <c r="AI223" s="136">
        <v>1521.8963861067</v>
      </c>
      <c r="AJ223" s="202"/>
      <c r="AK223" s="202"/>
      <c r="AL223" s="202"/>
      <c r="AM223" s="202"/>
      <c r="AN223" s="203">
        <f t="array" ref="AN223">IF('ВО-2021-2025'!$AN$81="Методика",IF('ВО-2021-2025'!AI$158=0,0,'ВО-2021-2025'!AI223/'ВО-2021-2025'!AI$158*'ВО-2021-2025'!AN$159),[1]Адм.расходы!BT181)</f>
        <v>0</v>
      </c>
      <c r="AO223" s="195"/>
      <c r="AP223" s="202"/>
      <c r="AQ223" s="202"/>
      <c r="AR223" s="136">
        <f t="array" ref="AR223">'ВО-2021-2025'!$AO$223</f>
        <v>0</v>
      </c>
      <c r="AS223" s="202"/>
      <c r="AT223" s="202"/>
      <c r="AU223" s="203">
        <f t="array" ref="AU223">[1]Адм.расходы!BY181</f>
        <v>0</v>
      </c>
      <c r="AV223" s="195">
        <v>0</v>
      </c>
      <c r="AW223" s="202"/>
      <c r="AX223" s="202"/>
      <c r="AY223" s="136">
        <f t="shared" si="53"/>
        <v>0</v>
      </c>
      <c r="AZ223" s="202"/>
      <c r="BA223" s="202"/>
      <c r="BB223" s="202"/>
      <c r="BC223" s="202"/>
      <c r="BD223" s="204" t="e">
        <f>'ВО-2021-2025'!$AR$223*'ВО-2021-2025'!$BD$112</f>
        <v>#REF!</v>
      </c>
      <c r="BE223" s="202"/>
      <c r="BF223" s="202"/>
      <c r="BG223" s="267">
        <f t="shared" si="61"/>
        <v>0</v>
      </c>
      <c r="BH223" s="267" t="e">
        <f>BD223-#REF!</f>
        <v>#REF!</v>
      </c>
      <c r="BI223" s="267" t="e">
        <f t="shared" si="62"/>
        <v>#REF!</v>
      </c>
      <c r="BJ223" s="136" t="e">
        <f>#REF!*BJ$111</f>
        <v>#REF!</v>
      </c>
      <c r="BK223" s="202"/>
      <c r="BL223" s="202"/>
      <c r="BM223" s="136" t="e">
        <f t="shared" si="54"/>
        <v>#REF!</v>
      </c>
      <c r="BN223" s="202"/>
      <c r="BO223" s="202"/>
      <c r="BP223" s="267" t="e">
        <f t="shared" si="37"/>
        <v>#REF!</v>
      </c>
      <c r="BQ223" s="267" t="e">
        <f t="shared" si="38"/>
        <v>#REF!</v>
      </c>
      <c r="BR223" s="136" t="e">
        <f t="shared" si="55"/>
        <v>#REF!</v>
      </c>
      <c r="BS223" s="202"/>
      <c r="BT223" s="202"/>
      <c r="BU223" s="136" t="e">
        <f t="shared" si="56"/>
        <v>#REF!</v>
      </c>
      <c r="BV223" s="202"/>
      <c r="BW223" s="202"/>
      <c r="BX223" s="267" t="e">
        <f t="shared" si="39"/>
        <v>#REF!</v>
      </c>
      <c r="BY223" s="267" t="e">
        <f t="shared" si="40"/>
        <v>#REF!</v>
      </c>
      <c r="BZ223" s="136" t="e">
        <f t="shared" si="57"/>
        <v>#REF!</v>
      </c>
      <c r="CA223" s="202"/>
      <c r="CB223" s="202"/>
      <c r="CC223" s="136" t="e">
        <f t="shared" si="58"/>
        <v>#REF!</v>
      </c>
      <c r="CD223" s="202"/>
      <c r="CE223" s="202"/>
      <c r="CF223" s="267" t="e">
        <f t="shared" si="41"/>
        <v>#REF!</v>
      </c>
      <c r="CG223" s="267" t="e">
        <f t="shared" si="42"/>
        <v>#REF!</v>
      </c>
      <c r="CH223" s="136" t="e">
        <f t="shared" si="59"/>
        <v>#REF!</v>
      </c>
      <c r="CI223" s="202"/>
      <c r="CJ223" s="202"/>
      <c r="CK223" s="136" t="e">
        <f t="shared" si="60"/>
        <v>#REF!</v>
      </c>
      <c r="CL223" s="202"/>
      <c r="CM223" s="202"/>
      <c r="CN223" s="267" t="e">
        <f t="shared" si="43"/>
        <v>#REF!</v>
      </c>
      <c r="CO223" s="267" t="e">
        <f t="shared" si="44"/>
        <v>#REF!</v>
      </c>
      <c r="CP223" s="92"/>
      <c r="CQ223" s="85"/>
      <c r="CR223" s="85"/>
      <c r="CS223" s="85"/>
      <c r="CT223" s="99" t="e">
        <f t="shared" si="63"/>
        <v>#REF!</v>
      </c>
      <c r="CU223" s="99" t="e">
        <f t="array" ref="CU223">BD223</f>
        <v>#REF!</v>
      </c>
      <c r="CV223" s="101"/>
      <c r="CW223" s="101"/>
      <c r="CX223" s="101"/>
      <c r="CY223" s="101"/>
      <c r="CZ223" s="101"/>
      <c r="DA223" s="101"/>
      <c r="DB223" s="101"/>
    </row>
    <row r="224" spans="3:106" ht="14.25" customHeight="1" outlineLevel="5" x14ac:dyDescent="0.25">
      <c r="C224" s="2" t="s">
        <v>84</v>
      </c>
      <c r="D224" s="2" t="s">
        <v>85</v>
      </c>
      <c r="E224" s="2" t="s">
        <v>74</v>
      </c>
      <c r="F224" s="2" t="s">
        <v>75</v>
      </c>
      <c r="G224" s="2" t="s">
        <v>300</v>
      </c>
      <c r="H224" s="2" t="s">
        <v>74</v>
      </c>
      <c r="I224" s="2" t="s">
        <v>74</v>
      </c>
      <c r="J224" s="2" t="s">
        <v>74</v>
      </c>
      <c r="K224" s="5" t="s">
        <v>74</v>
      </c>
      <c r="L224" s="2" t="s">
        <v>196</v>
      </c>
      <c r="M224" s="8" t="str">
        <f t="array" ref="M224">Y107</f>
        <v>1ВО::1.1</v>
      </c>
      <c r="AA224" s="206" t="str">
        <f>AA219&amp;".5"</f>
        <v>3.1.1.3.7.5</v>
      </c>
      <c r="AB224" s="199" t="s">
        <v>301</v>
      </c>
      <c r="AC224" s="197" t="s">
        <v>114</v>
      </c>
      <c r="AD224" s="136"/>
      <c r="AE224" s="136"/>
      <c r="AF224" s="195"/>
      <c r="AG224" s="202"/>
      <c r="AH224" s="202"/>
      <c r="AI224" s="136">
        <f t="array" ref="AI224">'ВО-2021-2025'!$AF$224</f>
        <v>0</v>
      </c>
      <c r="AJ224" s="202"/>
      <c r="AK224" s="202"/>
      <c r="AL224" s="202"/>
      <c r="AM224" s="202"/>
      <c r="AN224" s="203">
        <f t="array" ref="AN224">IF('ВО-2021-2025'!$AN$81="Методика",IF('ВО-2021-2025'!AI$158=0,0,'ВО-2021-2025'!AI224/'ВО-2021-2025'!AI$158*'ВО-2021-2025'!AN$159),[1]Адм.расходы!BT182)</f>
        <v>0</v>
      </c>
      <c r="AO224" s="195"/>
      <c r="AP224" s="202"/>
      <c r="AQ224" s="202"/>
      <c r="AR224" s="136">
        <f t="array" ref="AR224">'ВО-2021-2025'!$AO$224</f>
        <v>0</v>
      </c>
      <c r="AS224" s="202"/>
      <c r="AT224" s="202"/>
      <c r="AU224" s="203">
        <f t="array" ref="AU224">[1]Адм.расходы!BY182</f>
        <v>0</v>
      </c>
      <c r="AV224" s="195">
        <v>0</v>
      </c>
      <c r="AW224" s="202"/>
      <c r="AX224" s="202"/>
      <c r="AY224" s="136">
        <f t="shared" si="53"/>
        <v>0</v>
      </c>
      <c r="AZ224" s="202"/>
      <c r="BA224" s="202"/>
      <c r="BB224" s="202"/>
      <c r="BC224" s="202"/>
      <c r="BD224" s="204" t="e">
        <f>'ВО-2021-2025'!$AR$224*'ВО-2021-2025'!$BD$112</f>
        <v>#REF!</v>
      </c>
      <c r="BE224" s="202"/>
      <c r="BF224" s="202"/>
      <c r="BG224" s="267">
        <f t="shared" si="61"/>
        <v>0</v>
      </c>
      <c r="BH224" s="267" t="e">
        <f>BD224-#REF!</f>
        <v>#REF!</v>
      </c>
      <c r="BI224" s="267" t="e">
        <f t="shared" si="62"/>
        <v>#REF!</v>
      </c>
      <c r="BJ224" s="136" t="e">
        <f>#REF!*BJ$111</f>
        <v>#REF!</v>
      </c>
      <c r="BK224" s="202"/>
      <c r="BL224" s="202"/>
      <c r="BM224" s="136" t="e">
        <f t="shared" si="54"/>
        <v>#REF!</v>
      </c>
      <c r="BN224" s="202"/>
      <c r="BO224" s="202"/>
      <c r="BP224" s="267" t="e">
        <f t="shared" si="37"/>
        <v>#REF!</v>
      </c>
      <c r="BQ224" s="267" t="e">
        <f t="shared" si="38"/>
        <v>#REF!</v>
      </c>
      <c r="BR224" s="136" t="e">
        <f t="shared" si="55"/>
        <v>#REF!</v>
      </c>
      <c r="BS224" s="202"/>
      <c r="BT224" s="202"/>
      <c r="BU224" s="136" t="e">
        <f t="shared" si="56"/>
        <v>#REF!</v>
      </c>
      <c r="BV224" s="202"/>
      <c r="BW224" s="202"/>
      <c r="BX224" s="267" t="e">
        <f t="shared" si="39"/>
        <v>#REF!</v>
      </c>
      <c r="BY224" s="267" t="e">
        <f t="shared" si="40"/>
        <v>#REF!</v>
      </c>
      <c r="BZ224" s="136" t="e">
        <f t="shared" si="57"/>
        <v>#REF!</v>
      </c>
      <c r="CA224" s="202"/>
      <c r="CB224" s="202"/>
      <c r="CC224" s="136" t="e">
        <f t="shared" si="58"/>
        <v>#REF!</v>
      </c>
      <c r="CD224" s="202"/>
      <c r="CE224" s="202"/>
      <c r="CF224" s="267" t="e">
        <f t="shared" si="41"/>
        <v>#REF!</v>
      </c>
      <c r="CG224" s="267" t="e">
        <f t="shared" si="42"/>
        <v>#REF!</v>
      </c>
      <c r="CH224" s="136" t="e">
        <f t="shared" si="59"/>
        <v>#REF!</v>
      </c>
      <c r="CI224" s="202"/>
      <c r="CJ224" s="202"/>
      <c r="CK224" s="136" t="e">
        <f t="shared" si="60"/>
        <v>#REF!</v>
      </c>
      <c r="CL224" s="202"/>
      <c r="CM224" s="202"/>
      <c r="CN224" s="267" t="e">
        <f t="shared" si="43"/>
        <v>#REF!</v>
      </c>
      <c r="CO224" s="267" t="e">
        <f t="shared" si="44"/>
        <v>#REF!</v>
      </c>
      <c r="CP224" s="92"/>
      <c r="CQ224" s="85"/>
      <c r="CR224" s="85"/>
      <c r="CS224" s="85"/>
      <c r="CT224" s="99" t="e">
        <f t="shared" si="63"/>
        <v>#REF!</v>
      </c>
      <c r="CU224" s="99" t="e">
        <f t="array" ref="CU224">BD224</f>
        <v>#REF!</v>
      </c>
      <c r="CV224" s="101"/>
      <c r="CW224" s="101"/>
      <c r="CX224" s="101"/>
      <c r="CY224" s="101"/>
      <c r="CZ224" s="101"/>
      <c r="DA224" s="101"/>
      <c r="DB224" s="101"/>
    </row>
    <row r="225" spans="3:106" ht="14.25" customHeight="1" outlineLevel="5" x14ac:dyDescent="0.25">
      <c r="C225" s="2" t="s">
        <v>84</v>
      </c>
      <c r="D225" s="2" t="s">
        <v>85</v>
      </c>
      <c r="E225" s="2" t="s">
        <v>74</v>
      </c>
      <c r="F225" s="2" t="s">
        <v>75</v>
      </c>
      <c r="G225" s="2" t="s">
        <v>302</v>
      </c>
      <c r="H225" s="2" t="s">
        <v>74</v>
      </c>
      <c r="I225" s="2" t="s">
        <v>74</v>
      </c>
      <c r="J225" s="2" t="s">
        <v>74</v>
      </c>
      <c r="K225" s="5" t="s">
        <v>74</v>
      </c>
      <c r="L225" s="2" t="s">
        <v>196</v>
      </c>
      <c r="M225" s="8" t="str">
        <f t="array" ref="M225">Y107</f>
        <v>1ВО::1.1</v>
      </c>
      <c r="AA225" s="206" t="str">
        <f>AA219&amp;".6"</f>
        <v>3.1.1.3.7.6</v>
      </c>
      <c r="AB225" s="199" t="s">
        <v>303</v>
      </c>
      <c r="AC225" s="197" t="s">
        <v>114</v>
      </c>
      <c r="AD225" s="136"/>
      <c r="AE225" s="136"/>
      <c r="AF225" s="195"/>
      <c r="AG225" s="202"/>
      <c r="AH225" s="202"/>
      <c r="AI225" s="136">
        <f t="array" ref="AI225">'ВО-2021-2025'!$AF$225</f>
        <v>0</v>
      </c>
      <c r="AJ225" s="202"/>
      <c r="AK225" s="202"/>
      <c r="AL225" s="202"/>
      <c r="AM225" s="202"/>
      <c r="AN225" s="203">
        <f t="array" ref="AN225">IF('ВО-2021-2025'!$AN$81="Методика",IF('ВО-2021-2025'!AI$158=0,0,'ВО-2021-2025'!AI225/'ВО-2021-2025'!AI$158*'ВО-2021-2025'!AN$159),[1]Адм.расходы!BT183)</f>
        <v>0</v>
      </c>
      <c r="AO225" s="195"/>
      <c r="AP225" s="202"/>
      <c r="AQ225" s="202"/>
      <c r="AR225" s="136">
        <f t="array" ref="AR225">'ВО-2021-2025'!$AO$225</f>
        <v>0</v>
      </c>
      <c r="AS225" s="202"/>
      <c r="AT225" s="202"/>
      <c r="AU225" s="203">
        <f t="array" ref="AU225">[1]Адм.расходы!BY183</f>
        <v>0</v>
      </c>
      <c r="AV225" s="195">
        <v>0</v>
      </c>
      <c r="AW225" s="202"/>
      <c r="AX225" s="202"/>
      <c r="AY225" s="136">
        <f t="shared" si="53"/>
        <v>0</v>
      </c>
      <c r="AZ225" s="202"/>
      <c r="BA225" s="202"/>
      <c r="BB225" s="202"/>
      <c r="BC225" s="202"/>
      <c r="BD225" s="204" t="e">
        <f>'ВО-2021-2025'!$AR$225*'ВО-2021-2025'!$BD$112</f>
        <v>#REF!</v>
      </c>
      <c r="BE225" s="202"/>
      <c r="BF225" s="202"/>
      <c r="BG225" s="267">
        <f t="shared" si="61"/>
        <v>0</v>
      </c>
      <c r="BH225" s="267" t="e">
        <f>BD225-#REF!</f>
        <v>#REF!</v>
      </c>
      <c r="BI225" s="267" t="e">
        <f t="shared" si="62"/>
        <v>#REF!</v>
      </c>
      <c r="BJ225" s="136" t="e">
        <f>#REF!*BJ$111</f>
        <v>#REF!</v>
      </c>
      <c r="BK225" s="202"/>
      <c r="BL225" s="202"/>
      <c r="BM225" s="136" t="e">
        <f t="shared" si="54"/>
        <v>#REF!</v>
      </c>
      <c r="BN225" s="202"/>
      <c r="BO225" s="202"/>
      <c r="BP225" s="267" t="e">
        <f t="shared" si="37"/>
        <v>#REF!</v>
      </c>
      <c r="BQ225" s="267" t="e">
        <f t="shared" si="38"/>
        <v>#REF!</v>
      </c>
      <c r="BR225" s="136" t="e">
        <f t="shared" si="55"/>
        <v>#REF!</v>
      </c>
      <c r="BS225" s="202"/>
      <c r="BT225" s="202"/>
      <c r="BU225" s="136" t="e">
        <f t="shared" si="56"/>
        <v>#REF!</v>
      </c>
      <c r="BV225" s="202"/>
      <c r="BW225" s="202"/>
      <c r="BX225" s="267" t="e">
        <f t="shared" si="39"/>
        <v>#REF!</v>
      </c>
      <c r="BY225" s="267" t="e">
        <f t="shared" si="40"/>
        <v>#REF!</v>
      </c>
      <c r="BZ225" s="136" t="e">
        <f t="shared" si="57"/>
        <v>#REF!</v>
      </c>
      <c r="CA225" s="202"/>
      <c r="CB225" s="202"/>
      <c r="CC225" s="136" t="e">
        <f t="shared" si="58"/>
        <v>#REF!</v>
      </c>
      <c r="CD225" s="202"/>
      <c r="CE225" s="202"/>
      <c r="CF225" s="267" t="e">
        <f t="shared" si="41"/>
        <v>#REF!</v>
      </c>
      <c r="CG225" s="267" t="e">
        <f t="shared" si="42"/>
        <v>#REF!</v>
      </c>
      <c r="CH225" s="136" t="e">
        <f t="shared" si="59"/>
        <v>#REF!</v>
      </c>
      <c r="CI225" s="202"/>
      <c r="CJ225" s="202"/>
      <c r="CK225" s="136" t="e">
        <f t="shared" si="60"/>
        <v>#REF!</v>
      </c>
      <c r="CL225" s="202"/>
      <c r="CM225" s="202"/>
      <c r="CN225" s="267" t="e">
        <f t="shared" si="43"/>
        <v>#REF!</v>
      </c>
      <c r="CO225" s="267" t="e">
        <f t="shared" si="44"/>
        <v>#REF!</v>
      </c>
      <c r="CP225" s="92"/>
      <c r="CQ225" s="85"/>
      <c r="CR225" s="85"/>
      <c r="CS225" s="85"/>
      <c r="CT225" s="99" t="e">
        <f t="shared" si="63"/>
        <v>#REF!</v>
      </c>
      <c r="CU225" s="99" t="e">
        <f t="array" ref="CU225">BD225</f>
        <v>#REF!</v>
      </c>
      <c r="CV225" s="101"/>
      <c r="CW225" s="101"/>
      <c r="CX225" s="101"/>
      <c r="CY225" s="101"/>
      <c r="CZ225" s="101"/>
      <c r="DA225" s="101"/>
      <c r="DB225" s="101"/>
    </row>
    <row r="226" spans="3:106" ht="14.25" customHeight="1" outlineLevel="5" x14ac:dyDescent="0.25">
      <c r="C226" s="2" t="s">
        <v>84</v>
      </c>
      <c r="D226" s="2" t="s">
        <v>85</v>
      </c>
      <c r="E226" s="2" t="s">
        <v>74</v>
      </c>
      <c r="F226" s="2" t="s">
        <v>75</v>
      </c>
      <c r="G226" s="2" t="s">
        <v>304</v>
      </c>
      <c r="H226" s="2" t="s">
        <v>74</v>
      </c>
      <c r="I226" s="2" t="s">
        <v>74</v>
      </c>
      <c r="J226" s="2" t="s">
        <v>74</v>
      </c>
      <c r="K226" s="5" t="s">
        <v>74</v>
      </c>
      <c r="L226" s="2" t="s">
        <v>196</v>
      </c>
      <c r="M226" s="8" t="str">
        <f t="array" ref="M226">Y107</f>
        <v>1ВО::1.1</v>
      </c>
      <c r="AA226" s="206" t="str">
        <f>AA219&amp;".7"</f>
        <v>3.1.1.3.7.7</v>
      </c>
      <c r="AB226" s="199" t="s">
        <v>305</v>
      </c>
      <c r="AC226" s="197" t="s">
        <v>114</v>
      </c>
      <c r="AD226" s="136">
        <v>1734.2345746287001</v>
      </c>
      <c r="AE226" s="136">
        <v>1835.7532018221</v>
      </c>
      <c r="AF226" s="195">
        <v>2117.6458136686001</v>
      </c>
      <c r="AG226" s="202"/>
      <c r="AH226" s="202"/>
      <c r="AI226" s="136">
        <v>2117.6458136686001</v>
      </c>
      <c r="AJ226" s="202"/>
      <c r="AK226" s="202"/>
      <c r="AL226" s="202"/>
      <c r="AM226" s="202"/>
      <c r="AN226" s="203">
        <f t="array" ref="AN226">IF('ВО-2021-2025'!$AN$81="Методика",IF('ВО-2021-2025'!AI$158=0,0,'ВО-2021-2025'!AI226/'ВО-2021-2025'!AI$158*'ВО-2021-2025'!AN$159),[1]Адм.расходы!BT189)</f>
        <v>7673.4210000000003</v>
      </c>
      <c r="AO226" s="195">
        <v>3857.9182681920001</v>
      </c>
      <c r="AP226" s="202"/>
      <c r="AQ226" s="202"/>
      <c r="AR226" s="136">
        <v>3857.9182681920001</v>
      </c>
      <c r="AS226" s="202"/>
      <c r="AT226" s="202"/>
      <c r="AU226" s="203">
        <f t="array" ref="AU226">[1]Адм.расходы!BY189</f>
        <v>0</v>
      </c>
      <c r="AV226" s="195">
        <v>3979.7513271015</v>
      </c>
      <c r="AW226" s="202"/>
      <c r="AX226" s="202"/>
      <c r="AY226" s="136">
        <v>3979.7513271015</v>
      </c>
      <c r="AZ226" s="202"/>
      <c r="BA226" s="202"/>
      <c r="BB226" s="202"/>
      <c r="BC226" s="202"/>
      <c r="BD226" s="204" t="e">
        <f>'ВО-2021-2025'!$AR$226*'ВО-2021-2025'!$BD$112</f>
        <v>#REF!</v>
      </c>
      <c r="BE226" s="202"/>
      <c r="BF226" s="202"/>
      <c r="BG226" s="267" t="e">
        <f t="shared" si="61"/>
        <v>#REF!</v>
      </c>
      <c r="BH226" s="267" t="e">
        <f>BD226-#REF!</f>
        <v>#REF!</v>
      </c>
      <c r="BI226" s="267" t="e">
        <f t="shared" si="62"/>
        <v>#REF!</v>
      </c>
      <c r="BJ226" s="136" t="e">
        <f>#REF!*BJ$111</f>
        <v>#REF!</v>
      </c>
      <c r="BK226" s="202"/>
      <c r="BL226" s="202"/>
      <c r="BM226" s="136" t="e">
        <f t="shared" si="54"/>
        <v>#REF!</v>
      </c>
      <c r="BN226" s="202"/>
      <c r="BO226" s="202"/>
      <c r="BP226" s="267" t="e">
        <f t="shared" si="37"/>
        <v>#REF!</v>
      </c>
      <c r="BQ226" s="267" t="e">
        <f t="shared" si="38"/>
        <v>#REF!</v>
      </c>
      <c r="BR226" s="136" t="e">
        <f t="shared" si="55"/>
        <v>#REF!</v>
      </c>
      <c r="BS226" s="202"/>
      <c r="BT226" s="202"/>
      <c r="BU226" s="136" t="e">
        <f t="shared" si="56"/>
        <v>#REF!</v>
      </c>
      <c r="BV226" s="202"/>
      <c r="BW226" s="202"/>
      <c r="BX226" s="267" t="e">
        <f t="shared" si="39"/>
        <v>#REF!</v>
      </c>
      <c r="BY226" s="267" t="e">
        <f t="shared" si="40"/>
        <v>#REF!</v>
      </c>
      <c r="BZ226" s="136" t="e">
        <f t="shared" si="57"/>
        <v>#REF!</v>
      </c>
      <c r="CA226" s="202"/>
      <c r="CB226" s="202"/>
      <c r="CC226" s="136" t="e">
        <f t="shared" si="58"/>
        <v>#REF!</v>
      </c>
      <c r="CD226" s="202"/>
      <c r="CE226" s="202"/>
      <c r="CF226" s="267" t="e">
        <f t="shared" si="41"/>
        <v>#REF!</v>
      </c>
      <c r="CG226" s="267" t="e">
        <f t="shared" si="42"/>
        <v>#REF!</v>
      </c>
      <c r="CH226" s="136" t="e">
        <f t="shared" si="59"/>
        <v>#REF!</v>
      </c>
      <c r="CI226" s="202"/>
      <c r="CJ226" s="202"/>
      <c r="CK226" s="136" t="e">
        <f t="shared" si="60"/>
        <v>#REF!</v>
      </c>
      <c r="CL226" s="202"/>
      <c r="CM226" s="202"/>
      <c r="CN226" s="267" t="e">
        <f t="shared" si="43"/>
        <v>#REF!</v>
      </c>
      <c r="CO226" s="267" t="e">
        <f t="shared" si="44"/>
        <v>#REF!</v>
      </c>
      <c r="CP226" s="92"/>
      <c r="CQ226" s="85"/>
      <c r="CR226" s="85"/>
      <c r="CS226" s="85"/>
      <c r="CT226" s="99" t="e">
        <f t="shared" si="63"/>
        <v>#REF!</v>
      </c>
      <c r="CU226" s="99" t="e">
        <f t="array" ref="CU226">BD226</f>
        <v>#REF!</v>
      </c>
      <c r="CV226" s="101"/>
      <c r="CW226" s="101"/>
      <c r="CX226" s="101"/>
      <c r="CY226" s="101"/>
      <c r="CZ226" s="101"/>
      <c r="DA226" s="101"/>
      <c r="DB226" s="101"/>
    </row>
    <row r="227" spans="3:106" ht="14.25" customHeight="1" outlineLevel="3" x14ac:dyDescent="0.25">
      <c r="C227" s="2" t="s">
        <v>84</v>
      </c>
      <c r="D227" s="2" t="s">
        <v>85</v>
      </c>
      <c r="E227" s="2" t="s">
        <v>74</v>
      </c>
      <c r="F227" s="2" t="s">
        <v>75</v>
      </c>
      <c r="G227" s="2" t="s">
        <v>306</v>
      </c>
      <c r="H227" s="2" t="s">
        <v>74</v>
      </c>
      <c r="I227" s="2" t="s">
        <v>74</v>
      </c>
      <c r="J227" s="2" t="s">
        <v>74</v>
      </c>
      <c r="K227" s="5" t="s">
        <v>74</v>
      </c>
      <c r="L227" s="2" t="s">
        <v>196</v>
      </c>
      <c r="M227" s="8" t="str">
        <f t="array" ref="M227">Y107</f>
        <v>1ВО::1.1</v>
      </c>
      <c r="AA227" s="206" t="str">
        <f>AA158&amp;".4"</f>
        <v>3.1.1.4</v>
      </c>
      <c r="AB227" s="214" t="s">
        <v>307</v>
      </c>
      <c r="AC227" s="197" t="s">
        <v>114</v>
      </c>
      <c r="AD227" s="136"/>
      <c r="AE227" s="136"/>
      <c r="AF227" s="195"/>
      <c r="AG227" s="202"/>
      <c r="AH227" s="202"/>
      <c r="AI227" s="136">
        <f t="array" ref="AI227">'ВО-2021-2025'!$AF$227</f>
        <v>0</v>
      </c>
      <c r="AJ227" s="202"/>
      <c r="AK227" s="202"/>
      <c r="AL227" s="202"/>
      <c r="AM227" s="202"/>
      <c r="AN227" s="173" t="e">
        <f>SUM(AN228:AN230)+SUM(AN236:AN240)</f>
        <v>#REF!</v>
      </c>
      <c r="AO227" s="195">
        <v>55410.333205759998</v>
      </c>
      <c r="AP227" s="202"/>
      <c r="AQ227" s="202"/>
      <c r="AR227" s="136">
        <v>55410.333205759998</v>
      </c>
      <c r="AS227" s="202"/>
      <c r="AT227" s="202"/>
      <c r="AU227" s="173" t="e">
        <f>SUM(AU228:AU230)+SUM(AU236:AU240)</f>
        <v>#REF!</v>
      </c>
      <c r="AV227" s="195">
        <v>57160.191528397903</v>
      </c>
      <c r="AW227" s="202"/>
      <c r="AX227" s="202"/>
      <c r="AY227" s="136">
        <v>57160.191528397903</v>
      </c>
      <c r="AZ227" s="202"/>
      <c r="BA227" s="202"/>
      <c r="BB227" s="202"/>
      <c r="BC227" s="202"/>
      <c r="BD227" s="136" t="e">
        <f>'ВО-2021-2025'!$AR$227*'ВО-2021-2025'!$BD$112</f>
        <v>#REF!</v>
      </c>
      <c r="BE227" s="202"/>
      <c r="BF227" s="202"/>
      <c r="BG227" s="267" t="e">
        <f t="shared" si="61"/>
        <v>#REF!</v>
      </c>
      <c r="BH227" s="267" t="e">
        <f>BD227-#REF!</f>
        <v>#REF!</v>
      </c>
      <c r="BI227" s="267" t="e">
        <f t="shared" si="62"/>
        <v>#REF!</v>
      </c>
      <c r="BJ227" s="136" t="e">
        <f>#REF!*BJ$111</f>
        <v>#REF!</v>
      </c>
      <c r="BK227" s="202"/>
      <c r="BL227" s="202"/>
      <c r="BM227" s="136" t="e">
        <f t="shared" si="54"/>
        <v>#REF!</v>
      </c>
      <c r="BN227" s="202"/>
      <c r="BO227" s="202"/>
      <c r="BP227" s="267" t="e">
        <f t="shared" si="37"/>
        <v>#REF!</v>
      </c>
      <c r="BQ227" s="267" t="e">
        <f t="shared" si="38"/>
        <v>#REF!</v>
      </c>
      <c r="BR227" s="136" t="e">
        <f t="shared" si="55"/>
        <v>#REF!</v>
      </c>
      <c r="BS227" s="202"/>
      <c r="BT227" s="202"/>
      <c r="BU227" s="136" t="e">
        <f t="shared" si="56"/>
        <v>#REF!</v>
      </c>
      <c r="BV227" s="202"/>
      <c r="BW227" s="202"/>
      <c r="BX227" s="267" t="e">
        <f t="shared" si="39"/>
        <v>#REF!</v>
      </c>
      <c r="BY227" s="267" t="e">
        <f t="shared" si="40"/>
        <v>#REF!</v>
      </c>
      <c r="BZ227" s="136" t="e">
        <f t="shared" si="57"/>
        <v>#REF!</v>
      </c>
      <c r="CA227" s="202"/>
      <c r="CB227" s="202"/>
      <c r="CC227" s="136" t="e">
        <f t="shared" si="58"/>
        <v>#REF!</v>
      </c>
      <c r="CD227" s="202"/>
      <c r="CE227" s="202"/>
      <c r="CF227" s="267" t="e">
        <f t="shared" si="41"/>
        <v>#REF!</v>
      </c>
      <c r="CG227" s="267" t="e">
        <f t="shared" si="42"/>
        <v>#REF!</v>
      </c>
      <c r="CH227" s="136" t="e">
        <f t="shared" si="59"/>
        <v>#REF!</v>
      </c>
      <c r="CI227" s="202"/>
      <c r="CJ227" s="202"/>
      <c r="CK227" s="136" t="e">
        <f t="shared" si="60"/>
        <v>#REF!</v>
      </c>
      <c r="CL227" s="202"/>
      <c r="CM227" s="202"/>
      <c r="CN227" s="267" t="e">
        <f t="shared" si="43"/>
        <v>#REF!</v>
      </c>
      <c r="CO227" s="267" t="e">
        <f t="shared" si="44"/>
        <v>#REF!</v>
      </c>
      <c r="CP227" s="92"/>
      <c r="CQ227" s="85"/>
      <c r="CR227" s="85"/>
      <c r="CS227" s="85"/>
      <c r="CT227" s="99" t="e">
        <f t="shared" si="63"/>
        <v>#REF!</v>
      </c>
      <c r="CU227" s="99" t="e">
        <f t="array" ref="CU227">BD227</f>
        <v>#REF!</v>
      </c>
      <c r="CV227" s="101"/>
      <c r="CW227" s="101"/>
      <c r="CX227" s="101"/>
      <c r="CY227" s="101"/>
      <c r="CZ227" s="101"/>
      <c r="DA227" s="101"/>
      <c r="DB227" s="101"/>
    </row>
    <row r="228" spans="3:106" ht="21.75" customHeight="1" outlineLevel="4" x14ac:dyDescent="0.25">
      <c r="C228" s="2" t="s">
        <v>84</v>
      </c>
      <c r="D228" s="2" t="s">
        <v>85</v>
      </c>
      <c r="E228" s="2" t="s">
        <v>74</v>
      </c>
      <c r="F228" s="2" t="s">
        <v>75</v>
      </c>
      <c r="G228" s="2" t="s">
        <v>308</v>
      </c>
      <c r="H228" s="2" t="s">
        <v>74</v>
      </c>
      <c r="I228" s="2" t="s">
        <v>74</v>
      </c>
      <c r="J228" s="2" t="s">
        <v>74</v>
      </c>
      <c r="K228" s="5" t="s">
        <v>74</v>
      </c>
      <c r="L228" s="2" t="s">
        <v>74</v>
      </c>
      <c r="M228" s="8" t="str">
        <f t="array" ref="M228">Y107</f>
        <v>1ВО::1.1</v>
      </c>
      <c r="AA228" s="107" t="str">
        <f>AA227&amp;".1"</f>
        <v>3.1.1.4.1</v>
      </c>
      <c r="AB228" s="198" t="s">
        <v>308</v>
      </c>
      <c r="AC228" s="197" t="s">
        <v>114</v>
      </c>
      <c r="AD228" s="136"/>
      <c r="AE228" s="136"/>
      <c r="AF228" s="195"/>
      <c r="AG228" s="202"/>
      <c r="AH228" s="202"/>
      <c r="AI228" s="136">
        <f t="array" ref="AI228">'ВО-2021-2025'!$AF$228</f>
        <v>0</v>
      </c>
      <c r="AJ228" s="202"/>
      <c r="AK228" s="202"/>
      <c r="AL228" s="202"/>
      <c r="AM228" s="202"/>
      <c r="AN228" s="200" t="e">
        <f t="array" ref="AN228">IF('ВО-2021-2025'!$AN$81="Методика",IF('ВО-2021-2025'!AI$158=0,0,'ВО-2021-2025'!AI228/'ВО-2021-2025'!AI$158*'ВО-2021-2025'!AN$159),'ВО-2021-2025'!#REF!)</f>
        <v>#REF!</v>
      </c>
      <c r="AO228" s="195"/>
      <c r="AP228" s="202"/>
      <c r="AQ228" s="202"/>
      <c r="AR228" s="136">
        <f t="array" ref="AR228">'ВО-2021-2025'!$AO$228</f>
        <v>0</v>
      </c>
      <c r="AS228" s="202"/>
      <c r="AT228" s="202"/>
      <c r="AU228" s="200" t="e">
        <f t="array" ref="AU228">'ВО-2021-2025'!#REF!</f>
        <v>#REF!</v>
      </c>
      <c r="AV228" s="195">
        <v>0</v>
      </c>
      <c r="AW228" s="202"/>
      <c r="AX228" s="202"/>
      <c r="AY228" s="136">
        <f>IF(AY$88,AR228*AY$112,AV228*1)</f>
        <v>0</v>
      </c>
      <c r="AZ228" s="202"/>
      <c r="BA228" s="202"/>
      <c r="BB228" s="202"/>
      <c r="BC228" s="202"/>
      <c r="BD228" s="136" t="e">
        <f>'ВО-2021-2025'!$AR$228*'ВО-2021-2025'!$BD$112</f>
        <v>#REF!</v>
      </c>
      <c r="BE228" s="202"/>
      <c r="BF228" s="202"/>
      <c r="BG228" s="267">
        <f t="shared" si="61"/>
        <v>0</v>
      </c>
      <c r="BH228" s="267" t="e">
        <f>BD228-#REF!</f>
        <v>#REF!</v>
      </c>
      <c r="BI228" s="267" t="e">
        <f t="shared" si="62"/>
        <v>#REF!</v>
      </c>
      <c r="BJ228" s="136" t="e">
        <f>#REF!*BJ$111</f>
        <v>#REF!</v>
      </c>
      <c r="BK228" s="202"/>
      <c r="BL228" s="202"/>
      <c r="BM228" s="136" t="e">
        <f t="shared" si="54"/>
        <v>#REF!</v>
      </c>
      <c r="BN228" s="202"/>
      <c r="BO228" s="202"/>
      <c r="BP228" s="267" t="e">
        <f t="shared" si="37"/>
        <v>#REF!</v>
      </c>
      <c r="BQ228" s="267" t="e">
        <f t="shared" si="38"/>
        <v>#REF!</v>
      </c>
      <c r="BR228" s="136" t="e">
        <f t="shared" si="55"/>
        <v>#REF!</v>
      </c>
      <c r="BS228" s="202"/>
      <c r="BT228" s="202"/>
      <c r="BU228" s="136" t="e">
        <f t="shared" si="56"/>
        <v>#REF!</v>
      </c>
      <c r="BV228" s="202"/>
      <c r="BW228" s="202"/>
      <c r="BX228" s="267" t="e">
        <f t="shared" si="39"/>
        <v>#REF!</v>
      </c>
      <c r="BY228" s="267" t="e">
        <f t="shared" si="40"/>
        <v>#REF!</v>
      </c>
      <c r="BZ228" s="136" t="e">
        <f t="shared" si="57"/>
        <v>#REF!</v>
      </c>
      <c r="CA228" s="202"/>
      <c r="CB228" s="202"/>
      <c r="CC228" s="136" t="e">
        <f t="shared" si="58"/>
        <v>#REF!</v>
      </c>
      <c r="CD228" s="202"/>
      <c r="CE228" s="202"/>
      <c r="CF228" s="267" t="e">
        <f t="shared" si="41"/>
        <v>#REF!</v>
      </c>
      <c r="CG228" s="267" t="e">
        <f t="shared" si="42"/>
        <v>#REF!</v>
      </c>
      <c r="CH228" s="136" t="e">
        <f t="shared" si="59"/>
        <v>#REF!</v>
      </c>
      <c r="CI228" s="202"/>
      <c r="CJ228" s="202"/>
      <c r="CK228" s="136" t="e">
        <f t="shared" si="60"/>
        <v>#REF!</v>
      </c>
      <c r="CL228" s="202"/>
      <c r="CM228" s="202"/>
      <c r="CN228" s="267" t="e">
        <f t="shared" si="43"/>
        <v>#REF!</v>
      </c>
      <c r="CO228" s="267" t="e">
        <f t="shared" si="44"/>
        <v>#REF!</v>
      </c>
      <c r="CP228" s="92"/>
      <c r="CQ228" s="85"/>
      <c r="CR228" s="85"/>
      <c r="CS228" s="85"/>
      <c r="CT228" s="99" t="e">
        <f t="shared" si="63"/>
        <v>#REF!</v>
      </c>
      <c r="CU228" s="99" t="e">
        <f t="array" ref="CU228">BD228</f>
        <v>#REF!</v>
      </c>
      <c r="CV228" s="101"/>
      <c r="CW228" s="101"/>
      <c r="CX228" s="101"/>
      <c r="CY228" s="101"/>
      <c r="CZ228" s="101"/>
      <c r="DA228" s="101"/>
      <c r="DB228" s="101"/>
    </row>
    <row r="229" spans="3:106" ht="24" customHeight="1" outlineLevel="4" x14ac:dyDescent="0.25">
      <c r="C229" s="2" t="s">
        <v>84</v>
      </c>
      <c r="D229" s="2" t="s">
        <v>85</v>
      </c>
      <c r="E229" s="2" t="s">
        <v>74</v>
      </c>
      <c r="F229" s="2" t="s">
        <v>75</v>
      </c>
      <c r="G229" s="2" t="s">
        <v>309</v>
      </c>
      <c r="H229" s="2" t="s">
        <v>74</v>
      </c>
      <c r="I229" s="2" t="s">
        <v>74</v>
      </c>
      <c r="J229" s="2" t="s">
        <v>74</v>
      </c>
      <c r="K229" s="5" t="s">
        <v>74</v>
      </c>
      <c r="L229" s="2" t="s">
        <v>74</v>
      </c>
      <c r="M229" s="8" t="str">
        <f t="array" ref="M229">Y107</f>
        <v>1ВО::1.1</v>
      </c>
      <c r="AA229" s="107" t="str">
        <f>AA227&amp;".2"</f>
        <v>3.1.1.4.2</v>
      </c>
      <c r="AB229" s="198" t="s">
        <v>309</v>
      </c>
      <c r="AC229" s="197" t="s">
        <v>114</v>
      </c>
      <c r="AD229" s="136"/>
      <c r="AE229" s="136"/>
      <c r="AF229" s="195"/>
      <c r="AG229" s="202"/>
      <c r="AH229" s="202"/>
      <c r="AI229" s="136">
        <f t="array" ref="AI229">'ВО-2021-2025'!$AF$229</f>
        <v>0</v>
      </c>
      <c r="AJ229" s="202"/>
      <c r="AK229" s="202"/>
      <c r="AL229" s="202"/>
      <c r="AM229" s="202"/>
      <c r="AN229" s="200" t="e">
        <f t="array" ref="AN229">IF('ВО-2021-2025'!$AN$81="Методика",IF('ВО-2021-2025'!AI$158=0,0,'ВО-2021-2025'!AI229/'ВО-2021-2025'!AI$158*'ВО-2021-2025'!AN$159),'ВО-2021-2025'!#REF!)</f>
        <v>#REF!</v>
      </c>
      <c r="AO229" s="195"/>
      <c r="AP229" s="202"/>
      <c r="AQ229" s="202"/>
      <c r="AR229" s="136">
        <f t="array" ref="AR229">'ВО-2021-2025'!$AO$229</f>
        <v>0</v>
      </c>
      <c r="AS229" s="202"/>
      <c r="AT229" s="202"/>
      <c r="AU229" s="200" t="e">
        <f t="array" ref="AU229">'ВО-2021-2025'!#REF!</f>
        <v>#REF!</v>
      </c>
      <c r="AV229" s="195">
        <v>0</v>
      </c>
      <c r="AW229" s="202"/>
      <c r="AX229" s="202"/>
      <c r="AY229" s="136">
        <f>IF(AY$88,AR229*AY$112,AV229*1)</f>
        <v>0</v>
      </c>
      <c r="AZ229" s="202"/>
      <c r="BA229" s="202"/>
      <c r="BB229" s="202"/>
      <c r="BC229" s="202"/>
      <c r="BD229" s="136" t="e">
        <f>'ВО-2021-2025'!$AR$229*'ВО-2021-2025'!$BD$112</f>
        <v>#REF!</v>
      </c>
      <c r="BE229" s="202"/>
      <c r="BF229" s="202"/>
      <c r="BG229" s="267">
        <f t="shared" si="61"/>
        <v>0</v>
      </c>
      <c r="BH229" s="267" t="e">
        <f>BD229-#REF!</f>
        <v>#REF!</v>
      </c>
      <c r="BI229" s="267" t="e">
        <f t="shared" si="62"/>
        <v>#REF!</v>
      </c>
      <c r="BJ229" s="136" t="e">
        <f>#REF!*BJ$111</f>
        <v>#REF!</v>
      </c>
      <c r="BK229" s="202"/>
      <c r="BL229" s="202"/>
      <c r="BM229" s="136" t="e">
        <f t="shared" si="54"/>
        <v>#REF!</v>
      </c>
      <c r="BN229" s="202"/>
      <c r="BO229" s="202"/>
      <c r="BP229" s="267" t="e">
        <f t="shared" si="37"/>
        <v>#REF!</v>
      </c>
      <c r="BQ229" s="267" t="e">
        <f t="shared" si="38"/>
        <v>#REF!</v>
      </c>
      <c r="BR229" s="136" t="e">
        <f t="shared" si="55"/>
        <v>#REF!</v>
      </c>
      <c r="BS229" s="202"/>
      <c r="BT229" s="202"/>
      <c r="BU229" s="136" t="e">
        <f t="shared" si="56"/>
        <v>#REF!</v>
      </c>
      <c r="BV229" s="202"/>
      <c r="BW229" s="202"/>
      <c r="BX229" s="267" t="e">
        <f t="shared" si="39"/>
        <v>#REF!</v>
      </c>
      <c r="BY229" s="267" t="e">
        <f t="shared" si="40"/>
        <v>#REF!</v>
      </c>
      <c r="BZ229" s="136" t="e">
        <f t="shared" si="57"/>
        <v>#REF!</v>
      </c>
      <c r="CA229" s="202"/>
      <c r="CB229" s="202"/>
      <c r="CC229" s="136" t="e">
        <f t="shared" si="58"/>
        <v>#REF!</v>
      </c>
      <c r="CD229" s="202"/>
      <c r="CE229" s="202"/>
      <c r="CF229" s="267" t="e">
        <f t="shared" si="41"/>
        <v>#REF!</v>
      </c>
      <c r="CG229" s="267" t="e">
        <f t="shared" si="42"/>
        <v>#REF!</v>
      </c>
      <c r="CH229" s="136" t="e">
        <f t="shared" si="59"/>
        <v>#REF!</v>
      </c>
      <c r="CI229" s="202"/>
      <c r="CJ229" s="202"/>
      <c r="CK229" s="136" t="e">
        <f t="shared" si="60"/>
        <v>#REF!</v>
      </c>
      <c r="CL229" s="202"/>
      <c r="CM229" s="202"/>
      <c r="CN229" s="267" t="e">
        <f t="shared" si="43"/>
        <v>#REF!</v>
      </c>
      <c r="CO229" s="267" t="e">
        <f t="shared" si="44"/>
        <v>#REF!</v>
      </c>
      <c r="CP229" s="92" t="s">
        <v>564</v>
      </c>
      <c r="CQ229" s="85"/>
      <c r="CR229" s="85"/>
      <c r="CS229" s="85"/>
      <c r="CT229" s="99" t="e">
        <f t="shared" si="63"/>
        <v>#REF!</v>
      </c>
      <c r="CU229" s="99" t="e">
        <f t="array" ref="CU229">BD229</f>
        <v>#REF!</v>
      </c>
      <c r="CV229" s="101"/>
      <c r="CW229" s="101"/>
      <c r="CX229" s="101"/>
      <c r="CY229" s="101"/>
      <c r="CZ229" s="101"/>
      <c r="DA229" s="101"/>
      <c r="DB229" s="101"/>
    </row>
    <row r="230" spans="3:106" ht="35.25" customHeight="1" outlineLevel="4" x14ac:dyDescent="0.25">
      <c r="C230" s="2" t="s">
        <v>84</v>
      </c>
      <c r="D230" s="2" t="s">
        <v>85</v>
      </c>
      <c r="E230" s="2" t="s">
        <v>74</v>
      </c>
      <c r="F230" s="2" t="s">
        <v>75</v>
      </c>
      <c r="G230" s="2" t="s">
        <v>205</v>
      </c>
      <c r="H230" s="2" t="s">
        <v>310</v>
      </c>
      <c r="I230" s="2" t="s">
        <v>74</v>
      </c>
      <c r="J230" s="2" t="s">
        <v>74</v>
      </c>
      <c r="K230" s="5" t="s">
        <v>74</v>
      </c>
      <c r="L230" s="2" t="s">
        <v>74</v>
      </c>
      <c r="M230" s="8" t="str">
        <f t="array" ref="M230">Y107</f>
        <v>1ВО::1.1</v>
      </c>
      <c r="AA230" s="107" t="str">
        <f>AA227&amp;".3"</f>
        <v>3.1.1.4.3</v>
      </c>
      <c r="AB230" s="198" t="s">
        <v>311</v>
      </c>
      <c r="AC230" s="197" t="s">
        <v>114</v>
      </c>
      <c r="AD230" s="136"/>
      <c r="AE230" s="136"/>
      <c r="AF230" s="195"/>
      <c r="AG230" s="202"/>
      <c r="AH230" s="202"/>
      <c r="AI230" s="136">
        <f t="array" ref="AI230">'ВО-2021-2025'!$AF$230</f>
        <v>0</v>
      </c>
      <c r="AJ230" s="202"/>
      <c r="AK230" s="202"/>
      <c r="AL230" s="202"/>
      <c r="AM230" s="202"/>
      <c r="AN230" s="173" t="e">
        <f>AN231+AN234</f>
        <v>#REF!</v>
      </c>
      <c r="AO230" s="195">
        <v>46196.953205760001</v>
      </c>
      <c r="AP230" s="202"/>
      <c r="AQ230" s="202"/>
      <c r="AR230" s="136">
        <v>46196.953205760001</v>
      </c>
      <c r="AS230" s="202"/>
      <c r="AT230" s="202"/>
      <c r="AU230" s="173" t="e">
        <f>AU231+AU234</f>
        <v>#REF!</v>
      </c>
      <c r="AV230" s="195">
        <v>47655.852987997903</v>
      </c>
      <c r="AW230" s="202"/>
      <c r="AX230" s="202"/>
      <c r="AY230" s="136">
        <v>47655.852987997903</v>
      </c>
      <c r="AZ230" s="202"/>
      <c r="BA230" s="202"/>
      <c r="BB230" s="202"/>
      <c r="BC230" s="202"/>
      <c r="BD230" s="136" t="e">
        <f>'ВО-2021-2025'!$AR$230*'ВО-2021-2025'!$BD$112</f>
        <v>#REF!</v>
      </c>
      <c r="BE230" s="202"/>
      <c r="BF230" s="202"/>
      <c r="BG230" s="267" t="e">
        <f t="shared" si="61"/>
        <v>#REF!</v>
      </c>
      <c r="BH230" s="267" t="e">
        <f>BD230-#REF!</f>
        <v>#REF!</v>
      </c>
      <c r="BI230" s="267" t="e">
        <f t="shared" si="62"/>
        <v>#REF!</v>
      </c>
      <c r="BJ230" s="173" t="e">
        <f>BJ231+BJ234</f>
        <v>#REF!</v>
      </c>
      <c r="BK230" s="202"/>
      <c r="BL230" s="202"/>
      <c r="BM230" s="173" t="e">
        <f>BM231+BM234</f>
        <v>#REF!</v>
      </c>
      <c r="BN230" s="202"/>
      <c r="BO230" s="202"/>
      <c r="BP230" s="267" t="e">
        <f t="shared" si="37"/>
        <v>#REF!</v>
      </c>
      <c r="BQ230" s="267" t="e">
        <f t="shared" si="38"/>
        <v>#REF!</v>
      </c>
      <c r="BR230" s="173" t="e">
        <f>BR231+BR234</f>
        <v>#REF!</v>
      </c>
      <c r="BS230" s="202"/>
      <c r="BT230" s="202"/>
      <c r="BU230" s="173" t="e">
        <f>BU231+BU234</f>
        <v>#REF!</v>
      </c>
      <c r="BV230" s="202"/>
      <c r="BW230" s="202"/>
      <c r="BX230" s="267" t="e">
        <f t="shared" si="39"/>
        <v>#REF!</v>
      </c>
      <c r="BY230" s="267" t="e">
        <f t="shared" si="40"/>
        <v>#REF!</v>
      </c>
      <c r="BZ230" s="173" t="e">
        <f>BZ231+BZ234</f>
        <v>#REF!</v>
      </c>
      <c r="CA230" s="202"/>
      <c r="CB230" s="202"/>
      <c r="CC230" s="173" t="e">
        <f>CC231+CC234</f>
        <v>#REF!</v>
      </c>
      <c r="CD230" s="202"/>
      <c r="CE230" s="202"/>
      <c r="CF230" s="267" t="e">
        <f t="shared" si="41"/>
        <v>#REF!</v>
      </c>
      <c r="CG230" s="267" t="e">
        <f t="shared" si="42"/>
        <v>#REF!</v>
      </c>
      <c r="CH230" s="173" t="e">
        <f>CH231+CH234</f>
        <v>#REF!</v>
      </c>
      <c r="CI230" s="202"/>
      <c r="CJ230" s="202"/>
      <c r="CK230" s="173" t="e">
        <f>CK231+CK234</f>
        <v>#REF!</v>
      </c>
      <c r="CL230" s="202"/>
      <c r="CM230" s="202"/>
      <c r="CN230" s="267" t="e">
        <f t="shared" si="43"/>
        <v>#REF!</v>
      </c>
      <c r="CO230" s="267" t="e">
        <f t="shared" si="44"/>
        <v>#REF!</v>
      </c>
      <c r="CP230" s="92" t="s">
        <v>565</v>
      </c>
      <c r="CQ230" s="85"/>
      <c r="CR230" s="85"/>
      <c r="CS230" s="85"/>
      <c r="CT230" s="99" t="e">
        <f t="shared" si="63"/>
        <v>#REF!</v>
      </c>
      <c r="CU230" s="99" t="e">
        <f t="array" ref="CU230">BD230</f>
        <v>#REF!</v>
      </c>
      <c r="CV230" s="101"/>
      <c r="CW230" s="101"/>
      <c r="CX230" s="101"/>
      <c r="CY230" s="101"/>
      <c r="CZ230" s="101"/>
      <c r="DA230" s="101"/>
      <c r="DB230" s="101"/>
    </row>
    <row r="231" spans="3:106" ht="14.25" customHeight="1" outlineLevel="4" x14ac:dyDescent="0.25">
      <c r="C231" s="2" t="s">
        <v>312</v>
      </c>
      <c r="D231" s="2" t="s">
        <v>85</v>
      </c>
      <c r="F231" s="2" t="s">
        <v>75</v>
      </c>
      <c r="G231" s="3" t="str">
        <f t="array" ref="G231">AB231</f>
        <v>Заработная плата всего</v>
      </c>
      <c r="H231" s="2" t="s">
        <v>74</v>
      </c>
      <c r="I231" s="2" t="s">
        <v>74</v>
      </c>
      <c r="J231" s="2" t="s">
        <v>74</v>
      </c>
      <c r="L231" s="2" t="s">
        <v>74</v>
      </c>
      <c r="M231" s="8" t="str">
        <f t="array" ref="M231">Y107</f>
        <v>1ВО::1.1</v>
      </c>
      <c r="AA231" s="107" t="str">
        <f>AA230&amp;".1"</f>
        <v>3.1.1.4.3.1</v>
      </c>
      <c r="AB231" s="199" t="s">
        <v>313</v>
      </c>
      <c r="AC231" s="197" t="s">
        <v>114</v>
      </c>
      <c r="AD231" s="136"/>
      <c r="AE231" s="136"/>
      <c r="AF231" s="195"/>
      <c r="AG231" s="202"/>
      <c r="AH231" s="202"/>
      <c r="AI231" s="136">
        <f t="array" ref="AI231">'ВО-2021-2025'!$AF$231</f>
        <v>0</v>
      </c>
      <c r="AJ231" s="202"/>
      <c r="AK231" s="202"/>
      <c r="AL231" s="202"/>
      <c r="AM231" s="202"/>
      <c r="AN231" s="200" t="e">
        <f t="array" ref="AN231">IF('ВО-2021-2025'!$AN$81="Методика",IF('ВО-2021-2025'!AI$158=0,0,'ВО-2021-2025'!AI231/'ВО-2021-2025'!AI$158*'ВО-2021-2025'!AN$159),'ВО-2021-2025'!#REF!)</f>
        <v>#REF!</v>
      </c>
      <c r="AO231" s="195"/>
      <c r="AP231" s="202"/>
      <c r="AQ231" s="202"/>
      <c r="AR231" s="136">
        <f t="array" ref="AR231">'ВО-2021-2025'!$AO$231</f>
        <v>0</v>
      </c>
      <c r="AS231" s="202"/>
      <c r="AT231" s="202"/>
      <c r="AU231" s="200" t="e">
        <f t="array" ref="AU231">'ВО-2021-2025'!#REF!</f>
        <v>#REF!</v>
      </c>
      <c r="AV231" s="195">
        <v>0</v>
      </c>
      <c r="AW231" s="202"/>
      <c r="AX231" s="202"/>
      <c r="AY231" s="136">
        <f>IF(AY$88,AR231*AY$112,AV231*1)</f>
        <v>0</v>
      </c>
      <c r="AZ231" s="202"/>
      <c r="BA231" s="202"/>
      <c r="BB231" s="202"/>
      <c r="BC231" s="202"/>
      <c r="BD231" s="136" t="e">
        <f>'ВО-2021-2025'!$AR$231*'ВО-2021-2025'!$BD$112</f>
        <v>#REF!</v>
      </c>
      <c r="BE231" s="202"/>
      <c r="BF231" s="202"/>
      <c r="BG231" s="267">
        <f t="shared" si="61"/>
        <v>0</v>
      </c>
      <c r="BH231" s="267" t="e">
        <f>BD231-#REF!</f>
        <v>#REF!</v>
      </c>
      <c r="BI231" s="267" t="e">
        <f t="shared" si="62"/>
        <v>#REF!</v>
      </c>
      <c r="BJ231" s="136" t="e">
        <f>#REF!*BJ$111</f>
        <v>#REF!</v>
      </c>
      <c r="BK231" s="202"/>
      <c r="BL231" s="202"/>
      <c r="BM231" s="136" t="e">
        <f>BD231*BM$111</f>
        <v>#REF!</v>
      </c>
      <c r="BN231" s="202"/>
      <c r="BO231" s="202"/>
      <c r="BP231" s="267" t="e">
        <f t="shared" si="37"/>
        <v>#REF!</v>
      </c>
      <c r="BQ231" s="267" t="e">
        <f t="shared" si="38"/>
        <v>#REF!</v>
      </c>
      <c r="BR231" s="136" t="e">
        <f>BJ231*BR$111</f>
        <v>#REF!</v>
      </c>
      <c r="BS231" s="202"/>
      <c r="BT231" s="202"/>
      <c r="BU231" s="136" t="e">
        <f>BM231*BU$111</f>
        <v>#REF!</v>
      </c>
      <c r="BV231" s="202"/>
      <c r="BW231" s="202"/>
      <c r="BX231" s="267" t="e">
        <f t="shared" si="39"/>
        <v>#REF!</v>
      </c>
      <c r="BY231" s="267" t="e">
        <f t="shared" si="40"/>
        <v>#REF!</v>
      </c>
      <c r="BZ231" s="136" t="e">
        <f>BR231*BZ$111</f>
        <v>#REF!</v>
      </c>
      <c r="CA231" s="202"/>
      <c r="CB231" s="202"/>
      <c r="CC231" s="136" t="e">
        <f>BU231*CC$111</f>
        <v>#REF!</v>
      </c>
      <c r="CD231" s="202"/>
      <c r="CE231" s="202"/>
      <c r="CF231" s="267" t="e">
        <f t="shared" si="41"/>
        <v>#REF!</v>
      </c>
      <c r="CG231" s="267" t="e">
        <f t="shared" si="42"/>
        <v>#REF!</v>
      </c>
      <c r="CH231" s="136" t="e">
        <f>BZ231*CH$111</f>
        <v>#REF!</v>
      </c>
      <c r="CI231" s="202"/>
      <c r="CJ231" s="202"/>
      <c r="CK231" s="136" t="e">
        <f>CC231*CK$111</f>
        <v>#REF!</v>
      </c>
      <c r="CL231" s="202"/>
      <c r="CM231" s="202"/>
      <c r="CN231" s="267" t="e">
        <f t="shared" si="43"/>
        <v>#REF!</v>
      </c>
      <c r="CO231" s="267" t="e">
        <f t="shared" si="44"/>
        <v>#REF!</v>
      </c>
      <c r="CP231" s="92"/>
      <c r="CQ231" s="85"/>
      <c r="CR231" s="85"/>
      <c r="CS231" s="85"/>
      <c r="CT231" s="99" t="e">
        <f t="shared" si="63"/>
        <v>#REF!</v>
      </c>
      <c r="CU231" s="99" t="e">
        <f t="array" ref="CU231">BD231</f>
        <v>#REF!</v>
      </c>
      <c r="CV231" s="101"/>
      <c r="CW231" s="101"/>
      <c r="CX231" s="101"/>
      <c r="CY231" s="101"/>
      <c r="CZ231" s="101"/>
      <c r="DA231" s="101"/>
      <c r="DB231" s="101"/>
    </row>
    <row r="232" spans="3:106" ht="14.25" customHeight="1" outlineLevel="4" x14ac:dyDescent="0.25">
      <c r="C232" s="2" t="s">
        <v>210</v>
      </c>
      <c r="D232" s="2" t="s">
        <v>211</v>
      </c>
      <c r="E232" s="2" t="s">
        <v>74</v>
      </c>
      <c r="F232" s="2" t="s">
        <v>75</v>
      </c>
      <c r="G232" s="2" t="s">
        <v>74</v>
      </c>
      <c r="H232" s="2" t="s">
        <v>74</v>
      </c>
      <c r="I232" s="2" t="s">
        <v>74</v>
      </c>
      <c r="J232" s="2" t="s">
        <v>74</v>
      </c>
      <c r="K232" s="5" t="s">
        <v>74</v>
      </c>
      <c r="L232" s="2" t="s">
        <v>74</v>
      </c>
      <c r="M232" s="8" t="str">
        <f t="array" ref="M232">Y107</f>
        <v>1ВО::1.1</v>
      </c>
      <c r="AA232" s="107" t="str">
        <f>AA231&amp;".1"</f>
        <v>3.1.1.4.3.1.1</v>
      </c>
      <c r="AB232" s="205" t="s">
        <v>212</v>
      </c>
      <c r="AC232" s="197" t="s">
        <v>213</v>
      </c>
      <c r="AD232" s="173">
        <v>0</v>
      </c>
      <c r="AE232" s="173">
        <v>0</v>
      </c>
      <c r="AF232" s="173">
        <v>0</v>
      </c>
      <c r="AG232" s="174"/>
      <c r="AH232" s="174"/>
      <c r="AI232" s="173">
        <f>IF(AI233=0,0,AI231*1000/AI$89/AI233)</f>
        <v>0</v>
      </c>
      <c r="AJ232" s="174"/>
      <c r="AK232" s="174"/>
      <c r="AL232" s="174"/>
      <c r="AM232" s="174"/>
      <c r="AN232" s="173" t="e">
        <f>IF(AN233=0,0,AN231*1000/AN$89/AN233)</f>
        <v>#REF!</v>
      </c>
      <c r="AO232" s="173">
        <v>0</v>
      </c>
      <c r="AP232" s="174"/>
      <c r="AQ232" s="174"/>
      <c r="AR232" s="173">
        <f>IF(AR233=0,0,AR231*1000/AR$89/AR233)</f>
        <v>0</v>
      </c>
      <c r="AS232" s="174"/>
      <c r="AT232" s="174"/>
      <c r="AU232" s="173" t="e">
        <f>IF(AU233=0,0,AU231*1000/AU$89/AU233)</f>
        <v>#REF!</v>
      </c>
      <c r="AV232" s="173">
        <v>0</v>
      </c>
      <c r="AW232" s="174"/>
      <c r="AX232" s="174"/>
      <c r="AY232" s="173">
        <f>IF(AY233=0,0,AY231*1000/AY$89/AY233)</f>
        <v>0</v>
      </c>
      <c r="AZ232" s="174"/>
      <c r="BA232" s="174"/>
      <c r="BB232" s="174"/>
      <c r="BC232" s="174"/>
      <c r="BD232" s="173">
        <f>IF(BD233=0,0,BD231*1000/BD$89/BD233)</f>
        <v>0</v>
      </c>
      <c r="BE232" s="174"/>
      <c r="BF232" s="174"/>
      <c r="BG232" s="267">
        <f t="shared" si="61"/>
        <v>0</v>
      </c>
      <c r="BH232" s="267" t="e">
        <f>BD232-#REF!</f>
        <v>#REF!</v>
      </c>
      <c r="BI232" s="267">
        <f t="shared" si="62"/>
        <v>0</v>
      </c>
      <c r="BJ232" s="173" t="e">
        <f>IF(BJ233=0,0,BJ231*1000/BJ$89/BJ233)</f>
        <v>#REF!</v>
      </c>
      <c r="BK232" s="174"/>
      <c r="BL232" s="174"/>
      <c r="BM232" s="173">
        <f>IF(BM233=0,0,BM231*1000/BM$89/BM233)</f>
        <v>0</v>
      </c>
      <c r="BN232" s="174"/>
      <c r="BO232" s="174"/>
      <c r="BP232" s="267">
        <f t="shared" si="37"/>
        <v>0</v>
      </c>
      <c r="BQ232" s="267" t="e">
        <f t="shared" si="38"/>
        <v>#REF!</v>
      </c>
      <c r="BR232" s="173" t="e">
        <f>IF(BR233=0,0,BR231*1000/BR$89/BR233)</f>
        <v>#REF!</v>
      </c>
      <c r="BS232" s="174"/>
      <c r="BT232" s="174"/>
      <c r="BU232" s="173">
        <f>IF(BU233=0,0,BU231*1000/BU$89/BU233)</f>
        <v>0</v>
      </c>
      <c r="BV232" s="174"/>
      <c r="BW232" s="174"/>
      <c r="BX232" s="267">
        <f t="shared" si="39"/>
        <v>0</v>
      </c>
      <c r="BY232" s="267" t="e">
        <f t="shared" si="40"/>
        <v>#REF!</v>
      </c>
      <c r="BZ232" s="173" t="e">
        <f>IF(BZ233=0,0,BZ231*1000/BZ$89/BZ233)</f>
        <v>#REF!</v>
      </c>
      <c r="CA232" s="174"/>
      <c r="CB232" s="174"/>
      <c r="CC232" s="173">
        <f>IF(CC233=0,0,CC231*1000/CC$89/CC233)</f>
        <v>0</v>
      </c>
      <c r="CD232" s="174"/>
      <c r="CE232" s="174"/>
      <c r="CF232" s="267">
        <f t="shared" si="41"/>
        <v>0</v>
      </c>
      <c r="CG232" s="267" t="e">
        <f t="shared" si="42"/>
        <v>#REF!</v>
      </c>
      <c r="CH232" s="173" t="e">
        <f>IF(CH233=0,0,CH231*1000/CH$89/CH233)</f>
        <v>#REF!</v>
      </c>
      <c r="CI232" s="174"/>
      <c r="CJ232" s="174"/>
      <c r="CK232" s="173">
        <f>IF(CK233=0,0,CK231*1000/CK$89/CK233)</f>
        <v>0</v>
      </c>
      <c r="CL232" s="174"/>
      <c r="CM232" s="174"/>
      <c r="CN232" s="267">
        <f t="shared" si="43"/>
        <v>0</v>
      </c>
      <c r="CO232" s="267" t="e">
        <f t="shared" si="44"/>
        <v>#REF!</v>
      </c>
      <c r="CP232" s="92"/>
      <c r="CQ232" s="85"/>
      <c r="CR232" s="85"/>
      <c r="CS232" s="85"/>
      <c r="CT232" s="99" t="e">
        <f t="shared" si="63"/>
        <v>#REF!</v>
      </c>
      <c r="CU232" s="100">
        <f>IF(CU233=0,0,CU231*1000/CU$89/CU233)</f>
        <v>0</v>
      </c>
      <c r="CV232" s="101"/>
      <c r="CW232" s="101"/>
      <c r="CX232" s="101"/>
      <c r="CY232" s="101"/>
      <c r="CZ232" s="101"/>
      <c r="DA232" s="101"/>
      <c r="DB232" s="101"/>
    </row>
    <row r="233" spans="3:106" ht="14.25" customHeight="1" outlineLevel="4" x14ac:dyDescent="0.25">
      <c r="C233" s="2" t="s">
        <v>214</v>
      </c>
      <c r="D233" s="2" t="s">
        <v>215</v>
      </c>
      <c r="E233" s="2" t="s">
        <v>74</v>
      </c>
      <c r="F233" s="2" t="s">
        <v>75</v>
      </c>
      <c r="G233" s="2" t="s">
        <v>74</v>
      </c>
      <c r="H233" s="2" t="s">
        <v>74</v>
      </c>
      <c r="I233" s="2" t="s">
        <v>74</v>
      </c>
      <c r="J233" s="2" t="s">
        <v>74</v>
      </c>
      <c r="K233" s="5" t="s">
        <v>74</v>
      </c>
      <c r="L233" s="2" t="s">
        <v>74</v>
      </c>
      <c r="M233" s="8" t="str">
        <f t="array" ref="M233">Y107</f>
        <v>1ВО::1.1</v>
      </c>
      <c r="AA233" s="107" t="str">
        <f>AA231&amp;".2"</f>
        <v>3.1.1.4.3.1.2</v>
      </c>
      <c r="AB233" s="205" t="s">
        <v>216</v>
      </c>
      <c r="AC233" s="197" t="s">
        <v>217</v>
      </c>
      <c r="AD233" s="136"/>
      <c r="AE233" s="136"/>
      <c r="AF233" s="195"/>
      <c r="AG233" s="202"/>
      <c r="AH233" s="202"/>
      <c r="AI233" s="136">
        <f t="array" ref="AI233">'ВО-2021-2025'!$AF$233</f>
        <v>0</v>
      </c>
      <c r="AJ233" s="202"/>
      <c r="AK233" s="202"/>
      <c r="AL233" s="202"/>
      <c r="AM233" s="202"/>
      <c r="AN233" s="200" t="e">
        <f t="array" ref="AN233">IF('ВО-2021-2025'!$AN$81="Методика",'ВО-2021-2025'!AI233,'ВО-2021-2025'!#REF!)</f>
        <v>#REF!</v>
      </c>
      <c r="AO233" s="195"/>
      <c r="AP233" s="202"/>
      <c r="AQ233" s="202"/>
      <c r="AR233" s="136">
        <f t="array" ref="AR233">'ВО-2021-2025'!$AO$233</f>
        <v>0</v>
      </c>
      <c r="AS233" s="202"/>
      <c r="AT233" s="202"/>
      <c r="AU233" s="200" t="e">
        <f t="array" ref="AU233">'ВО-2021-2025'!#REF!</f>
        <v>#REF!</v>
      </c>
      <c r="AV233" s="195">
        <v>0</v>
      </c>
      <c r="AW233" s="202"/>
      <c r="AX233" s="202"/>
      <c r="AY233" s="136">
        <f t="array" ref="AY233">IF(AY$88,IF($BD$80="индексировать",AR233*(1-AY$113)*(1+AY$115),AR233),AV233*1)</f>
        <v>0</v>
      </c>
      <c r="AZ233" s="202"/>
      <c r="BA233" s="202"/>
      <c r="BB233" s="202"/>
      <c r="BC233" s="202"/>
      <c r="BD233" s="136">
        <f t="array" ref="BD233">IF('ВО-2021-2025'!$BD$80="индексировать",'ВО-2021-2025'!$AR$233*(1-'ВО-2021-2025'!$BD$113)*(1+'ВО-2021-2025'!$BD$115),'ВО-2021-2025'!$AR$233)</f>
        <v>0</v>
      </c>
      <c r="BE233" s="202"/>
      <c r="BF233" s="202"/>
      <c r="BG233" s="267">
        <f t="shared" si="61"/>
        <v>0</v>
      </c>
      <c r="BH233" s="267" t="e">
        <f>BD233-#REF!</f>
        <v>#REF!</v>
      </c>
      <c r="BI233" s="267">
        <f t="shared" si="62"/>
        <v>0</v>
      </c>
      <c r="BJ233" s="136" t="e">
        <f>#REF!*IF(#REF!="индексировать",(1-BJ$113)*(1+BJ$115),1)</f>
        <v>#REF!</v>
      </c>
      <c r="BK233" s="202"/>
      <c r="BL233" s="202"/>
      <c r="BM233" s="136">
        <f>BD233*IF($BD$80="индексировать",(1-BM$113)*(1+BM$115),1)</f>
        <v>0</v>
      </c>
      <c r="BN233" s="202"/>
      <c r="BO233" s="202"/>
      <c r="BP233" s="267">
        <f t="shared" si="37"/>
        <v>0</v>
      </c>
      <c r="BQ233" s="267" t="e">
        <f t="shared" si="38"/>
        <v>#REF!</v>
      </c>
      <c r="BR233" s="136" t="e">
        <f>BJ233*IF(#REF!="индексировать",(1-BR$113)*(1+BR$115),1)</f>
        <v>#REF!</v>
      </c>
      <c r="BS233" s="202"/>
      <c r="BT233" s="202"/>
      <c r="BU233" s="136">
        <f>BM233*IF($BD$80="индексировать",(1-BU$113)*(1+BU$115),1)</f>
        <v>0</v>
      </c>
      <c r="BV233" s="202"/>
      <c r="BW233" s="202"/>
      <c r="BX233" s="267">
        <f t="shared" si="39"/>
        <v>0</v>
      </c>
      <c r="BY233" s="267" t="e">
        <f t="shared" si="40"/>
        <v>#REF!</v>
      </c>
      <c r="BZ233" s="136" t="e">
        <f>BR233*IF(#REF!="индексировать",(1-BZ$113)*(1+BZ$115),1)</f>
        <v>#REF!</v>
      </c>
      <c r="CA233" s="202"/>
      <c r="CB233" s="202"/>
      <c r="CC233" s="136">
        <f>BU233*IF($BD$80="индексировать",(1-CC$113)*(1+CC$115),1)</f>
        <v>0</v>
      </c>
      <c r="CD233" s="202"/>
      <c r="CE233" s="202"/>
      <c r="CF233" s="267">
        <f t="shared" si="41"/>
        <v>0</v>
      </c>
      <c r="CG233" s="267" t="e">
        <f t="shared" si="42"/>
        <v>#REF!</v>
      </c>
      <c r="CH233" s="136" t="e">
        <f>BZ233*IF(#REF!="индексировать",(1-CH$113)*(1+CH$115),1)</f>
        <v>#REF!</v>
      </c>
      <c r="CI233" s="202"/>
      <c r="CJ233" s="202"/>
      <c r="CK233" s="136">
        <f>CC233*IF($BD$80="индексировать",(1-CK$113)*(1+CK$115),1)</f>
        <v>0</v>
      </c>
      <c r="CL233" s="202"/>
      <c r="CM233" s="202"/>
      <c r="CN233" s="267">
        <f t="shared" si="43"/>
        <v>0</v>
      </c>
      <c r="CO233" s="267" t="e">
        <f t="shared" si="44"/>
        <v>#REF!</v>
      </c>
      <c r="CP233" s="92"/>
      <c r="CQ233" s="85"/>
      <c r="CR233" s="85"/>
      <c r="CS233" s="85"/>
      <c r="CT233" s="99" t="e">
        <f t="shared" si="63"/>
        <v>#REF!</v>
      </c>
      <c r="CU233" s="99">
        <f t="array" ref="CU233">BD233</f>
        <v>0</v>
      </c>
      <c r="CV233" s="101"/>
      <c r="CW233" s="101"/>
      <c r="CX233" s="101"/>
      <c r="CY233" s="101"/>
      <c r="CZ233" s="101"/>
      <c r="DA233" s="101"/>
      <c r="DB233" s="101"/>
    </row>
    <row r="234" spans="3:106" ht="14.25" customHeight="1" outlineLevel="4" x14ac:dyDescent="0.25">
      <c r="C234" s="2" t="s">
        <v>84</v>
      </c>
      <c r="D234" s="2" t="s">
        <v>85</v>
      </c>
      <c r="E234" s="2" t="s">
        <v>74</v>
      </c>
      <c r="F234" s="2" t="s">
        <v>75</v>
      </c>
      <c r="G234" s="2" t="s">
        <v>218</v>
      </c>
      <c r="H234" s="2" t="s">
        <v>74</v>
      </c>
      <c r="I234" s="2" t="s">
        <v>74</v>
      </c>
      <c r="J234" s="2" t="s">
        <v>74</v>
      </c>
      <c r="K234" s="5" t="s">
        <v>74</v>
      </c>
      <c r="L234" s="2" t="s">
        <v>74</v>
      </c>
      <c r="M234" s="8" t="str">
        <f t="array" ref="M234">Y107</f>
        <v>1ВО::1.1</v>
      </c>
      <c r="AA234" s="107" t="str">
        <f>AA230&amp;".2"</f>
        <v>3.1.1.4.3.2</v>
      </c>
      <c r="AB234" s="199" t="s">
        <v>218</v>
      </c>
      <c r="AC234" s="197" t="s">
        <v>114</v>
      </c>
      <c r="AD234" s="173">
        <v>0</v>
      </c>
      <c r="AE234" s="173">
        <v>0</v>
      </c>
      <c r="AF234" s="173">
        <v>0</v>
      </c>
      <c r="AG234" s="174"/>
      <c r="AH234" s="174"/>
      <c r="AI234" s="173">
        <f>AI230-AI231</f>
        <v>0</v>
      </c>
      <c r="AJ234" s="174"/>
      <c r="AK234" s="174"/>
      <c r="AL234" s="174"/>
      <c r="AM234" s="174"/>
      <c r="AN234" s="200" t="e">
        <f t="array" ref="AN234">IF('ВО-2021-2025'!$AN$81="Методика",IF('ВО-2021-2025'!AI$158=0,0,'ВО-2021-2025'!AI234/'ВО-2021-2025'!AI$158*'ВО-2021-2025'!AN$159),'ВО-2021-2025'!#REF!)</f>
        <v>#REF!</v>
      </c>
      <c r="AO234" s="173">
        <v>46196.953205760001</v>
      </c>
      <c r="AP234" s="174"/>
      <c r="AQ234" s="174"/>
      <c r="AR234" s="173">
        <f>AR230-AR231</f>
        <v>46196.953205760001</v>
      </c>
      <c r="AS234" s="174"/>
      <c r="AT234" s="174"/>
      <c r="AU234" s="200" t="e">
        <f t="array" ref="AU234">'ВО-2021-2025'!#REF!</f>
        <v>#REF!</v>
      </c>
      <c r="AV234" s="173">
        <v>47655.852987997903</v>
      </c>
      <c r="AW234" s="174"/>
      <c r="AX234" s="174"/>
      <c r="AY234" s="173">
        <f>AY230-AY231</f>
        <v>47655.852987997903</v>
      </c>
      <c r="AZ234" s="174"/>
      <c r="BA234" s="174"/>
      <c r="BB234" s="174"/>
      <c r="BC234" s="174"/>
      <c r="BD234" s="173" t="e">
        <f>BD230-BD231</f>
        <v>#REF!</v>
      </c>
      <c r="BE234" s="174"/>
      <c r="BF234" s="174"/>
      <c r="BG234" s="267" t="e">
        <f t="shared" si="61"/>
        <v>#REF!</v>
      </c>
      <c r="BH234" s="267" t="e">
        <f>BD234-#REF!</f>
        <v>#REF!</v>
      </c>
      <c r="BI234" s="267" t="e">
        <f t="shared" si="62"/>
        <v>#REF!</v>
      </c>
      <c r="BJ234" s="136" t="e">
        <f>#REF!*BJ$111</f>
        <v>#REF!</v>
      </c>
      <c r="BK234" s="174"/>
      <c r="BL234" s="174"/>
      <c r="BM234" s="136" t="e">
        <f>BD234*BM$111</f>
        <v>#REF!</v>
      </c>
      <c r="BN234" s="174"/>
      <c r="BO234" s="174"/>
      <c r="BP234" s="267" t="e">
        <f t="shared" si="37"/>
        <v>#REF!</v>
      </c>
      <c r="BQ234" s="267" t="e">
        <f t="shared" si="38"/>
        <v>#REF!</v>
      </c>
      <c r="BR234" s="136" t="e">
        <f>BJ234*BR$111</f>
        <v>#REF!</v>
      </c>
      <c r="BS234" s="174"/>
      <c r="BT234" s="174"/>
      <c r="BU234" s="136" t="e">
        <f>BM234*BU$111</f>
        <v>#REF!</v>
      </c>
      <c r="BV234" s="174"/>
      <c r="BW234" s="174"/>
      <c r="BX234" s="267" t="e">
        <f t="shared" si="39"/>
        <v>#REF!</v>
      </c>
      <c r="BY234" s="267" t="e">
        <f t="shared" si="40"/>
        <v>#REF!</v>
      </c>
      <c r="BZ234" s="136" t="e">
        <f>BR234*BZ$111</f>
        <v>#REF!</v>
      </c>
      <c r="CA234" s="174"/>
      <c r="CB234" s="174"/>
      <c r="CC234" s="136" t="e">
        <f>BU234*CC$111</f>
        <v>#REF!</v>
      </c>
      <c r="CD234" s="174"/>
      <c r="CE234" s="174"/>
      <c r="CF234" s="267" t="e">
        <f t="shared" si="41"/>
        <v>#REF!</v>
      </c>
      <c r="CG234" s="267" t="e">
        <f t="shared" si="42"/>
        <v>#REF!</v>
      </c>
      <c r="CH234" s="136" t="e">
        <f>BZ234*CH$111</f>
        <v>#REF!</v>
      </c>
      <c r="CI234" s="174"/>
      <c r="CJ234" s="174"/>
      <c r="CK234" s="136" t="e">
        <f>CC234*CK$111</f>
        <v>#REF!</v>
      </c>
      <c r="CL234" s="174"/>
      <c r="CM234" s="174"/>
      <c r="CN234" s="267" t="e">
        <f t="shared" si="43"/>
        <v>#REF!</v>
      </c>
      <c r="CO234" s="267" t="e">
        <f t="shared" si="44"/>
        <v>#REF!</v>
      </c>
      <c r="CP234" s="92"/>
      <c r="CQ234" s="85"/>
      <c r="CR234" s="85"/>
      <c r="CS234" s="85"/>
      <c r="CT234" s="99" t="e">
        <f t="shared" si="63"/>
        <v>#REF!</v>
      </c>
      <c r="CU234" s="100" t="e">
        <f>CU230-CU231</f>
        <v>#REF!</v>
      </c>
      <c r="CV234" s="101"/>
      <c r="CW234" s="101"/>
      <c r="CX234" s="101"/>
      <c r="CY234" s="101"/>
      <c r="CZ234" s="101"/>
      <c r="DA234" s="101"/>
      <c r="DB234" s="101"/>
    </row>
    <row r="235" spans="3:106" ht="14.25" customHeight="1" outlineLevel="4" x14ac:dyDescent="0.25">
      <c r="C235" s="2" t="s">
        <v>220</v>
      </c>
      <c r="D235" s="2" t="s">
        <v>221</v>
      </c>
      <c r="E235" s="2" t="s">
        <v>74</v>
      </c>
      <c r="F235" s="2" t="s">
        <v>75</v>
      </c>
      <c r="G235" s="2" t="s">
        <v>74</v>
      </c>
      <c r="H235" s="2" t="s">
        <v>74</v>
      </c>
      <c r="I235" s="2" t="s">
        <v>74</v>
      </c>
      <c r="J235" s="2" t="s">
        <v>74</v>
      </c>
      <c r="K235" s="5" t="s">
        <v>74</v>
      </c>
      <c r="L235" s="2" t="s">
        <v>74</v>
      </c>
      <c r="M235" s="8" t="str">
        <f t="array" ref="M235">Y107</f>
        <v>1ВО::1.1</v>
      </c>
      <c r="AA235" s="107" t="str">
        <f>AA234&amp;".1"</f>
        <v>3.1.1.4.3.2.1</v>
      </c>
      <c r="AB235" s="205" t="s">
        <v>222</v>
      </c>
      <c r="AC235" s="197" t="s">
        <v>122</v>
      </c>
      <c r="AD235" s="173">
        <v>0</v>
      </c>
      <c r="AE235" s="173">
        <v>0</v>
      </c>
      <c r="AF235" s="173">
        <v>0</v>
      </c>
      <c r="AG235" s="174"/>
      <c r="AH235" s="174"/>
      <c r="AI235" s="173">
        <f>IF(AI231=0,0,AI234/AI231*100)</f>
        <v>0</v>
      </c>
      <c r="AJ235" s="174"/>
      <c r="AK235" s="174"/>
      <c r="AL235" s="174"/>
      <c r="AM235" s="174"/>
      <c r="AN235" s="173" t="e">
        <f>IF(AN231=0,0,AN234/AN231*100)</f>
        <v>#REF!</v>
      </c>
      <c r="AO235" s="173">
        <v>0</v>
      </c>
      <c r="AP235" s="174"/>
      <c r="AQ235" s="174"/>
      <c r="AR235" s="173">
        <f>IF(AR231=0,0,AR234/AR231*100)</f>
        <v>0</v>
      </c>
      <c r="AS235" s="174"/>
      <c r="AT235" s="174"/>
      <c r="AU235" s="173" t="e">
        <f>IF(AU231=0,0,AU234/AU231*100)</f>
        <v>#REF!</v>
      </c>
      <c r="AV235" s="173">
        <v>0</v>
      </c>
      <c r="AW235" s="174"/>
      <c r="AX235" s="174"/>
      <c r="AY235" s="173">
        <f>IF(AY231=0,0,AY234/AY231*100)</f>
        <v>0</v>
      </c>
      <c r="AZ235" s="174"/>
      <c r="BA235" s="174"/>
      <c r="BB235" s="174"/>
      <c r="BC235" s="174"/>
      <c r="BD235" s="173" t="e">
        <f>IF(BD231=0,0,BD234/BD231*100)</f>
        <v>#REF!</v>
      </c>
      <c r="BE235" s="174"/>
      <c r="BF235" s="174"/>
      <c r="BG235" s="267">
        <f t="shared" si="61"/>
        <v>0</v>
      </c>
      <c r="BH235" s="267" t="e">
        <f>BD235-#REF!</f>
        <v>#REF!</v>
      </c>
      <c r="BI235" s="267" t="e">
        <f t="shared" si="62"/>
        <v>#REF!</v>
      </c>
      <c r="BJ235" s="173" t="e">
        <f>IF(BJ231=0,0,BJ234/BJ231*100)</f>
        <v>#REF!</v>
      </c>
      <c r="BK235" s="174"/>
      <c r="BL235" s="174"/>
      <c r="BM235" s="173" t="e">
        <f>IF(BM231=0,0,BM234/BM231*100)</f>
        <v>#REF!</v>
      </c>
      <c r="BN235" s="174"/>
      <c r="BO235" s="174"/>
      <c r="BP235" s="267" t="e">
        <f t="shared" si="37"/>
        <v>#REF!</v>
      </c>
      <c r="BQ235" s="267" t="e">
        <f t="shared" si="38"/>
        <v>#REF!</v>
      </c>
      <c r="BR235" s="173" t="e">
        <f>IF(BR231=0,0,BR234/BR231*100)</f>
        <v>#REF!</v>
      </c>
      <c r="BS235" s="174"/>
      <c r="BT235" s="174"/>
      <c r="BU235" s="173" t="e">
        <f>IF(BU231=0,0,BU234/BU231*100)</f>
        <v>#REF!</v>
      </c>
      <c r="BV235" s="174"/>
      <c r="BW235" s="174"/>
      <c r="BX235" s="267" t="e">
        <f t="shared" si="39"/>
        <v>#REF!</v>
      </c>
      <c r="BY235" s="267" t="e">
        <f t="shared" si="40"/>
        <v>#REF!</v>
      </c>
      <c r="BZ235" s="173" t="e">
        <f>IF(BZ231=0,0,BZ234/BZ231*100)</f>
        <v>#REF!</v>
      </c>
      <c r="CA235" s="174"/>
      <c r="CB235" s="174"/>
      <c r="CC235" s="173" t="e">
        <f>IF(CC231=0,0,CC234/CC231*100)</f>
        <v>#REF!</v>
      </c>
      <c r="CD235" s="174"/>
      <c r="CE235" s="174"/>
      <c r="CF235" s="267" t="e">
        <f t="shared" si="41"/>
        <v>#REF!</v>
      </c>
      <c r="CG235" s="267" t="e">
        <f t="shared" si="42"/>
        <v>#REF!</v>
      </c>
      <c r="CH235" s="173" t="e">
        <f>IF(CH231=0,0,CH234/CH231*100)</f>
        <v>#REF!</v>
      </c>
      <c r="CI235" s="174"/>
      <c r="CJ235" s="174"/>
      <c r="CK235" s="173" t="e">
        <f>IF(CK231=0,0,CK234/CK231*100)</f>
        <v>#REF!</v>
      </c>
      <c r="CL235" s="174"/>
      <c r="CM235" s="174"/>
      <c r="CN235" s="267" t="e">
        <f t="shared" si="43"/>
        <v>#REF!</v>
      </c>
      <c r="CO235" s="267" t="e">
        <f t="shared" si="44"/>
        <v>#REF!</v>
      </c>
      <c r="CP235" s="92"/>
      <c r="CQ235" s="85"/>
      <c r="CR235" s="85"/>
      <c r="CS235" s="85"/>
      <c r="CT235" s="99" t="e">
        <f t="shared" si="63"/>
        <v>#REF!</v>
      </c>
      <c r="CU235" s="100" t="e">
        <f>IF(CU231=0,0,CU234/CU231*100)</f>
        <v>#REF!</v>
      </c>
      <c r="CV235" s="101"/>
      <c r="CW235" s="101"/>
      <c r="CX235" s="101"/>
      <c r="CY235" s="101"/>
      <c r="CZ235" s="101"/>
      <c r="DA235" s="101"/>
      <c r="DB235" s="101"/>
    </row>
    <row r="236" spans="3:106" ht="27.75" customHeight="1" outlineLevel="4" x14ac:dyDescent="0.25">
      <c r="C236" s="2" t="s">
        <v>84</v>
      </c>
      <c r="D236" s="2" t="s">
        <v>85</v>
      </c>
      <c r="E236" s="2" t="s">
        <v>74</v>
      </c>
      <c r="F236" s="2" t="s">
        <v>75</v>
      </c>
      <c r="G236" s="2" t="s">
        <v>314</v>
      </c>
      <c r="H236" s="2" t="s">
        <v>74</v>
      </c>
      <c r="I236" s="2" t="s">
        <v>74</v>
      </c>
      <c r="J236" s="2" t="s">
        <v>74</v>
      </c>
      <c r="K236" s="5" t="s">
        <v>74</v>
      </c>
      <c r="L236" s="2" t="s">
        <v>74</v>
      </c>
      <c r="M236" s="8" t="str">
        <f t="array" ref="M236">Y107</f>
        <v>1ВО::1.1</v>
      </c>
      <c r="AA236" s="206" t="str">
        <f>AA227&amp;".4"</f>
        <v>3.1.1.4.4</v>
      </c>
      <c r="AB236" s="198" t="s">
        <v>315</v>
      </c>
      <c r="AC236" s="197" t="s">
        <v>114</v>
      </c>
      <c r="AD236" s="136"/>
      <c r="AE236" s="136"/>
      <c r="AF236" s="195"/>
      <c r="AG236" s="202"/>
      <c r="AH236" s="202"/>
      <c r="AI236" s="136">
        <f t="array" ref="AI236">'ВО-2021-2025'!$AF$236</f>
        <v>0</v>
      </c>
      <c r="AJ236" s="202"/>
      <c r="AK236" s="202"/>
      <c r="AL236" s="202"/>
      <c r="AM236" s="202"/>
      <c r="AN236" s="200" t="e">
        <f t="array" ref="AN236">IF('ВО-2021-2025'!$AN$81="Методика",IF('ВО-2021-2025'!AI$158=0,0,'ВО-2021-2025'!AI236/'ВО-2021-2025'!AI$158*'ВО-2021-2025'!AN$159),'ВО-2021-2025'!#REF!)</f>
        <v>#REF!</v>
      </c>
      <c r="AO236" s="195"/>
      <c r="AP236" s="202"/>
      <c r="AQ236" s="202"/>
      <c r="AR236" s="136">
        <f t="array" ref="AR236">'ВО-2021-2025'!$AO$236</f>
        <v>0</v>
      </c>
      <c r="AS236" s="202"/>
      <c r="AT236" s="202"/>
      <c r="AU236" s="200" t="e">
        <f t="array" ref="AU236">'ВО-2021-2025'!#REF!</f>
        <v>#REF!</v>
      </c>
      <c r="AV236" s="195">
        <v>0</v>
      </c>
      <c r="AW236" s="202"/>
      <c r="AX236" s="202"/>
      <c r="AY236" s="136">
        <f>IF(AY$88,AR236*AY$112,AV236*1)</f>
        <v>0</v>
      </c>
      <c r="AZ236" s="202"/>
      <c r="BA236" s="202"/>
      <c r="BB236" s="202"/>
      <c r="BC236" s="202"/>
      <c r="BD236" s="136" t="e">
        <f>'ВО-2021-2025'!$AR$236*'ВО-2021-2025'!$BD$112</f>
        <v>#REF!</v>
      </c>
      <c r="BE236" s="202"/>
      <c r="BF236" s="202"/>
      <c r="BG236" s="267">
        <f t="shared" si="61"/>
        <v>0</v>
      </c>
      <c r="BH236" s="267" t="e">
        <f>BD236-#REF!</f>
        <v>#REF!</v>
      </c>
      <c r="BI236" s="267" t="e">
        <f t="shared" si="62"/>
        <v>#REF!</v>
      </c>
      <c r="BJ236" s="136" t="e">
        <f>#REF!*BJ$111</f>
        <v>#REF!</v>
      </c>
      <c r="BK236" s="202"/>
      <c r="BL236" s="202"/>
      <c r="BM236" s="136" t="e">
        <f>BD236*BM$111</f>
        <v>#REF!</v>
      </c>
      <c r="BN236" s="202"/>
      <c r="BO236" s="202"/>
      <c r="BP236" s="267" t="e">
        <f t="shared" si="37"/>
        <v>#REF!</v>
      </c>
      <c r="BQ236" s="267" t="e">
        <f t="shared" si="38"/>
        <v>#REF!</v>
      </c>
      <c r="BR236" s="136" t="e">
        <f>BJ236*BR$111</f>
        <v>#REF!</v>
      </c>
      <c r="BS236" s="202"/>
      <c r="BT236" s="202"/>
      <c r="BU236" s="136" t="e">
        <f>BM236*BU$111</f>
        <v>#REF!</v>
      </c>
      <c r="BV236" s="202"/>
      <c r="BW236" s="202"/>
      <c r="BX236" s="267" t="e">
        <f t="shared" si="39"/>
        <v>#REF!</v>
      </c>
      <c r="BY236" s="267" t="e">
        <f t="shared" si="40"/>
        <v>#REF!</v>
      </c>
      <c r="BZ236" s="136" t="e">
        <f>BR236*BZ$111</f>
        <v>#REF!</v>
      </c>
      <c r="CA236" s="202"/>
      <c r="CB236" s="202"/>
      <c r="CC236" s="136" t="e">
        <f>BU236*CC$111</f>
        <v>#REF!</v>
      </c>
      <c r="CD236" s="202"/>
      <c r="CE236" s="202"/>
      <c r="CF236" s="267" t="e">
        <f t="shared" si="41"/>
        <v>#REF!</v>
      </c>
      <c r="CG236" s="267" t="e">
        <f t="shared" si="42"/>
        <v>#REF!</v>
      </c>
      <c r="CH236" s="136" t="e">
        <f>BZ236*CH$111</f>
        <v>#REF!</v>
      </c>
      <c r="CI236" s="202"/>
      <c r="CJ236" s="202"/>
      <c r="CK236" s="136" t="e">
        <f>CC236*CK$111</f>
        <v>#REF!</v>
      </c>
      <c r="CL236" s="202"/>
      <c r="CM236" s="202"/>
      <c r="CN236" s="267" t="e">
        <f t="shared" si="43"/>
        <v>#REF!</v>
      </c>
      <c r="CO236" s="267" t="e">
        <f t="shared" si="44"/>
        <v>#REF!</v>
      </c>
      <c r="CP236" s="92"/>
      <c r="CQ236" s="85"/>
      <c r="CR236" s="85"/>
      <c r="CS236" s="85"/>
      <c r="CT236" s="99" t="e">
        <f t="shared" si="63"/>
        <v>#REF!</v>
      </c>
      <c r="CU236" s="99" t="e">
        <f t="array" ref="CU236">BD236</f>
        <v>#REF!</v>
      </c>
      <c r="CV236" s="101"/>
      <c r="CW236" s="101"/>
      <c r="CX236" s="101"/>
      <c r="CY236" s="101"/>
      <c r="CZ236" s="101"/>
      <c r="DA236" s="101"/>
      <c r="DB236" s="101"/>
    </row>
    <row r="237" spans="3:106" ht="27.75" customHeight="1" outlineLevel="4" x14ac:dyDescent="0.25">
      <c r="C237" s="2" t="s">
        <v>84</v>
      </c>
      <c r="D237" s="2" t="s">
        <v>85</v>
      </c>
      <c r="E237" s="2" t="s">
        <v>74</v>
      </c>
      <c r="F237" s="2" t="s">
        <v>75</v>
      </c>
      <c r="G237" s="2" t="s">
        <v>316</v>
      </c>
      <c r="H237" s="2" t="s">
        <v>74</v>
      </c>
      <c r="I237" s="2" t="s">
        <v>74</v>
      </c>
      <c r="J237" s="2" t="s">
        <v>74</v>
      </c>
      <c r="K237" s="5" t="s">
        <v>74</v>
      </c>
      <c r="L237" s="2" t="s">
        <v>74</v>
      </c>
      <c r="M237" s="8" t="str">
        <f t="array" ref="M237">Y107</f>
        <v>1ВО::1.1</v>
      </c>
      <c r="AA237" s="206" t="str">
        <f>AA227&amp;".5"</f>
        <v>3.1.1.4.5</v>
      </c>
      <c r="AB237" s="198" t="s">
        <v>316</v>
      </c>
      <c r="AC237" s="197" t="s">
        <v>114</v>
      </c>
      <c r="AD237" s="136"/>
      <c r="AE237" s="136"/>
      <c r="AF237" s="195"/>
      <c r="AG237" s="202"/>
      <c r="AH237" s="202"/>
      <c r="AI237" s="136">
        <f t="array" ref="AI237">'ВО-2021-2025'!$AF$237</f>
        <v>0</v>
      </c>
      <c r="AJ237" s="202"/>
      <c r="AK237" s="202"/>
      <c r="AL237" s="202"/>
      <c r="AM237" s="202"/>
      <c r="AN237" s="200" t="e">
        <f t="array" ref="AN237">IF('ВО-2021-2025'!$AN$81="Методика",IF('ВО-2021-2025'!AI$158=0,0,'ВО-2021-2025'!AI237/'ВО-2021-2025'!AI$158*'ВО-2021-2025'!AN$159),'ВО-2021-2025'!#REF!)</f>
        <v>#REF!</v>
      </c>
      <c r="AO237" s="195"/>
      <c r="AP237" s="202"/>
      <c r="AQ237" s="202"/>
      <c r="AR237" s="136">
        <f t="array" ref="AR237">'ВО-2021-2025'!$AO$237</f>
        <v>0</v>
      </c>
      <c r="AS237" s="202"/>
      <c r="AT237" s="202"/>
      <c r="AU237" s="200" t="e">
        <f t="array" ref="AU237">'ВО-2021-2025'!#REF!</f>
        <v>#REF!</v>
      </c>
      <c r="AV237" s="195">
        <v>0</v>
      </c>
      <c r="AW237" s="202"/>
      <c r="AX237" s="202"/>
      <c r="AY237" s="136">
        <f>IF(AY$88,AR237*AY$112,AV237*1)</f>
        <v>0</v>
      </c>
      <c r="AZ237" s="202"/>
      <c r="BA237" s="202"/>
      <c r="BB237" s="202"/>
      <c r="BC237" s="202"/>
      <c r="BD237" s="136" t="e">
        <f>'ВО-2021-2025'!$AR$237*'ВО-2021-2025'!$BD$112</f>
        <v>#REF!</v>
      </c>
      <c r="BE237" s="202"/>
      <c r="BF237" s="202"/>
      <c r="BG237" s="267">
        <f t="shared" si="61"/>
        <v>0</v>
      </c>
      <c r="BH237" s="267" t="e">
        <f>BD237-#REF!</f>
        <v>#REF!</v>
      </c>
      <c r="BI237" s="267" t="e">
        <f t="shared" si="62"/>
        <v>#REF!</v>
      </c>
      <c r="BJ237" s="136" t="e">
        <f>#REF!*BJ$111</f>
        <v>#REF!</v>
      </c>
      <c r="BK237" s="202"/>
      <c r="BL237" s="202"/>
      <c r="BM237" s="136" t="e">
        <f>BD237*BM$111</f>
        <v>#REF!</v>
      </c>
      <c r="BN237" s="202"/>
      <c r="BO237" s="202"/>
      <c r="BP237" s="267" t="e">
        <f t="shared" si="37"/>
        <v>#REF!</v>
      </c>
      <c r="BQ237" s="267" t="e">
        <f t="shared" si="38"/>
        <v>#REF!</v>
      </c>
      <c r="BR237" s="136" t="e">
        <f>BJ237*BR$111</f>
        <v>#REF!</v>
      </c>
      <c r="BS237" s="202"/>
      <c r="BT237" s="202"/>
      <c r="BU237" s="136" t="e">
        <f>BM237*BU$111</f>
        <v>#REF!</v>
      </c>
      <c r="BV237" s="202"/>
      <c r="BW237" s="202"/>
      <c r="BX237" s="267" t="e">
        <f t="shared" si="39"/>
        <v>#REF!</v>
      </c>
      <c r="BY237" s="267" t="e">
        <f t="shared" si="40"/>
        <v>#REF!</v>
      </c>
      <c r="BZ237" s="136" t="e">
        <f>BR237*BZ$111</f>
        <v>#REF!</v>
      </c>
      <c r="CA237" s="202"/>
      <c r="CB237" s="202"/>
      <c r="CC237" s="136" t="e">
        <f>BU237*CC$111</f>
        <v>#REF!</v>
      </c>
      <c r="CD237" s="202"/>
      <c r="CE237" s="202"/>
      <c r="CF237" s="267" t="e">
        <f t="shared" si="41"/>
        <v>#REF!</v>
      </c>
      <c r="CG237" s="267" t="e">
        <f t="shared" si="42"/>
        <v>#REF!</v>
      </c>
      <c r="CH237" s="136" t="e">
        <f>BZ237*CH$111</f>
        <v>#REF!</v>
      </c>
      <c r="CI237" s="202"/>
      <c r="CJ237" s="202"/>
      <c r="CK237" s="136" t="e">
        <f>CC237*CK$111</f>
        <v>#REF!</v>
      </c>
      <c r="CL237" s="202"/>
      <c r="CM237" s="202"/>
      <c r="CN237" s="267" t="e">
        <f t="shared" si="43"/>
        <v>#REF!</v>
      </c>
      <c r="CO237" s="267" t="e">
        <f t="shared" si="44"/>
        <v>#REF!</v>
      </c>
      <c r="CP237" s="92"/>
      <c r="CQ237" s="85"/>
      <c r="CR237" s="85"/>
      <c r="CS237" s="85"/>
      <c r="CT237" s="99" t="e">
        <f t="shared" si="63"/>
        <v>#REF!</v>
      </c>
      <c r="CU237" s="99" t="e">
        <f t="array" ref="CU237">BD237</f>
        <v>#REF!</v>
      </c>
      <c r="CV237" s="101"/>
      <c r="CW237" s="101"/>
      <c r="CX237" s="101"/>
      <c r="CY237" s="101"/>
      <c r="CZ237" s="101"/>
      <c r="DA237" s="101"/>
      <c r="DB237" s="101"/>
    </row>
    <row r="238" spans="3:106" ht="50.25" customHeight="1" outlineLevel="4" x14ac:dyDescent="0.25">
      <c r="C238" s="2" t="s">
        <v>84</v>
      </c>
      <c r="D238" s="2" t="s">
        <v>85</v>
      </c>
      <c r="E238" s="2" t="s">
        <v>74</v>
      </c>
      <c r="F238" s="2" t="s">
        <v>75</v>
      </c>
      <c r="G238" s="2" t="s">
        <v>317</v>
      </c>
      <c r="H238" s="2" t="s">
        <v>74</v>
      </c>
      <c r="I238" s="2" t="s">
        <v>74</v>
      </c>
      <c r="J238" s="2" t="s">
        <v>74</v>
      </c>
      <c r="K238" s="5" t="s">
        <v>74</v>
      </c>
      <c r="L238" s="2" t="s">
        <v>74</v>
      </c>
      <c r="M238" s="8" t="str">
        <f t="array" ref="M238">Y107</f>
        <v>1ВО::1.1</v>
      </c>
      <c r="AA238" s="206" t="str">
        <f>AA227&amp;".6"</f>
        <v>3.1.1.4.6</v>
      </c>
      <c r="AB238" s="198" t="s">
        <v>318</v>
      </c>
      <c r="AC238" s="197" t="s">
        <v>114</v>
      </c>
      <c r="AD238" s="136"/>
      <c r="AE238" s="136"/>
      <c r="AF238" s="195"/>
      <c r="AG238" s="202"/>
      <c r="AH238" s="202"/>
      <c r="AI238" s="136">
        <f t="array" ref="AI238">'ВО-2021-2025'!$AF$238</f>
        <v>0</v>
      </c>
      <c r="AJ238" s="202"/>
      <c r="AK238" s="202"/>
      <c r="AL238" s="202"/>
      <c r="AM238" s="202"/>
      <c r="AN238" s="200" t="e">
        <f t="array" ref="AN238">IF('ВО-2021-2025'!$AN$81="Методика",IF('ВО-2021-2025'!AI$158=0,0,'ВО-2021-2025'!AI238/'ВО-2021-2025'!AI$158*'ВО-2021-2025'!AN$159),'ВО-2021-2025'!#REF!)</f>
        <v>#REF!</v>
      </c>
      <c r="AO238" s="195"/>
      <c r="AP238" s="202"/>
      <c r="AQ238" s="202"/>
      <c r="AR238" s="136">
        <f t="array" ref="AR238">'ВО-2021-2025'!$AO$238</f>
        <v>0</v>
      </c>
      <c r="AS238" s="202"/>
      <c r="AT238" s="202"/>
      <c r="AU238" s="200" t="e">
        <f t="array" ref="AU238">'ВО-2021-2025'!#REF!</f>
        <v>#REF!</v>
      </c>
      <c r="AV238" s="195">
        <v>0</v>
      </c>
      <c r="AW238" s="202"/>
      <c r="AX238" s="202"/>
      <c r="AY238" s="136">
        <f>IF(AY$88,AR238*AY$112,AV238*1)</f>
        <v>0</v>
      </c>
      <c r="AZ238" s="202"/>
      <c r="BA238" s="202"/>
      <c r="BB238" s="202"/>
      <c r="BC238" s="202"/>
      <c r="BD238" s="136" t="e">
        <f>'ВО-2021-2025'!$AR$238*'ВО-2021-2025'!$BD$112</f>
        <v>#REF!</v>
      </c>
      <c r="BE238" s="202"/>
      <c r="BF238" s="202"/>
      <c r="BG238" s="267">
        <f t="shared" si="61"/>
        <v>0</v>
      </c>
      <c r="BH238" s="267" t="e">
        <f>BD238-#REF!</f>
        <v>#REF!</v>
      </c>
      <c r="BI238" s="267" t="e">
        <f t="shared" si="62"/>
        <v>#REF!</v>
      </c>
      <c r="BJ238" s="136" t="e">
        <f>#REF!*BJ$111</f>
        <v>#REF!</v>
      </c>
      <c r="BK238" s="202"/>
      <c r="BL238" s="202"/>
      <c r="BM238" s="136" t="e">
        <f>BD238*BM$111</f>
        <v>#REF!</v>
      </c>
      <c r="BN238" s="202"/>
      <c r="BO238" s="202"/>
      <c r="BP238" s="267" t="e">
        <f t="shared" si="37"/>
        <v>#REF!</v>
      </c>
      <c r="BQ238" s="267" t="e">
        <f t="shared" si="38"/>
        <v>#REF!</v>
      </c>
      <c r="BR238" s="136" t="e">
        <f>BJ238*BR$111</f>
        <v>#REF!</v>
      </c>
      <c r="BS238" s="202"/>
      <c r="BT238" s="202"/>
      <c r="BU238" s="136" t="e">
        <f>BM238*BU$111</f>
        <v>#REF!</v>
      </c>
      <c r="BV238" s="202"/>
      <c r="BW238" s="202"/>
      <c r="BX238" s="267" t="e">
        <f t="shared" si="39"/>
        <v>#REF!</v>
      </c>
      <c r="BY238" s="267" t="e">
        <f t="shared" si="40"/>
        <v>#REF!</v>
      </c>
      <c r="BZ238" s="136" t="e">
        <f>BR238*BZ$111</f>
        <v>#REF!</v>
      </c>
      <c r="CA238" s="202"/>
      <c r="CB238" s="202"/>
      <c r="CC238" s="136" t="e">
        <f>BU238*CC$111</f>
        <v>#REF!</v>
      </c>
      <c r="CD238" s="202"/>
      <c r="CE238" s="202"/>
      <c r="CF238" s="267" t="e">
        <f t="shared" si="41"/>
        <v>#REF!</v>
      </c>
      <c r="CG238" s="267" t="e">
        <f t="shared" si="42"/>
        <v>#REF!</v>
      </c>
      <c r="CH238" s="136" t="e">
        <f>BZ238*CH$111</f>
        <v>#REF!</v>
      </c>
      <c r="CI238" s="202"/>
      <c r="CJ238" s="202"/>
      <c r="CK238" s="136" t="e">
        <f>CC238*CK$111</f>
        <v>#REF!</v>
      </c>
      <c r="CL238" s="202"/>
      <c r="CM238" s="202"/>
      <c r="CN238" s="267" t="e">
        <f t="shared" si="43"/>
        <v>#REF!</v>
      </c>
      <c r="CO238" s="267" t="e">
        <f t="shared" si="44"/>
        <v>#REF!</v>
      </c>
      <c r="CP238" s="92"/>
      <c r="CQ238" s="85"/>
      <c r="CR238" s="85"/>
      <c r="CS238" s="85"/>
      <c r="CT238" s="99" t="e">
        <f t="shared" si="63"/>
        <v>#REF!</v>
      </c>
      <c r="CU238" s="99" t="e">
        <f t="array" ref="CU238">BD238</f>
        <v>#REF!</v>
      </c>
      <c r="CV238" s="101"/>
      <c r="CW238" s="101"/>
      <c r="CX238" s="101"/>
      <c r="CY238" s="101"/>
      <c r="CZ238" s="101"/>
      <c r="DA238" s="101"/>
      <c r="DB238" s="101"/>
    </row>
    <row r="239" spans="3:106" ht="38.25" customHeight="1" outlineLevel="4" x14ac:dyDescent="0.25">
      <c r="C239" s="2" t="s">
        <v>84</v>
      </c>
      <c r="D239" s="2" t="s">
        <v>85</v>
      </c>
      <c r="E239" s="2" t="s">
        <v>74</v>
      </c>
      <c r="F239" s="2" t="s">
        <v>75</v>
      </c>
      <c r="G239" s="2" t="s">
        <v>319</v>
      </c>
      <c r="H239" s="2" t="s">
        <v>74</v>
      </c>
      <c r="I239" s="2" t="s">
        <v>74</v>
      </c>
      <c r="J239" s="2" t="s">
        <v>74</v>
      </c>
      <c r="K239" s="5" t="s">
        <v>74</v>
      </c>
      <c r="L239" s="2" t="s">
        <v>74</v>
      </c>
      <c r="M239" s="8" t="str">
        <f t="array" ref="M239">Y107</f>
        <v>1ВО::1.1</v>
      </c>
      <c r="AA239" s="206" t="str">
        <f>AA227&amp;".7"</f>
        <v>3.1.1.4.7</v>
      </c>
      <c r="AB239" s="198" t="s">
        <v>320</v>
      </c>
      <c r="AC239" s="197" t="s">
        <v>114</v>
      </c>
      <c r="AD239" s="136"/>
      <c r="AE239" s="136"/>
      <c r="AF239" s="195"/>
      <c r="AG239" s="202"/>
      <c r="AH239" s="202"/>
      <c r="AI239" s="136">
        <f t="array" ref="AI239">'ВО-2021-2025'!$AF$239</f>
        <v>0</v>
      </c>
      <c r="AJ239" s="202"/>
      <c r="AK239" s="202"/>
      <c r="AL239" s="202"/>
      <c r="AM239" s="202"/>
      <c r="AN239" s="200" t="e">
        <f t="array" ref="AN239">IF('ВО-2021-2025'!$AN$81="Методика",IF('ВО-2021-2025'!AI$158=0,0,'ВО-2021-2025'!AI239/'ВО-2021-2025'!AI$158*'ВО-2021-2025'!AN$159),'ВО-2021-2025'!#REF!)</f>
        <v>#REF!</v>
      </c>
      <c r="AO239" s="195">
        <v>9213.3799999999992</v>
      </c>
      <c r="AP239" s="202"/>
      <c r="AQ239" s="202"/>
      <c r="AR239" s="136">
        <v>9213.3799999999992</v>
      </c>
      <c r="AS239" s="202"/>
      <c r="AT239" s="202"/>
      <c r="AU239" s="200" t="e">
        <f t="array" ref="AU239">'ВО-2021-2025'!#REF!</f>
        <v>#REF!</v>
      </c>
      <c r="AV239" s="195">
        <v>9504.3385404000001</v>
      </c>
      <c r="AW239" s="202"/>
      <c r="AX239" s="202"/>
      <c r="AY239" s="136">
        <v>9504.3385404000001</v>
      </c>
      <c r="AZ239" s="202"/>
      <c r="BA239" s="202"/>
      <c r="BB239" s="202"/>
      <c r="BC239" s="202"/>
      <c r="BD239" s="136" t="e">
        <f>'ВО-2021-2025'!$AR$239*'ВО-2021-2025'!$BD$112</f>
        <v>#REF!</v>
      </c>
      <c r="BE239" s="202"/>
      <c r="BF239" s="202"/>
      <c r="BG239" s="267" t="e">
        <f t="shared" si="61"/>
        <v>#REF!</v>
      </c>
      <c r="BH239" s="267" t="e">
        <f>BD239-#REF!</f>
        <v>#REF!</v>
      </c>
      <c r="BI239" s="267" t="e">
        <f t="shared" si="62"/>
        <v>#REF!</v>
      </c>
      <c r="BJ239" s="136" t="e">
        <f>#REF!*BJ$111</f>
        <v>#REF!</v>
      </c>
      <c r="BK239" s="202"/>
      <c r="BL239" s="202"/>
      <c r="BM239" s="136" t="e">
        <f>BD239*BM$111</f>
        <v>#REF!</v>
      </c>
      <c r="BN239" s="202"/>
      <c r="BO239" s="202"/>
      <c r="BP239" s="267" t="e">
        <f t="shared" si="37"/>
        <v>#REF!</v>
      </c>
      <c r="BQ239" s="267" t="e">
        <f t="shared" si="38"/>
        <v>#REF!</v>
      </c>
      <c r="BR239" s="136" t="e">
        <f>BJ239*BR$111</f>
        <v>#REF!</v>
      </c>
      <c r="BS239" s="202"/>
      <c r="BT239" s="202"/>
      <c r="BU239" s="136" t="e">
        <f>BM239*BU$111</f>
        <v>#REF!</v>
      </c>
      <c r="BV239" s="202"/>
      <c r="BW239" s="202"/>
      <c r="BX239" s="267" t="e">
        <f t="shared" si="39"/>
        <v>#REF!</v>
      </c>
      <c r="BY239" s="267" t="e">
        <f t="shared" si="40"/>
        <v>#REF!</v>
      </c>
      <c r="BZ239" s="136" t="e">
        <f>BR239*BZ$111</f>
        <v>#REF!</v>
      </c>
      <c r="CA239" s="202"/>
      <c r="CB239" s="202"/>
      <c r="CC239" s="136" t="e">
        <f>BU239*CC$111</f>
        <v>#REF!</v>
      </c>
      <c r="CD239" s="202"/>
      <c r="CE239" s="202"/>
      <c r="CF239" s="267" t="e">
        <f t="shared" si="41"/>
        <v>#REF!</v>
      </c>
      <c r="CG239" s="267" t="e">
        <f t="shared" si="42"/>
        <v>#REF!</v>
      </c>
      <c r="CH239" s="136" t="e">
        <f>BZ239*CH$111</f>
        <v>#REF!</v>
      </c>
      <c r="CI239" s="202"/>
      <c r="CJ239" s="202"/>
      <c r="CK239" s="136" t="e">
        <f>CC239*CK$111</f>
        <v>#REF!</v>
      </c>
      <c r="CL239" s="202"/>
      <c r="CM239" s="202"/>
      <c r="CN239" s="267" t="e">
        <f t="shared" si="43"/>
        <v>#REF!</v>
      </c>
      <c r="CO239" s="267" t="e">
        <f t="shared" si="44"/>
        <v>#REF!</v>
      </c>
      <c r="CP239" s="92" t="s">
        <v>566</v>
      </c>
      <c r="CQ239" s="85"/>
      <c r="CR239" s="85"/>
      <c r="CS239" s="85"/>
      <c r="CT239" s="99" t="e">
        <f t="shared" si="63"/>
        <v>#REF!</v>
      </c>
      <c r="CU239" s="99" t="e">
        <f t="array" ref="CU239">BD239</f>
        <v>#REF!</v>
      </c>
      <c r="CV239" s="101"/>
      <c r="CW239" s="101"/>
      <c r="CX239" s="101"/>
      <c r="CY239" s="101"/>
      <c r="CZ239" s="101"/>
      <c r="DA239" s="101"/>
      <c r="DB239" s="101"/>
    </row>
    <row r="240" spans="3:106" ht="14.25" customHeight="1" outlineLevel="4" x14ac:dyDescent="0.25">
      <c r="C240" s="2" t="s">
        <v>84</v>
      </c>
      <c r="D240" s="2" t="s">
        <v>85</v>
      </c>
      <c r="E240" s="2" t="s">
        <v>74</v>
      </c>
      <c r="F240" s="2" t="s">
        <v>75</v>
      </c>
      <c r="G240" s="2" t="s">
        <v>321</v>
      </c>
      <c r="H240" s="2" t="s">
        <v>74</v>
      </c>
      <c r="I240" s="2" t="s">
        <v>74</v>
      </c>
      <c r="J240" s="2" t="s">
        <v>74</v>
      </c>
      <c r="K240" s="5" t="s">
        <v>74</v>
      </c>
      <c r="L240" s="2" t="s">
        <v>74</v>
      </c>
      <c r="M240" s="8" t="str">
        <f t="array" ref="M240">Y107</f>
        <v>1ВО::1.1</v>
      </c>
      <c r="AA240" s="206" t="str">
        <f>AA227&amp;".8"</f>
        <v>3.1.1.4.8</v>
      </c>
      <c r="AB240" s="198" t="s">
        <v>321</v>
      </c>
      <c r="AC240" s="197" t="s">
        <v>114</v>
      </c>
      <c r="AD240" s="173">
        <v>0</v>
      </c>
      <c r="AE240" s="173">
        <v>0</v>
      </c>
      <c r="AF240" s="173">
        <v>0</v>
      </c>
      <c r="AG240" s="174"/>
      <c r="AH240" s="174"/>
      <c r="AI240" s="173">
        <f>AI227-SUM(AI228:AI230)-SUM(AI236:AI239)</f>
        <v>0</v>
      </c>
      <c r="AJ240" s="174"/>
      <c r="AK240" s="174"/>
      <c r="AL240" s="174"/>
      <c r="AM240" s="174"/>
      <c r="AN240" s="200" t="e">
        <f t="array" ref="AN240">IF('ВО-2021-2025'!$AN$81="Методика",IF('ВО-2021-2025'!AI$158=0,0,'ВО-2021-2025'!AI240/'ВО-2021-2025'!AI$158*'ВО-2021-2025'!AN$159),'ВО-2021-2025'!#REF!)</f>
        <v>#REF!</v>
      </c>
      <c r="AO240" s="173">
        <v>0</v>
      </c>
      <c r="AP240" s="174"/>
      <c r="AQ240" s="174"/>
      <c r="AR240" s="173">
        <f>AR227-SUM(AR228:AR230)-SUM(AR236:AR239)</f>
        <v>0</v>
      </c>
      <c r="AS240" s="174"/>
      <c r="AT240" s="174"/>
      <c r="AU240" s="200" t="e">
        <f t="array" ref="AU240">'ВО-2021-2025'!#REF!</f>
        <v>#REF!</v>
      </c>
      <c r="AV240" s="173">
        <v>0</v>
      </c>
      <c r="AW240" s="174"/>
      <c r="AX240" s="174"/>
      <c r="AY240" s="173">
        <f>AY227-SUM(AY228:AY230)-SUM(AY236:AY239)</f>
        <v>0</v>
      </c>
      <c r="AZ240" s="174"/>
      <c r="BA240" s="174"/>
      <c r="BB240" s="174"/>
      <c r="BC240" s="174"/>
      <c r="BD240" s="173" t="e">
        <f>BD227-SUM(BD228:BD230)-SUM(BD236:BD239)</f>
        <v>#REF!</v>
      </c>
      <c r="BE240" s="174"/>
      <c r="BF240" s="174"/>
      <c r="BG240" s="267">
        <f t="shared" si="61"/>
        <v>0</v>
      </c>
      <c r="BH240" s="267" t="e">
        <f>BD240-#REF!</f>
        <v>#REF!</v>
      </c>
      <c r="BI240" s="267" t="e">
        <f t="shared" si="62"/>
        <v>#REF!</v>
      </c>
      <c r="BJ240" s="173" t="e">
        <f>BJ227-SUM(BJ228:BJ230)-SUM(BJ236:BJ239)</f>
        <v>#REF!</v>
      </c>
      <c r="BK240" s="174"/>
      <c r="BL240" s="174"/>
      <c r="BM240" s="173" t="e">
        <f>BM227-SUM(BM228:BM230)-SUM(BM236:BM239)</f>
        <v>#REF!</v>
      </c>
      <c r="BN240" s="174"/>
      <c r="BO240" s="174"/>
      <c r="BP240" s="267" t="e">
        <f t="shared" si="37"/>
        <v>#REF!</v>
      </c>
      <c r="BQ240" s="267" t="e">
        <f t="shared" si="38"/>
        <v>#REF!</v>
      </c>
      <c r="BR240" s="173" t="e">
        <f>BR227-SUM(BR228:BR230)-SUM(BR236:BR239)</f>
        <v>#REF!</v>
      </c>
      <c r="BS240" s="174"/>
      <c r="BT240" s="174"/>
      <c r="BU240" s="173" t="e">
        <f>BU227-SUM(BU228:BU230)-SUM(BU236:BU239)</f>
        <v>#REF!</v>
      </c>
      <c r="BV240" s="174"/>
      <c r="BW240" s="174"/>
      <c r="BX240" s="267" t="e">
        <f t="shared" si="39"/>
        <v>#REF!</v>
      </c>
      <c r="BY240" s="267" t="e">
        <f t="shared" si="40"/>
        <v>#REF!</v>
      </c>
      <c r="BZ240" s="173" t="e">
        <f>BZ227-SUM(BZ228:BZ230)-SUM(BZ236:BZ239)</f>
        <v>#REF!</v>
      </c>
      <c r="CA240" s="174"/>
      <c r="CB240" s="174"/>
      <c r="CC240" s="173" t="e">
        <f>CC227-SUM(CC228:CC230)-SUM(CC236:CC239)</f>
        <v>#REF!</v>
      </c>
      <c r="CD240" s="174"/>
      <c r="CE240" s="174"/>
      <c r="CF240" s="267" t="e">
        <f t="shared" si="41"/>
        <v>#REF!</v>
      </c>
      <c r="CG240" s="267" t="e">
        <f t="shared" si="42"/>
        <v>#REF!</v>
      </c>
      <c r="CH240" s="173" t="e">
        <f>CH227-SUM(CH228:CH230)-SUM(CH236:CH239)</f>
        <v>#REF!</v>
      </c>
      <c r="CI240" s="174"/>
      <c r="CJ240" s="174"/>
      <c r="CK240" s="173" t="e">
        <f>CK227-SUM(CK228:CK230)-SUM(CK236:CK239)</f>
        <v>#REF!</v>
      </c>
      <c r="CL240" s="174"/>
      <c r="CM240" s="174"/>
      <c r="CN240" s="267" t="e">
        <f t="shared" si="43"/>
        <v>#REF!</v>
      </c>
      <c r="CO240" s="267" t="e">
        <f t="shared" si="44"/>
        <v>#REF!</v>
      </c>
      <c r="CP240" s="92"/>
      <c r="CQ240" s="85"/>
      <c r="CR240" s="85"/>
      <c r="CS240" s="85"/>
      <c r="CT240" s="99" t="e">
        <f t="shared" si="63"/>
        <v>#REF!</v>
      </c>
      <c r="CU240" s="100" t="e">
        <f>CU227-SUM(CU228:CU230)-SUM(CU236:CU239)</f>
        <v>#REF!</v>
      </c>
      <c r="CV240" s="101"/>
      <c r="CW240" s="101"/>
      <c r="CX240" s="101"/>
      <c r="CY240" s="101"/>
      <c r="CZ240" s="101"/>
      <c r="DA240" s="101"/>
      <c r="DB240" s="101"/>
    </row>
    <row r="241" spans="1:107" ht="14.25" customHeight="1" outlineLevel="2" x14ac:dyDescent="0.25">
      <c r="C241" s="2" t="s">
        <v>84</v>
      </c>
      <c r="D241" s="2" t="s">
        <v>85</v>
      </c>
      <c r="E241" s="2" t="s">
        <v>74</v>
      </c>
      <c r="F241" s="2" t="s">
        <v>75</v>
      </c>
      <c r="G241" s="2" t="s">
        <v>322</v>
      </c>
      <c r="H241" s="2" t="s">
        <v>74</v>
      </c>
      <c r="I241" s="2" t="s">
        <v>74</v>
      </c>
      <c r="J241" s="2" t="s">
        <v>74</v>
      </c>
      <c r="K241" s="5" t="s">
        <v>74</v>
      </c>
      <c r="L241" s="2" t="s">
        <v>136</v>
      </c>
      <c r="M241" s="8" t="str">
        <f t="array" ref="M241">Y107</f>
        <v>1ВО::1.1</v>
      </c>
      <c r="AA241" s="194" t="str">
        <f>AA157&amp;".2"</f>
        <v>3.1.2</v>
      </c>
      <c r="AB241" s="193" t="s">
        <v>323</v>
      </c>
      <c r="AC241" s="194" t="s">
        <v>114</v>
      </c>
      <c r="AD241" s="136">
        <v>86924.65</v>
      </c>
      <c r="AE241" s="136">
        <v>100283.26075268201</v>
      </c>
      <c r="AF241" s="215">
        <v>134854.140879477</v>
      </c>
      <c r="AG241" s="202"/>
      <c r="AH241" s="202"/>
      <c r="AI241" s="136">
        <v>134854.140879477</v>
      </c>
      <c r="AJ241" s="202"/>
      <c r="AK241" s="202"/>
      <c r="AL241" s="202"/>
      <c r="AM241" s="202"/>
      <c r="AN241" s="173">
        <f>AN242+AN255+AN256+AN257</f>
        <v>142055.70908775</v>
      </c>
      <c r="AO241" s="215">
        <v>155279.996156704</v>
      </c>
      <c r="AP241" s="202"/>
      <c r="AQ241" s="202"/>
      <c r="AR241" s="216">
        <v>155279.996156704</v>
      </c>
      <c r="AS241" s="202"/>
      <c r="AT241" s="202"/>
      <c r="AU241" s="173">
        <f>AU242+AU255+AU256+AU257</f>
        <v>0</v>
      </c>
      <c r="AV241" s="215">
        <v>164596.795031641</v>
      </c>
      <c r="AW241" s="202"/>
      <c r="AX241" s="202"/>
      <c r="AY241" s="216">
        <v>164596.795031641</v>
      </c>
      <c r="AZ241" s="202"/>
      <c r="BA241" s="202"/>
      <c r="BB241" s="202"/>
      <c r="BC241" s="202"/>
      <c r="BD241" s="173">
        <f>BD242+BD255+BD256+BD257</f>
        <v>0</v>
      </c>
      <c r="BE241" s="202"/>
      <c r="BF241" s="202"/>
      <c r="BG241" s="267">
        <f t="shared" si="61"/>
        <v>0</v>
      </c>
      <c r="BH241" s="267" t="e">
        <f>BD241-#REF!</f>
        <v>#REF!</v>
      </c>
      <c r="BI241" s="267">
        <f t="shared" si="62"/>
        <v>-164596.795031641</v>
      </c>
      <c r="BJ241" s="173">
        <f>BJ242+BJ255+BJ256+BJ257</f>
        <v>0</v>
      </c>
      <c r="BK241" s="202"/>
      <c r="BL241" s="202"/>
      <c r="BM241" s="173">
        <f>BM242+BM255+BM256+BM257</f>
        <v>0</v>
      </c>
      <c r="BN241" s="202"/>
      <c r="BO241" s="202"/>
      <c r="BP241" s="267">
        <f t="shared" si="37"/>
        <v>0</v>
      </c>
      <c r="BQ241" s="267">
        <f t="shared" si="38"/>
        <v>0</v>
      </c>
      <c r="BR241" s="173">
        <f>BR242+BR255+BR256+BR257</f>
        <v>0</v>
      </c>
      <c r="BS241" s="202"/>
      <c r="BT241" s="202"/>
      <c r="BU241" s="173">
        <f>BU242+BU255+BU256+BU257</f>
        <v>0</v>
      </c>
      <c r="BV241" s="202"/>
      <c r="BW241" s="202"/>
      <c r="BX241" s="267">
        <f t="shared" si="39"/>
        <v>0</v>
      </c>
      <c r="BY241" s="267">
        <f t="shared" si="40"/>
        <v>0</v>
      </c>
      <c r="BZ241" s="173">
        <f>BZ242+BZ255+BZ256+BZ257</f>
        <v>0</v>
      </c>
      <c r="CA241" s="202"/>
      <c r="CB241" s="202"/>
      <c r="CC241" s="173">
        <f>CC242+CC255+CC256+CC257</f>
        <v>0</v>
      </c>
      <c r="CD241" s="202"/>
      <c r="CE241" s="202"/>
      <c r="CF241" s="267">
        <f t="shared" si="41"/>
        <v>0</v>
      </c>
      <c r="CG241" s="267">
        <f t="shared" si="42"/>
        <v>0</v>
      </c>
      <c r="CH241" s="173">
        <f>CH242+CH255+CH256+CH257</f>
        <v>0</v>
      </c>
      <c r="CI241" s="202"/>
      <c r="CJ241" s="202"/>
      <c r="CK241" s="173">
        <f>CK242+CK255+CK256+CK257</f>
        <v>0</v>
      </c>
      <c r="CL241" s="202"/>
      <c r="CM241" s="202"/>
      <c r="CN241" s="267">
        <f t="shared" si="43"/>
        <v>0</v>
      </c>
      <c r="CO241" s="267">
        <f t="shared" si="44"/>
        <v>0</v>
      </c>
      <c r="CP241" s="92"/>
      <c r="CQ241" s="85"/>
      <c r="CR241" s="85"/>
      <c r="CS241" s="85"/>
      <c r="CT241" s="99" t="e">
        <f t="shared" si="63"/>
        <v>#REF!</v>
      </c>
      <c r="CU241" s="100">
        <f>CU242+CU255+CU256+CU257</f>
        <v>0</v>
      </c>
      <c r="CV241" s="101"/>
      <c r="CW241" s="101"/>
      <c r="CX241" s="101"/>
      <c r="CY241" s="101"/>
      <c r="CZ241" s="101"/>
      <c r="DA241" s="101"/>
      <c r="DB241" s="101"/>
    </row>
    <row r="242" spans="1:107" ht="14.25" customHeight="1" outlineLevel="3" x14ac:dyDescent="0.25">
      <c r="C242" s="2" t="s">
        <v>84</v>
      </c>
      <c r="D242" s="2" t="s">
        <v>85</v>
      </c>
      <c r="E242" s="2" t="s">
        <v>74</v>
      </c>
      <c r="F242" s="2" t="s">
        <v>75</v>
      </c>
      <c r="G242" s="2" t="s">
        <v>324</v>
      </c>
      <c r="H242" s="2" t="s">
        <v>74</v>
      </c>
      <c r="I242" s="2" t="s">
        <v>74</v>
      </c>
      <c r="J242" s="2" t="s">
        <v>74</v>
      </c>
      <c r="K242" s="5" t="s">
        <v>74</v>
      </c>
      <c r="L242" s="2" t="s">
        <v>325</v>
      </c>
      <c r="M242" s="8" t="str">
        <f t="array" ref="M242">Y107</f>
        <v>1ВО::1.1</v>
      </c>
      <c r="Y242" s="2">
        <v>1</v>
      </c>
      <c r="AA242" s="107" t="str">
        <f>AA241&amp;".1"</f>
        <v>3.1.2.1</v>
      </c>
      <c r="AB242" s="171" t="s">
        <v>324</v>
      </c>
      <c r="AC242" s="197" t="s">
        <v>114</v>
      </c>
      <c r="AD242" s="173">
        <v>86924.65</v>
      </c>
      <c r="AE242" s="173">
        <v>100283.26075268201</v>
      </c>
      <c r="AF242" s="173">
        <v>134854.140879477</v>
      </c>
      <c r="AG242" s="174"/>
      <c r="AH242" s="174"/>
      <c r="AI242" s="173">
        <f>AI241-SUM(AI255:AI257)</f>
        <v>134854.140879477</v>
      </c>
      <c r="AJ242" s="174"/>
      <c r="AK242" s="174"/>
      <c r="AL242" s="174"/>
      <c r="AM242" s="174"/>
      <c r="AN242" s="203">
        <f t="array" ref="AN242">[1]ЭЭ!BB96</f>
        <v>142055.70908775</v>
      </c>
      <c r="AO242" s="173">
        <v>155279.996156704</v>
      </c>
      <c r="AP242" s="174"/>
      <c r="AQ242" s="174"/>
      <c r="AR242" s="173">
        <f>AR241-SUM(AR255:AR257)</f>
        <v>155279.996156704</v>
      </c>
      <c r="AS242" s="174"/>
      <c r="AT242" s="174"/>
      <c r="AU242" s="203">
        <f>[1]ЭЭ!BG96*1</f>
        <v>0</v>
      </c>
      <c r="AV242" s="173">
        <v>164596.795031641</v>
      </c>
      <c r="AW242" s="174"/>
      <c r="AX242" s="174"/>
      <c r="AY242" s="173">
        <f>AY241-SUM(AY255:AY257)</f>
        <v>164596.795031641</v>
      </c>
      <c r="AZ242" s="174"/>
      <c r="BA242" s="174"/>
      <c r="BB242" s="174"/>
      <c r="BC242" s="174"/>
      <c r="BD242" s="203">
        <f t="array" ref="BD242">[1]ЭЭ!BP96</f>
        <v>0</v>
      </c>
      <c r="BE242" s="174"/>
      <c r="BF242" s="174"/>
      <c r="BG242" s="267">
        <f t="shared" si="61"/>
        <v>0</v>
      </c>
      <c r="BH242" s="267" t="e">
        <f>BD242-#REF!</f>
        <v>#REF!</v>
      </c>
      <c r="BI242" s="267">
        <f t="shared" si="62"/>
        <v>-164596.795031641</v>
      </c>
      <c r="BJ242" s="203">
        <f t="array" ref="BJ242">[1]ЭЭ!BK96</f>
        <v>0</v>
      </c>
      <c r="BK242" s="174"/>
      <c r="BL242" s="174"/>
      <c r="BM242" s="203">
        <f t="array" ref="BM242">[1]ЭЭ!BQ96</f>
        <v>0</v>
      </c>
      <c r="BN242" s="174"/>
      <c r="BO242" s="174"/>
      <c r="BP242" s="267">
        <f t="shared" si="37"/>
        <v>0</v>
      </c>
      <c r="BQ242" s="267">
        <f t="shared" si="38"/>
        <v>0</v>
      </c>
      <c r="BR242" s="203">
        <f t="array" ref="BR242">[1]ЭЭ!BL96</f>
        <v>0</v>
      </c>
      <c r="BS242" s="174"/>
      <c r="BT242" s="174"/>
      <c r="BU242" s="203">
        <f t="array" ref="BU242">[1]ЭЭ!BR96</f>
        <v>0</v>
      </c>
      <c r="BV242" s="174"/>
      <c r="BW242" s="174"/>
      <c r="BX242" s="267">
        <f t="shared" si="39"/>
        <v>0</v>
      </c>
      <c r="BY242" s="267">
        <f t="shared" si="40"/>
        <v>0</v>
      </c>
      <c r="BZ242" s="203">
        <f t="array" ref="BZ242">[1]ЭЭ!BM96</f>
        <v>0</v>
      </c>
      <c r="CA242" s="174"/>
      <c r="CB242" s="174"/>
      <c r="CC242" s="203">
        <f t="array" ref="CC242">[1]ЭЭ!BS96</f>
        <v>0</v>
      </c>
      <c r="CD242" s="174"/>
      <c r="CE242" s="174"/>
      <c r="CF242" s="267">
        <f t="shared" si="41"/>
        <v>0</v>
      </c>
      <c r="CG242" s="267">
        <f t="shared" si="42"/>
        <v>0</v>
      </c>
      <c r="CH242" s="203">
        <f t="array" ref="CH242">[1]ЭЭ!BN96</f>
        <v>0</v>
      </c>
      <c r="CI242" s="174"/>
      <c r="CJ242" s="174"/>
      <c r="CK242" s="203">
        <f t="array" ref="CK242">[1]ЭЭ!BT96</f>
        <v>0</v>
      </c>
      <c r="CL242" s="174"/>
      <c r="CM242" s="174"/>
      <c r="CN242" s="267">
        <f t="shared" si="43"/>
        <v>0</v>
      </c>
      <c r="CO242" s="267">
        <f t="shared" si="44"/>
        <v>0</v>
      </c>
      <c r="CP242" s="92"/>
      <c r="CQ242" s="85"/>
      <c r="CR242" s="85"/>
      <c r="CS242" s="85"/>
      <c r="CT242" s="99" t="e">
        <f t="shared" si="63"/>
        <v>#REF!</v>
      </c>
      <c r="CU242" s="99">
        <f t="array" ref="CU242">BD242</f>
        <v>0</v>
      </c>
      <c r="CV242" s="101"/>
      <c r="CW242" s="101"/>
      <c r="CX242" s="101"/>
      <c r="CY242" s="101"/>
      <c r="CZ242" s="101"/>
      <c r="DA242" s="101"/>
      <c r="DB242" s="101"/>
    </row>
    <row r="243" spans="1:107" ht="14.25" customHeight="1" outlineLevel="3" x14ac:dyDescent="0.25">
      <c r="C243" s="2" t="s">
        <v>326</v>
      </c>
      <c r="D243" s="2" t="s">
        <v>327</v>
      </c>
      <c r="E243" s="2" t="s">
        <v>74</v>
      </c>
      <c r="F243" s="2" t="s">
        <v>75</v>
      </c>
      <c r="G243" s="2" t="s">
        <v>74</v>
      </c>
      <c r="H243" s="2" t="s">
        <v>74</v>
      </c>
      <c r="I243" s="2" t="s">
        <v>74</v>
      </c>
      <c r="J243" s="2" t="s">
        <v>74</v>
      </c>
      <c r="K243" s="5" t="s">
        <v>74</v>
      </c>
      <c r="L243" s="2" t="s">
        <v>325</v>
      </c>
      <c r="M243" s="8" t="str">
        <f t="array" ref="M243">Y107</f>
        <v>1ВО::1.1</v>
      </c>
      <c r="AA243" s="107" t="str">
        <f>AA242&amp;".1"</f>
        <v>3.1.2.1.1</v>
      </c>
      <c r="AB243" s="217" t="s">
        <v>328</v>
      </c>
      <c r="AC243" s="197" t="s">
        <v>329</v>
      </c>
      <c r="AD243" s="218">
        <v>4.2146980945172583</v>
      </c>
      <c r="AE243" s="218">
        <v>4.8630933743010214</v>
      </c>
      <c r="AF243" s="218">
        <v>5.9574359315933698</v>
      </c>
      <c r="AG243" s="219"/>
      <c r="AH243" s="219"/>
      <c r="AI243" s="218">
        <f>IF(AI244=0,0,AI242/AI244)</f>
        <v>5.9574359315933698</v>
      </c>
      <c r="AJ243" s="219"/>
      <c r="AK243" s="219"/>
      <c r="AL243" s="219"/>
      <c r="AM243" s="219"/>
      <c r="AN243" s="218">
        <f>IF(AN244=0,0,AN242/AN244)</f>
        <v>6.4384967694480784</v>
      </c>
      <c r="AO243" s="218">
        <v>7.0071657000000114</v>
      </c>
      <c r="AP243" s="219"/>
      <c r="AQ243" s="219"/>
      <c r="AR243" s="218">
        <f>IF(AR244=0,0,AR242/AR244)</f>
        <v>7.0071657000000114</v>
      </c>
      <c r="AS243" s="219"/>
      <c r="AT243" s="219"/>
      <c r="AU243" s="218">
        <f>IF(AU244=0,0,AU242/AU244)</f>
        <v>0</v>
      </c>
      <c r="AV243" s="218">
        <v>7.4275956419999778</v>
      </c>
      <c r="AW243" s="219"/>
      <c r="AX243" s="219"/>
      <c r="AY243" s="218">
        <f>IF(AY244=0,0,AY242/AY244)</f>
        <v>7.4275956419999778</v>
      </c>
      <c r="AZ243" s="219"/>
      <c r="BA243" s="219"/>
      <c r="BB243" s="219"/>
      <c r="BC243" s="219"/>
      <c r="BD243" s="218">
        <f>IF(BD244=0,0,BD242/BD244)</f>
        <v>0</v>
      </c>
      <c r="BE243" s="219"/>
      <c r="BF243" s="219"/>
      <c r="BG243" s="267">
        <f t="shared" si="61"/>
        <v>0</v>
      </c>
      <c r="BH243" s="267" t="e">
        <f>BD243-#REF!</f>
        <v>#REF!</v>
      </c>
      <c r="BI243" s="267">
        <f t="shared" si="62"/>
        <v>-7.4275956419999778</v>
      </c>
      <c r="BJ243" s="218">
        <f>IF(BJ244=0,0,BJ242/BJ244)</f>
        <v>0</v>
      </c>
      <c r="BK243" s="219"/>
      <c r="BL243" s="219"/>
      <c r="BM243" s="218">
        <f>IF(BM244=0,0,BM242/BM244)</f>
        <v>0</v>
      </c>
      <c r="BN243" s="219"/>
      <c r="BO243" s="219"/>
      <c r="BP243" s="267">
        <f t="shared" si="37"/>
        <v>0</v>
      </c>
      <c r="BQ243" s="267">
        <f t="shared" si="38"/>
        <v>0</v>
      </c>
      <c r="BR243" s="218">
        <f>IF(BR244=0,0,BR242/BR244)</f>
        <v>0</v>
      </c>
      <c r="BS243" s="219"/>
      <c r="BT243" s="219"/>
      <c r="BU243" s="218">
        <f>IF(BU244=0,0,BU242/BU244)</f>
        <v>0</v>
      </c>
      <c r="BV243" s="219"/>
      <c r="BW243" s="219"/>
      <c r="BX243" s="267">
        <f t="shared" si="39"/>
        <v>0</v>
      </c>
      <c r="BY243" s="267">
        <f t="shared" si="40"/>
        <v>0</v>
      </c>
      <c r="BZ243" s="218">
        <f>IF(BZ244=0,0,BZ242/BZ244)</f>
        <v>0</v>
      </c>
      <c r="CA243" s="219"/>
      <c r="CB243" s="219"/>
      <c r="CC243" s="218">
        <f>IF(CC244=0,0,CC242/CC244)</f>
        <v>0</v>
      </c>
      <c r="CD243" s="219"/>
      <c r="CE243" s="219"/>
      <c r="CF243" s="267">
        <f t="shared" si="41"/>
        <v>0</v>
      </c>
      <c r="CG243" s="267">
        <f t="shared" si="42"/>
        <v>0</v>
      </c>
      <c r="CH243" s="218">
        <f>IF(CH244=0,0,CH242/CH244)</f>
        <v>0</v>
      </c>
      <c r="CI243" s="219"/>
      <c r="CJ243" s="219"/>
      <c r="CK243" s="218">
        <f>IF(CK244=0,0,CK242/CK244)</f>
        <v>0</v>
      </c>
      <c r="CL243" s="219"/>
      <c r="CM243" s="219"/>
      <c r="CN243" s="267">
        <f t="shared" si="43"/>
        <v>0</v>
      </c>
      <c r="CO243" s="267">
        <f t="shared" si="44"/>
        <v>0</v>
      </c>
      <c r="CP243" s="92"/>
      <c r="CQ243" s="85"/>
      <c r="CR243" s="85"/>
      <c r="CS243" s="85"/>
      <c r="CT243" s="99" t="e">
        <f t="shared" si="63"/>
        <v>#REF!</v>
      </c>
      <c r="CU243" s="100">
        <f>IF(CU244=0,0,CU242/CU244)</f>
        <v>0</v>
      </c>
      <c r="CV243" s="101"/>
      <c r="CW243" s="101"/>
      <c r="CX243" s="101"/>
      <c r="CY243" s="101"/>
      <c r="CZ243" s="101"/>
      <c r="DA243" s="101"/>
      <c r="DB243" s="101"/>
    </row>
    <row r="244" spans="1:107" ht="14.25" customHeight="1" outlineLevel="3" x14ac:dyDescent="0.25">
      <c r="C244" s="2" t="s">
        <v>330</v>
      </c>
      <c r="D244" s="2" t="s">
        <v>331</v>
      </c>
      <c r="E244" s="2" t="s">
        <v>74</v>
      </c>
      <c r="F244" s="2" t="s">
        <v>75</v>
      </c>
      <c r="G244" s="2" t="s">
        <v>74</v>
      </c>
      <c r="H244" s="2" t="s">
        <v>74</v>
      </c>
      <c r="I244" s="2" t="s">
        <v>74</v>
      </c>
      <c r="J244" s="2" t="s">
        <v>74</v>
      </c>
      <c r="K244" s="5" t="s">
        <v>74</v>
      </c>
      <c r="L244" s="2" t="s">
        <v>325</v>
      </c>
      <c r="M244" s="8" t="str">
        <f t="array" ref="M244">Y107</f>
        <v>1ВО::1.1</v>
      </c>
      <c r="AA244" s="107" t="str">
        <f>AA243&amp;".2"</f>
        <v>3.1.2.1.1.2</v>
      </c>
      <c r="AB244" s="217" t="s">
        <v>332</v>
      </c>
      <c r="AC244" s="197" t="s">
        <v>333</v>
      </c>
      <c r="AD244" s="127">
        <v>20624.169999999998</v>
      </c>
      <c r="AE244" s="127">
        <v>20621.290408000001</v>
      </c>
      <c r="AF244" s="126">
        <v>22636.272119070702</v>
      </c>
      <c r="AG244" s="220"/>
      <c r="AH244" s="220"/>
      <c r="AI244" s="127">
        <v>22636.272119070702</v>
      </c>
      <c r="AJ244" s="220"/>
      <c r="AK244" s="220"/>
      <c r="AL244" s="220"/>
      <c r="AM244" s="220"/>
      <c r="AN244" s="158">
        <f t="array" ref="AN244">[1]ЭЭ!BB98</f>
        <v>22063.49</v>
      </c>
      <c r="AO244" s="126">
        <v>22160.171859030499</v>
      </c>
      <c r="AP244" s="220"/>
      <c r="AQ244" s="220"/>
      <c r="AR244" s="127">
        <v>22160.171859030499</v>
      </c>
      <c r="AS244" s="220"/>
      <c r="AT244" s="220"/>
      <c r="AU244" s="158">
        <f t="array" ref="AU244">[1]ЭЭ!BG98</f>
        <v>0</v>
      </c>
      <c r="AV244" s="126">
        <v>22160.171738606001</v>
      </c>
      <c r="AW244" s="220"/>
      <c r="AX244" s="220"/>
      <c r="AY244" s="127">
        <v>22160.171738606001</v>
      </c>
      <c r="AZ244" s="220"/>
      <c r="BA244" s="220"/>
      <c r="BB244" s="220"/>
      <c r="BC244" s="220"/>
      <c r="BD244" s="158">
        <f t="array" ref="BD244">[1]ЭЭ!BP98</f>
        <v>0</v>
      </c>
      <c r="BE244" s="220"/>
      <c r="BF244" s="220"/>
      <c r="BG244" s="267">
        <f t="shared" si="61"/>
        <v>0</v>
      </c>
      <c r="BH244" s="267" t="e">
        <f>BD244-#REF!</f>
        <v>#REF!</v>
      </c>
      <c r="BI244" s="267">
        <f t="shared" si="62"/>
        <v>-22160.171738606001</v>
      </c>
      <c r="BJ244" s="158">
        <f t="array" ref="BJ244">[1]ЭЭ!BK98</f>
        <v>0</v>
      </c>
      <c r="BK244" s="220"/>
      <c r="BL244" s="220"/>
      <c r="BM244" s="158">
        <f t="array" ref="BM244">[1]ЭЭ!BQ98</f>
        <v>0</v>
      </c>
      <c r="BN244" s="220"/>
      <c r="BO244" s="220"/>
      <c r="BP244" s="267">
        <f t="shared" si="37"/>
        <v>0</v>
      </c>
      <c r="BQ244" s="267">
        <f t="shared" si="38"/>
        <v>0</v>
      </c>
      <c r="BR244" s="158">
        <f t="array" ref="BR244">[1]ЭЭ!BL98</f>
        <v>0</v>
      </c>
      <c r="BS244" s="220"/>
      <c r="BT244" s="220"/>
      <c r="BU244" s="158">
        <f t="array" ref="BU244">[1]ЭЭ!BR98</f>
        <v>0</v>
      </c>
      <c r="BV244" s="220"/>
      <c r="BW244" s="220"/>
      <c r="BX244" s="267">
        <f t="shared" si="39"/>
        <v>0</v>
      </c>
      <c r="BY244" s="267">
        <f t="shared" si="40"/>
        <v>0</v>
      </c>
      <c r="BZ244" s="158">
        <f t="array" ref="BZ244">[1]ЭЭ!BM98</f>
        <v>0</v>
      </c>
      <c r="CA244" s="220"/>
      <c r="CB244" s="220"/>
      <c r="CC244" s="158">
        <f t="array" ref="CC244">[1]ЭЭ!BS98</f>
        <v>0</v>
      </c>
      <c r="CD244" s="220"/>
      <c r="CE244" s="220"/>
      <c r="CF244" s="267">
        <f t="shared" si="41"/>
        <v>0</v>
      </c>
      <c r="CG244" s="267">
        <f t="shared" si="42"/>
        <v>0</v>
      </c>
      <c r="CH244" s="158">
        <f t="array" ref="CH244">[1]ЭЭ!BN98</f>
        <v>0</v>
      </c>
      <c r="CI244" s="220"/>
      <c r="CJ244" s="220"/>
      <c r="CK244" s="158">
        <f t="array" ref="CK244">[1]ЭЭ!BT98</f>
        <v>0</v>
      </c>
      <c r="CL244" s="220"/>
      <c r="CM244" s="220"/>
      <c r="CN244" s="267">
        <f t="shared" si="43"/>
        <v>0</v>
      </c>
      <c r="CO244" s="267">
        <f t="shared" si="44"/>
        <v>0</v>
      </c>
      <c r="CP244" s="92"/>
      <c r="CQ244" s="85"/>
      <c r="CR244" s="85"/>
      <c r="CS244" s="85"/>
      <c r="CT244" s="99" t="e">
        <f t="shared" si="63"/>
        <v>#REF!</v>
      </c>
      <c r="CU244" s="99">
        <f t="array" ref="CU244">BD244</f>
        <v>0</v>
      </c>
      <c r="CV244" s="101"/>
      <c r="CW244" s="101"/>
      <c r="CX244" s="101"/>
      <c r="CY244" s="101"/>
      <c r="CZ244" s="101"/>
      <c r="DA244" s="101"/>
      <c r="DB244" s="101"/>
    </row>
    <row r="245" spans="1:107" ht="14.25" hidden="1" customHeight="1" outlineLevel="3" x14ac:dyDescent="0.25">
      <c r="A245" s="12"/>
      <c r="B245" s="2" t="b">
        <f>$AC$36="да"</f>
        <v>0</v>
      </c>
      <c r="C245" s="4" t="s">
        <v>330</v>
      </c>
      <c r="D245" s="2" t="s">
        <v>331</v>
      </c>
      <c r="E245" s="2" t="s">
        <v>74</v>
      </c>
      <c r="F245" s="2" t="s">
        <v>75</v>
      </c>
      <c r="G245" s="2" t="s">
        <v>74</v>
      </c>
      <c r="H245" s="2" t="s">
        <v>74</v>
      </c>
      <c r="I245" s="2" t="s">
        <v>74</v>
      </c>
      <c r="J245" s="4" t="s">
        <v>334</v>
      </c>
      <c r="K245" s="5" t="s">
        <v>74</v>
      </c>
      <c r="L245" s="2" t="s">
        <v>335</v>
      </c>
      <c r="M245" s="8" t="str">
        <f t="array" ref="M245">Y107</f>
        <v>1ВО::1.1</v>
      </c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07" t="str">
        <f t="array" ref="AA245">IF(A245,AA244&amp;".1",AA244)</f>
        <v>3.1.2.1.1.2</v>
      </c>
      <c r="AB245" s="221" t="s">
        <v>336</v>
      </c>
      <c r="AC245" s="197" t="s">
        <v>333</v>
      </c>
      <c r="AD245" s="127">
        <v>20624.169999999998</v>
      </c>
      <c r="AE245" s="127">
        <v>20621.290408000001</v>
      </c>
      <c r="AF245" s="127">
        <v>22636.272119070702</v>
      </c>
      <c r="AG245" s="220"/>
      <c r="AH245" s="220"/>
      <c r="AI245" s="127">
        <v>22636.272119070702</v>
      </c>
      <c r="AJ245" s="220"/>
      <c r="AK245" s="220"/>
      <c r="AL245" s="220"/>
      <c r="AM245" s="220"/>
      <c r="AN245" s="158">
        <f t="array" ref="AN245">[1]ЭЭ!BB99</f>
        <v>0</v>
      </c>
      <c r="AO245" s="127">
        <v>22160.171738606001</v>
      </c>
      <c r="AP245" s="220"/>
      <c r="AQ245" s="220"/>
      <c r="AR245" s="127">
        <f>IF($AC$37="да",AR248+AR251,AR247*AR246)</f>
        <v>22160.171738606001</v>
      </c>
      <c r="AS245" s="220"/>
      <c r="AT245" s="220"/>
      <c r="AU245" s="158">
        <f t="array" ref="AU245">[1]ЭЭ!BG99</f>
        <v>0</v>
      </c>
      <c r="AV245" s="127">
        <v>22160.171738606001</v>
      </c>
      <c r="AW245" s="220"/>
      <c r="AX245" s="220"/>
      <c r="AY245" s="127">
        <v>22160.171738606001</v>
      </c>
      <c r="AZ245" s="220"/>
      <c r="BA245" s="220"/>
      <c r="BB245" s="220"/>
      <c r="BC245" s="220"/>
      <c r="BD245" s="158">
        <f t="array" ref="BD245">[1]ЭЭ!BP99</f>
        <v>0</v>
      </c>
      <c r="BE245" s="220"/>
      <c r="BF245" s="220"/>
      <c r="BG245" s="267">
        <f t="shared" si="61"/>
        <v>0</v>
      </c>
      <c r="BH245" s="267" t="e">
        <f>BD245-#REF!</f>
        <v>#REF!</v>
      </c>
      <c r="BI245" s="267">
        <f t="shared" si="62"/>
        <v>-22160.171738606001</v>
      </c>
      <c r="BJ245" s="158">
        <f t="array" ref="BJ245">[1]ЭЭ!BK99</f>
        <v>0</v>
      </c>
      <c r="BK245" s="220"/>
      <c r="BL245" s="220"/>
      <c r="BM245" s="158">
        <f t="array" ref="BM245">[1]ЭЭ!BQ99</f>
        <v>0</v>
      </c>
      <c r="BN245" s="220"/>
      <c r="BO245" s="220"/>
      <c r="BP245" s="267">
        <f t="shared" si="37"/>
        <v>0</v>
      </c>
      <c r="BQ245" s="267">
        <f t="shared" si="38"/>
        <v>0</v>
      </c>
      <c r="BR245" s="158">
        <f t="array" ref="BR245">[1]ЭЭ!BL99</f>
        <v>0</v>
      </c>
      <c r="BS245" s="220"/>
      <c r="BT245" s="220"/>
      <c r="BU245" s="158">
        <f t="array" ref="BU245">[1]ЭЭ!BR99</f>
        <v>0</v>
      </c>
      <c r="BV245" s="220"/>
      <c r="BW245" s="220"/>
      <c r="BX245" s="267">
        <f t="shared" si="39"/>
        <v>0</v>
      </c>
      <c r="BY245" s="267">
        <f t="shared" si="40"/>
        <v>0</v>
      </c>
      <c r="BZ245" s="158">
        <f t="array" ref="BZ245">[1]ЭЭ!BM99</f>
        <v>0</v>
      </c>
      <c r="CA245" s="220"/>
      <c r="CB245" s="220"/>
      <c r="CC245" s="158">
        <f t="array" ref="CC245">[1]ЭЭ!BS99</f>
        <v>0</v>
      </c>
      <c r="CD245" s="220"/>
      <c r="CE245" s="220"/>
      <c r="CF245" s="267">
        <f t="shared" si="41"/>
        <v>0</v>
      </c>
      <c r="CG245" s="267">
        <f t="shared" si="42"/>
        <v>0</v>
      </c>
      <c r="CH245" s="158">
        <f t="array" ref="CH245">[1]ЭЭ!BN99</f>
        <v>0</v>
      </c>
      <c r="CI245" s="220"/>
      <c r="CJ245" s="220"/>
      <c r="CK245" s="158">
        <f t="array" ref="CK245">[1]ЭЭ!BT99</f>
        <v>0</v>
      </c>
      <c r="CL245" s="220"/>
      <c r="CM245" s="220"/>
      <c r="CN245" s="267">
        <f t="shared" si="43"/>
        <v>0</v>
      </c>
      <c r="CO245" s="267">
        <f t="shared" si="44"/>
        <v>0</v>
      </c>
      <c r="CP245" s="101"/>
      <c r="CQ245" s="85"/>
      <c r="CR245" s="85"/>
      <c r="CS245" s="85"/>
      <c r="CT245" s="99" t="e">
        <f t="shared" si="63"/>
        <v>#REF!</v>
      </c>
      <c r="CU245" s="99">
        <f t="array" ref="CU245">BD245</f>
        <v>0</v>
      </c>
      <c r="CV245" s="101"/>
      <c r="CW245" s="101"/>
      <c r="CX245" s="101"/>
      <c r="CY245" s="101"/>
      <c r="CZ245" s="101"/>
      <c r="DA245" s="101"/>
      <c r="DB245" s="101"/>
      <c r="DC245" s="12"/>
    </row>
    <row r="246" spans="1:107" ht="14.25" hidden="1" customHeight="1" outlineLevel="3" x14ac:dyDescent="0.25">
      <c r="A246" s="12"/>
      <c r="B246" s="2" t="b">
        <f>$AC$37="нет"</f>
        <v>0</v>
      </c>
      <c r="C246" s="2" t="s">
        <v>337</v>
      </c>
      <c r="D246" s="2" t="s">
        <v>338</v>
      </c>
      <c r="E246" s="2" t="s">
        <v>74</v>
      </c>
      <c r="F246" s="2" t="s">
        <v>75</v>
      </c>
      <c r="G246" s="2" t="s">
        <v>74</v>
      </c>
      <c r="H246" s="2" t="s">
        <v>74</v>
      </c>
      <c r="I246" s="2" t="s">
        <v>74</v>
      </c>
      <c r="J246" s="2" t="s">
        <v>74</v>
      </c>
      <c r="K246" s="5" t="s">
        <v>74</v>
      </c>
      <c r="L246" s="2" t="s">
        <v>335</v>
      </c>
      <c r="M246" s="8" t="str">
        <f t="array" ref="M246">Y107</f>
        <v>1ВО::1.1</v>
      </c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07" t="str">
        <f>IF(AA245="",AA244&amp;".1",AA245&amp;".1")</f>
        <v>3.1.2.1.1.2.1</v>
      </c>
      <c r="AB246" s="222" t="s">
        <v>339</v>
      </c>
      <c r="AC246" s="197" t="s">
        <v>340</v>
      </c>
      <c r="AD246" s="223"/>
      <c r="AE246" s="223">
        <v>0.56961098190000004</v>
      </c>
      <c r="AF246" s="223">
        <v>0.58000749409999997</v>
      </c>
      <c r="AG246" s="224"/>
      <c r="AH246" s="224"/>
      <c r="AI246" s="223">
        <v>0.58000749409999997</v>
      </c>
      <c r="AJ246" s="224"/>
      <c r="AK246" s="224"/>
      <c r="AL246" s="224"/>
      <c r="AM246" s="224"/>
      <c r="AN246" s="225">
        <f>IF(AN247=0,0,IF($AC$36="нет",AN244/AN247,AN245/AN247))</f>
        <v>0.35920696063350893</v>
      </c>
      <c r="AO246" s="223">
        <v>0.41388007110000002</v>
      </c>
      <c r="AP246" s="224"/>
      <c r="AQ246" s="224"/>
      <c r="AR246" s="223">
        <v>0.41388007110000002</v>
      </c>
      <c r="AS246" s="224"/>
      <c r="AT246" s="224"/>
      <c r="AU246" s="225">
        <f>IF(AU247=0,0,IF($AC$36="нет",AU244/AU247,AU245/AU247))</f>
        <v>0</v>
      </c>
      <c r="AV246" s="223">
        <v>0.4138800688</v>
      </c>
      <c r="AW246" s="224"/>
      <c r="AX246" s="224"/>
      <c r="AY246" s="223">
        <v>0.4138800688</v>
      </c>
      <c r="AZ246" s="224"/>
      <c r="BA246" s="224"/>
      <c r="BB246" s="224"/>
      <c r="BC246" s="224"/>
      <c r="BD246" s="231">
        <f t="array" ref="BD246">[1]ЭЭ!BP103</f>
        <v>0</v>
      </c>
      <c r="BE246" s="224"/>
      <c r="BF246" s="224"/>
      <c r="BG246" s="267">
        <f t="shared" si="61"/>
        <v>0</v>
      </c>
      <c r="BH246" s="267" t="e">
        <f>BD246-#REF!</f>
        <v>#REF!</v>
      </c>
      <c r="BI246" s="267">
        <f t="shared" si="62"/>
        <v>-0.4138800688</v>
      </c>
      <c r="BJ246" s="231">
        <f t="array" ref="BJ246">[1]ЭЭ!BK103</f>
        <v>0</v>
      </c>
      <c r="BK246" s="224"/>
      <c r="BL246" s="224"/>
      <c r="BM246" s="231">
        <f t="array" ref="BM246">[1]ЭЭ!BQ103</f>
        <v>0</v>
      </c>
      <c r="BN246" s="224"/>
      <c r="BO246" s="224"/>
      <c r="BP246" s="267">
        <f t="shared" si="37"/>
        <v>0</v>
      </c>
      <c r="BQ246" s="267">
        <f t="shared" si="38"/>
        <v>0</v>
      </c>
      <c r="BR246" s="231">
        <f t="array" ref="BR246">[1]ЭЭ!BL103</f>
        <v>0</v>
      </c>
      <c r="BS246" s="224"/>
      <c r="BT246" s="224"/>
      <c r="BU246" s="231">
        <f t="array" ref="BU246">[1]ЭЭ!BR103</f>
        <v>0</v>
      </c>
      <c r="BV246" s="224"/>
      <c r="BW246" s="224"/>
      <c r="BX246" s="267">
        <f t="shared" si="39"/>
        <v>0</v>
      </c>
      <c r="BY246" s="267">
        <f t="shared" si="40"/>
        <v>0</v>
      </c>
      <c r="BZ246" s="231">
        <f t="array" ref="BZ246">[1]ЭЭ!BM103</f>
        <v>0</v>
      </c>
      <c r="CA246" s="224"/>
      <c r="CB246" s="224"/>
      <c r="CC246" s="231">
        <f t="array" ref="CC246">[1]ЭЭ!BS103</f>
        <v>0</v>
      </c>
      <c r="CD246" s="224"/>
      <c r="CE246" s="224"/>
      <c r="CF246" s="267">
        <f t="shared" si="41"/>
        <v>0</v>
      </c>
      <c r="CG246" s="267">
        <f t="shared" si="42"/>
        <v>0</v>
      </c>
      <c r="CH246" s="231">
        <f t="array" ref="CH246">[1]ЭЭ!BN103</f>
        <v>0</v>
      </c>
      <c r="CI246" s="224"/>
      <c r="CJ246" s="224"/>
      <c r="CK246" s="231">
        <f t="array" ref="CK246">[1]ЭЭ!BT103</f>
        <v>0</v>
      </c>
      <c r="CL246" s="224"/>
      <c r="CM246" s="224"/>
      <c r="CN246" s="267">
        <f t="shared" si="43"/>
        <v>0</v>
      </c>
      <c r="CO246" s="267">
        <f t="shared" si="44"/>
        <v>0</v>
      </c>
      <c r="CP246" s="101"/>
      <c r="CQ246" s="85"/>
      <c r="CR246" s="85"/>
      <c r="CS246" s="85"/>
      <c r="CT246" s="99" t="e">
        <f t="shared" si="63"/>
        <v>#REF!</v>
      </c>
      <c r="CU246" s="99">
        <f t="array" ref="CU246">BD246</f>
        <v>0</v>
      </c>
      <c r="CV246" s="101"/>
      <c r="CW246" s="101"/>
      <c r="CX246" s="101"/>
      <c r="CY246" s="101"/>
      <c r="CZ246" s="101"/>
      <c r="DA246" s="101"/>
      <c r="DB246" s="101"/>
      <c r="DC246" s="12"/>
    </row>
    <row r="247" spans="1:107" ht="14.25" hidden="1" customHeight="1" outlineLevel="3" x14ac:dyDescent="0.25">
      <c r="A247" s="12"/>
      <c r="B247" s="2" t="b">
        <f t="array" ref="B247">B246</f>
        <v>0</v>
      </c>
      <c r="C247" s="2" t="s">
        <v>341</v>
      </c>
      <c r="D247" s="2" t="s">
        <v>342</v>
      </c>
      <c r="E247" s="2" t="s">
        <v>74</v>
      </c>
      <c r="F247" s="2" t="s">
        <v>75</v>
      </c>
      <c r="G247" s="2" t="s">
        <v>74</v>
      </c>
      <c r="H247" s="2" t="s">
        <v>74</v>
      </c>
      <c r="I247" s="2" t="s">
        <v>74</v>
      </c>
      <c r="J247" s="2" t="s">
        <v>74</v>
      </c>
      <c r="K247" s="5" t="s">
        <v>74</v>
      </c>
      <c r="L247" s="2" t="s">
        <v>335</v>
      </c>
      <c r="M247" s="8" t="str">
        <f t="array" ref="M247">Y107</f>
        <v>1ВО::1.1</v>
      </c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07" t="str">
        <f>IF(AA245="",AA244&amp;".2",AA245&amp;".2")</f>
        <v>3.1.2.1.1.2.2</v>
      </c>
      <c r="AB247" s="222" t="s">
        <v>343</v>
      </c>
      <c r="AC247" s="197" t="s">
        <v>140</v>
      </c>
      <c r="AD247" s="127">
        <v>35860.413</v>
      </c>
      <c r="AE247" s="127">
        <v>36202.410175915997</v>
      </c>
      <c r="AF247" s="127">
        <v>39027.551109779997</v>
      </c>
      <c r="AG247" s="220"/>
      <c r="AH247" s="220"/>
      <c r="AI247" s="127">
        <v>39027.551109779997</v>
      </c>
      <c r="AJ247" s="220"/>
      <c r="AK247" s="220"/>
      <c r="AL247" s="220"/>
      <c r="AM247" s="220"/>
      <c r="AN247" s="158">
        <f t="array" ref="AN247">[1]ЭЭ!BB102</f>
        <v>61422.779672999997</v>
      </c>
      <c r="AO247" s="127">
        <v>53542.495540000004</v>
      </c>
      <c r="AP247" s="220"/>
      <c r="AQ247" s="220"/>
      <c r="AR247" s="127">
        <v>53542.495540000004</v>
      </c>
      <c r="AS247" s="220"/>
      <c r="AT247" s="220"/>
      <c r="AU247" s="158">
        <f t="array" ref="AU247">[1]ЭЭ!BG102</f>
        <v>112.012</v>
      </c>
      <c r="AV247" s="127">
        <v>53542.495540000004</v>
      </c>
      <c r="AW247" s="220"/>
      <c r="AX247" s="220"/>
      <c r="AY247" s="127">
        <v>53542.495540000004</v>
      </c>
      <c r="AZ247" s="220"/>
      <c r="BA247" s="220"/>
      <c r="BB247" s="220"/>
      <c r="BC247" s="220"/>
      <c r="BD247" s="158">
        <f t="array" ref="BD247">[1]ЭЭ!BP102</f>
        <v>112.54</v>
      </c>
      <c r="BE247" s="220"/>
      <c r="BF247" s="220"/>
      <c r="BG247" s="267">
        <f t="shared" si="61"/>
        <v>0.21018818578585813</v>
      </c>
      <c r="BH247" s="267" t="e">
        <f>BD247-#REF!</f>
        <v>#REF!</v>
      </c>
      <c r="BI247" s="267">
        <f t="shared" si="62"/>
        <v>-53429.955540000003</v>
      </c>
      <c r="BJ247" s="158">
        <f t="array" ref="BJ247">[1]ЭЭ!BK102</f>
        <v>0</v>
      </c>
      <c r="BK247" s="220"/>
      <c r="BL247" s="220"/>
      <c r="BM247" s="158">
        <f t="array" ref="BM247">[1]ЭЭ!BQ102</f>
        <v>112.54</v>
      </c>
      <c r="BN247" s="220"/>
      <c r="BO247" s="220"/>
      <c r="BP247" s="267">
        <f t="shared" si="37"/>
        <v>100</v>
      </c>
      <c r="BQ247" s="267">
        <f t="shared" si="38"/>
        <v>112.54</v>
      </c>
      <c r="BR247" s="158">
        <f t="array" ref="BR247">[1]ЭЭ!BL102</f>
        <v>0</v>
      </c>
      <c r="BS247" s="220"/>
      <c r="BT247" s="220"/>
      <c r="BU247" s="158">
        <f t="array" ref="BU247">[1]ЭЭ!BR102</f>
        <v>112.54</v>
      </c>
      <c r="BV247" s="220"/>
      <c r="BW247" s="220"/>
      <c r="BX247" s="267">
        <f t="shared" si="39"/>
        <v>100</v>
      </c>
      <c r="BY247" s="267">
        <f t="shared" si="40"/>
        <v>112.54</v>
      </c>
      <c r="BZ247" s="158">
        <f t="array" ref="BZ247">[1]ЭЭ!BM102</f>
        <v>0</v>
      </c>
      <c r="CA247" s="220"/>
      <c r="CB247" s="220"/>
      <c r="CC247" s="158">
        <f t="array" ref="CC247">[1]ЭЭ!BS102</f>
        <v>112.54</v>
      </c>
      <c r="CD247" s="220"/>
      <c r="CE247" s="220"/>
      <c r="CF247" s="267">
        <f t="shared" si="41"/>
        <v>100</v>
      </c>
      <c r="CG247" s="267">
        <f t="shared" si="42"/>
        <v>112.54</v>
      </c>
      <c r="CH247" s="158">
        <f t="array" ref="CH247">[1]ЭЭ!BN102</f>
        <v>0</v>
      </c>
      <c r="CI247" s="220"/>
      <c r="CJ247" s="220"/>
      <c r="CK247" s="158">
        <f t="array" ref="CK247">[1]ЭЭ!BT102</f>
        <v>112.54</v>
      </c>
      <c r="CL247" s="220"/>
      <c r="CM247" s="220"/>
      <c r="CN247" s="267">
        <f t="shared" si="43"/>
        <v>100</v>
      </c>
      <c r="CO247" s="267">
        <f t="shared" si="44"/>
        <v>112.54</v>
      </c>
      <c r="CP247" s="101"/>
      <c r="CQ247" s="85"/>
      <c r="CR247" s="85"/>
      <c r="CS247" s="85"/>
      <c r="CT247" s="99" t="e">
        <f t="shared" si="63"/>
        <v>#REF!</v>
      </c>
      <c r="CU247" s="99">
        <f t="array" ref="CU247">BD247</f>
        <v>112.54</v>
      </c>
      <c r="CV247" s="101"/>
      <c r="CW247" s="101"/>
      <c r="CX247" s="101"/>
      <c r="CY247" s="101"/>
      <c r="CZ247" s="101"/>
      <c r="DA247" s="101"/>
      <c r="DB247" s="101"/>
      <c r="DC247" s="12"/>
    </row>
    <row r="248" spans="1:107" ht="23.25" customHeight="1" outlineLevel="3" x14ac:dyDescent="0.25">
      <c r="B248" s="2" t="b">
        <f>NOT(B247)</f>
        <v>1</v>
      </c>
      <c r="C248" s="2" t="s">
        <v>344</v>
      </c>
      <c r="D248" s="2" t="s">
        <v>345</v>
      </c>
      <c r="E248" s="2" t="s">
        <v>74</v>
      </c>
      <c r="F248" s="2" t="s">
        <v>75</v>
      </c>
      <c r="G248" s="2" t="s">
        <v>74</v>
      </c>
      <c r="H248" s="2" t="s">
        <v>74</v>
      </c>
      <c r="I248" s="2" t="s">
        <v>346</v>
      </c>
      <c r="J248" s="2" t="s">
        <v>74</v>
      </c>
      <c r="K248" s="5" t="s">
        <v>74</v>
      </c>
      <c r="L248" s="2" t="s">
        <v>347</v>
      </c>
      <c r="M248" s="8" t="str">
        <f t="array" ref="M248">Y107</f>
        <v>1ВО::1.1</v>
      </c>
      <c r="AA248" s="107" t="str">
        <f>AA245&amp;".1"</f>
        <v>3.1.2.1.1.2.1</v>
      </c>
      <c r="AB248" s="226" t="s">
        <v>348</v>
      </c>
      <c r="AC248" s="197" t="s">
        <v>333</v>
      </c>
      <c r="AD248" s="126">
        <v>-14.006337096099999</v>
      </c>
      <c r="AE248" s="158">
        <v>1.0559183999999999E-2</v>
      </c>
      <c r="AF248" s="158">
        <v>0</v>
      </c>
      <c r="AG248" s="220"/>
      <c r="AH248" s="220"/>
      <c r="AI248" s="158">
        <f t="array" ref="AI248">[1]Показатели!AL118</f>
        <v>0</v>
      </c>
      <c r="AJ248" s="220"/>
      <c r="AK248" s="220"/>
      <c r="AL248" s="220"/>
      <c r="AM248" s="220"/>
      <c r="AN248" s="158">
        <f t="array" ref="AN248">[1]Показатели!AO118</f>
        <v>8360.7939999999999</v>
      </c>
      <c r="AO248" s="158">
        <v>9043.4528869360001</v>
      </c>
      <c r="AP248" s="220"/>
      <c r="AQ248" s="220"/>
      <c r="AR248" s="158">
        <f t="array" ref="AR248">[1]Показатели!AR118</f>
        <v>9043.4528869360001</v>
      </c>
      <c r="AS248" s="220"/>
      <c r="AT248" s="220"/>
      <c r="AU248" s="158">
        <f t="array" ref="AU248">[1]Показатели!AV118</f>
        <v>8428.3379999999997</v>
      </c>
      <c r="AV248" s="158">
        <v>9043.4528869360001</v>
      </c>
      <c r="AW248" s="220"/>
      <c r="AX248" s="220"/>
      <c r="AY248" s="158">
        <f t="array" ref="AY248">[1]Показатели!AY118</f>
        <v>9043.4528869360001</v>
      </c>
      <c r="AZ248" s="220"/>
      <c r="BA248" s="220"/>
      <c r="BB248" s="220"/>
      <c r="BC248" s="220"/>
      <c r="BD248" s="158">
        <f>[1]Показатели!BK118*1</f>
        <v>0</v>
      </c>
      <c r="BE248" s="220"/>
      <c r="BF248" s="220"/>
      <c r="BG248" s="267">
        <f t="shared" si="61"/>
        <v>0</v>
      </c>
      <c r="BH248" s="267" t="e">
        <f>BD248-#REF!</f>
        <v>#REF!</v>
      </c>
      <c r="BI248" s="267">
        <f t="shared" si="62"/>
        <v>-9043.4528869360001</v>
      </c>
      <c r="BJ248" s="158">
        <f>[1]Показатели!BB118*1</f>
        <v>0</v>
      </c>
      <c r="BK248" s="220"/>
      <c r="BL248" s="220"/>
      <c r="BM248" s="158">
        <f>[1]Показатели!BL118*1</f>
        <v>0</v>
      </c>
      <c r="BN248" s="220"/>
      <c r="BO248" s="220"/>
      <c r="BP248" s="267">
        <f t="shared" si="37"/>
        <v>0</v>
      </c>
      <c r="BQ248" s="267">
        <f t="shared" si="38"/>
        <v>0</v>
      </c>
      <c r="BR248" s="158">
        <f>[1]Показатели!BD118*1</f>
        <v>0</v>
      </c>
      <c r="BS248" s="220"/>
      <c r="BT248" s="220"/>
      <c r="BU248" s="158">
        <f>[1]Показатели!BM118*1</f>
        <v>0</v>
      </c>
      <c r="BV248" s="220"/>
      <c r="BW248" s="220"/>
      <c r="BX248" s="267">
        <f t="shared" si="39"/>
        <v>0</v>
      </c>
      <c r="BY248" s="267">
        <f t="shared" si="40"/>
        <v>0</v>
      </c>
      <c r="BZ248" s="158">
        <f>[1]Показатели!BF118*1</f>
        <v>0</v>
      </c>
      <c r="CA248" s="220"/>
      <c r="CB248" s="220"/>
      <c r="CC248" s="158">
        <f>[1]Показатели!BN118*1</f>
        <v>0</v>
      </c>
      <c r="CD248" s="220"/>
      <c r="CE248" s="220"/>
      <c r="CF248" s="267">
        <f t="shared" si="41"/>
        <v>0</v>
      </c>
      <c r="CG248" s="267">
        <f t="shared" si="42"/>
        <v>0</v>
      </c>
      <c r="CH248" s="158">
        <f>[1]Показатели!BH118*1</f>
        <v>0</v>
      </c>
      <c r="CI248" s="220"/>
      <c r="CJ248" s="220"/>
      <c r="CK248" s="158">
        <f>[1]Показатели!BO118*1</f>
        <v>0</v>
      </c>
      <c r="CL248" s="220"/>
      <c r="CM248" s="220"/>
      <c r="CN248" s="267">
        <f t="shared" si="43"/>
        <v>0</v>
      </c>
      <c r="CO248" s="267">
        <f t="shared" si="44"/>
        <v>0</v>
      </c>
      <c r="CP248" s="92"/>
      <c r="CQ248" s="90"/>
      <c r="CR248" s="90"/>
      <c r="CS248" s="90"/>
      <c r="CT248" s="227" t="e">
        <f t="shared" si="63"/>
        <v>#REF!</v>
      </c>
      <c r="CU248" s="227">
        <f t="array" ref="CU248">BD248</f>
        <v>0</v>
      </c>
      <c r="CV248" s="92"/>
      <c r="CW248" s="92"/>
      <c r="CX248" s="92"/>
      <c r="CY248" s="92"/>
      <c r="CZ248" s="92"/>
      <c r="DA248" s="92"/>
      <c r="DB248" s="92"/>
    </row>
    <row r="249" spans="1:107" ht="23.25" customHeight="1" outlineLevel="3" x14ac:dyDescent="0.25">
      <c r="B249" s="2" t="b">
        <f t="array" ref="B249">B248</f>
        <v>1</v>
      </c>
      <c r="C249" s="2" t="s">
        <v>344</v>
      </c>
      <c r="D249" s="2" t="s">
        <v>345</v>
      </c>
      <c r="E249" s="2" t="s">
        <v>74</v>
      </c>
      <c r="F249" s="2" t="s">
        <v>75</v>
      </c>
      <c r="G249" s="2" t="s">
        <v>74</v>
      </c>
      <c r="H249" s="2" t="s">
        <v>74</v>
      </c>
      <c r="I249" s="2" t="s">
        <v>349</v>
      </c>
      <c r="J249" s="2" t="s">
        <v>74</v>
      </c>
      <c r="K249" s="5" t="s">
        <v>74</v>
      </c>
      <c r="L249" s="2" t="s">
        <v>347</v>
      </c>
      <c r="M249" s="8" t="str">
        <f t="array" ref="M249">Y107</f>
        <v>1ВО::1.1</v>
      </c>
      <c r="AA249" s="228" t="str">
        <f>AA248&amp;".1"</f>
        <v>3.1.2.1.1.2.1.1</v>
      </c>
      <c r="AB249" s="229" t="s">
        <v>350</v>
      </c>
      <c r="AC249" s="197" t="s">
        <v>340</v>
      </c>
      <c r="AD249" s="230"/>
      <c r="AE249" s="231">
        <v>0</v>
      </c>
      <c r="AF249" s="231">
        <v>0</v>
      </c>
      <c r="AG249" s="224"/>
      <c r="AH249" s="224"/>
      <c r="AI249" s="231">
        <f t="array" ref="AI249">[1]Показатели!AL117</f>
        <v>0</v>
      </c>
      <c r="AJ249" s="224"/>
      <c r="AK249" s="224"/>
      <c r="AL249" s="224"/>
      <c r="AM249" s="224"/>
      <c r="AN249" s="231">
        <f t="array" ref="AN249">[1]Показатели!AO117</f>
        <v>0.13619211885771401</v>
      </c>
      <c r="AO249" s="231">
        <v>0.16900000000000001</v>
      </c>
      <c r="AP249" s="224"/>
      <c r="AQ249" s="224"/>
      <c r="AR249" s="231">
        <f t="array" ref="AR249">[1]Показатели!AR117</f>
        <v>0.16900000000000001</v>
      </c>
      <c r="AS249" s="224"/>
      <c r="AT249" s="224"/>
      <c r="AU249" s="231">
        <f t="array" ref="AU249">[1]Показатели!AV117</f>
        <v>0</v>
      </c>
      <c r="AV249" s="231">
        <v>0.16</v>
      </c>
      <c r="AW249" s="224"/>
      <c r="AX249" s="224"/>
      <c r="AY249" s="231">
        <f t="array" ref="AY249">[1]Показатели!AY117</f>
        <v>0.16900000000000001</v>
      </c>
      <c r="AZ249" s="224"/>
      <c r="BA249" s="224"/>
      <c r="BB249" s="224"/>
      <c r="BC249" s="224"/>
      <c r="BD249" s="231">
        <f t="array" ref="BD249">[1]Показатели!BK117</f>
        <v>0.16900000000000001</v>
      </c>
      <c r="BE249" s="224"/>
      <c r="BF249" s="224"/>
      <c r="BG249" s="173">
        <f t="shared" si="61"/>
        <v>100</v>
      </c>
      <c r="BH249" s="173" t="e">
        <f>BD249-#REF!</f>
        <v>#REF!</v>
      </c>
      <c r="BI249" s="173">
        <f t="shared" si="62"/>
        <v>0</v>
      </c>
      <c r="BJ249" s="231">
        <f t="array" ref="BJ249">[1]Показатели!BB117</f>
        <v>0.16</v>
      </c>
      <c r="BK249" s="224"/>
      <c r="BL249" s="224"/>
      <c r="BM249" s="231">
        <f t="array" ref="BM249">[1]Показатели!BL117</f>
        <v>0.16900000000000001</v>
      </c>
      <c r="BN249" s="224"/>
      <c r="BO249" s="224"/>
      <c r="BP249" s="173">
        <f t="shared" si="37"/>
        <v>100</v>
      </c>
      <c r="BQ249" s="173">
        <f t="shared" si="38"/>
        <v>9.000000000000008E-3</v>
      </c>
      <c r="BR249" s="231">
        <f t="array" ref="BR249">[1]Показатели!BD117</f>
        <v>0.16</v>
      </c>
      <c r="BS249" s="224"/>
      <c r="BT249" s="224"/>
      <c r="BU249" s="231">
        <f t="array" ref="BU249">[1]Показатели!BM117</f>
        <v>0.16900000000000001</v>
      </c>
      <c r="BV249" s="224"/>
      <c r="BW249" s="224"/>
      <c r="BX249" s="173">
        <f t="shared" si="39"/>
        <v>100</v>
      </c>
      <c r="BY249" s="173">
        <f t="shared" si="40"/>
        <v>9.000000000000008E-3</v>
      </c>
      <c r="BZ249" s="231">
        <f t="array" ref="BZ249">[1]Показатели!BF117</f>
        <v>0.16</v>
      </c>
      <c r="CA249" s="224"/>
      <c r="CB249" s="224"/>
      <c r="CC249" s="231">
        <f t="array" ref="CC249">[1]Показатели!BN117</f>
        <v>0.16900000000000001</v>
      </c>
      <c r="CD249" s="224"/>
      <c r="CE249" s="224"/>
      <c r="CF249" s="173">
        <f t="shared" si="41"/>
        <v>100</v>
      </c>
      <c r="CG249" s="173">
        <f t="shared" si="42"/>
        <v>9.000000000000008E-3</v>
      </c>
      <c r="CH249" s="231">
        <f t="array" ref="CH249">[1]Показатели!BH117</f>
        <v>0.16</v>
      </c>
      <c r="CI249" s="224"/>
      <c r="CJ249" s="224"/>
      <c r="CK249" s="231">
        <f t="array" ref="CK249">[1]Показатели!BO117</f>
        <v>0.16900000000000001</v>
      </c>
      <c r="CL249" s="224"/>
      <c r="CM249" s="224"/>
      <c r="CN249" s="173">
        <f t="shared" si="43"/>
        <v>100</v>
      </c>
      <c r="CO249" s="173">
        <f t="shared" si="44"/>
        <v>9.000000000000008E-3</v>
      </c>
      <c r="CP249" s="92"/>
      <c r="CQ249" s="90"/>
      <c r="CR249" s="90"/>
      <c r="CS249" s="90"/>
      <c r="CT249" s="227" t="e">
        <f t="shared" si="63"/>
        <v>#REF!</v>
      </c>
      <c r="CU249" s="227">
        <f t="array" ref="CU249">BD249</f>
        <v>0.16900000000000001</v>
      </c>
      <c r="CV249" s="92"/>
      <c r="CW249" s="92"/>
      <c r="CX249" s="92"/>
      <c r="CY249" s="92"/>
      <c r="CZ249" s="92"/>
      <c r="DA249" s="92"/>
      <c r="DB249" s="92"/>
    </row>
    <row r="250" spans="1:107" ht="14.25" customHeight="1" outlineLevel="3" x14ac:dyDescent="0.25">
      <c r="B250" s="2" t="b">
        <f t="array" ref="B250">B249</f>
        <v>1</v>
      </c>
      <c r="C250" s="2" t="s">
        <v>344</v>
      </c>
      <c r="D250" s="2" t="s">
        <v>345</v>
      </c>
      <c r="E250" s="2" t="s">
        <v>74</v>
      </c>
      <c r="F250" s="2" t="s">
        <v>75</v>
      </c>
      <c r="G250" s="2" t="s">
        <v>74</v>
      </c>
      <c r="H250" s="2" t="s">
        <v>74</v>
      </c>
      <c r="I250" s="2" t="s">
        <v>351</v>
      </c>
      <c r="J250" s="2" t="s">
        <v>74</v>
      </c>
      <c r="K250" s="5" t="s">
        <v>74</v>
      </c>
      <c r="L250" s="2" t="s">
        <v>347</v>
      </c>
      <c r="M250" s="8" t="str">
        <f t="array" ref="M250">Y107</f>
        <v>1ВО::1.1</v>
      </c>
      <c r="AA250" s="228" t="str">
        <f>AA248&amp;".2"</f>
        <v>3.1.2.1.1.2.1.2</v>
      </c>
      <c r="AB250" s="229" t="s">
        <v>343</v>
      </c>
      <c r="AC250" s="197" t="s">
        <v>140</v>
      </c>
      <c r="AD250" s="126">
        <v>0</v>
      </c>
      <c r="AE250" s="158">
        <v>0</v>
      </c>
      <c r="AF250" s="158">
        <v>0</v>
      </c>
      <c r="AG250" s="220"/>
      <c r="AH250" s="220"/>
      <c r="AI250" s="158">
        <f t="array" ref="AI250">[1]Показатели!AL119</f>
        <v>54958.626653530097</v>
      </c>
      <c r="AJ250" s="220"/>
      <c r="AK250" s="220"/>
      <c r="AL250" s="220"/>
      <c r="AM250" s="220"/>
      <c r="AN250" s="158">
        <f t="array" ref="AN250">[1]Показатели!AO119</f>
        <v>61389.705000000002</v>
      </c>
      <c r="AO250" s="158">
        <v>53511.555999999997</v>
      </c>
      <c r="AP250" s="220"/>
      <c r="AQ250" s="220"/>
      <c r="AR250" s="158">
        <f t="array" ref="AR250">[1]Показатели!AR119</f>
        <v>53511.555544000003</v>
      </c>
      <c r="AS250" s="220"/>
      <c r="AT250" s="220"/>
      <c r="AU250" s="158">
        <f t="array" ref="AU250">[1]Показатели!AV119</f>
        <v>0</v>
      </c>
      <c r="AV250" s="158">
        <v>53511.555544000003</v>
      </c>
      <c r="AW250" s="220"/>
      <c r="AX250" s="220"/>
      <c r="AY250" s="158">
        <f t="array" ref="AY250">[1]Показатели!AY119</f>
        <v>53511.555544000003</v>
      </c>
      <c r="AZ250" s="220"/>
      <c r="BA250" s="220"/>
      <c r="BB250" s="220"/>
      <c r="BC250" s="220"/>
      <c r="BD250" s="158">
        <f t="array" ref="BD250">[1]Показатели!BK119</f>
        <v>0</v>
      </c>
      <c r="BE250" s="220"/>
      <c r="BF250" s="220"/>
      <c r="BG250" s="173">
        <f t="shared" si="61"/>
        <v>0</v>
      </c>
      <c r="BH250" s="173" t="e">
        <f>BD250-#REF!</f>
        <v>#REF!</v>
      </c>
      <c r="BI250" s="173">
        <f t="shared" si="62"/>
        <v>-53511.555544000003</v>
      </c>
      <c r="BJ250" s="158">
        <f t="array" ref="BJ250">[1]Показатели!BB119</f>
        <v>0</v>
      </c>
      <c r="BK250" s="220"/>
      <c r="BL250" s="220"/>
      <c r="BM250" s="158">
        <f t="array" ref="BM250">[1]Показатели!BL119</f>
        <v>0</v>
      </c>
      <c r="BN250" s="220"/>
      <c r="BO250" s="220"/>
      <c r="BP250" s="173">
        <f t="shared" si="37"/>
        <v>0</v>
      </c>
      <c r="BQ250" s="173">
        <f t="shared" si="38"/>
        <v>0</v>
      </c>
      <c r="BR250" s="158">
        <f t="array" ref="BR250">[1]Показатели!BD119</f>
        <v>0</v>
      </c>
      <c r="BS250" s="220"/>
      <c r="BT250" s="220"/>
      <c r="BU250" s="158">
        <f t="array" ref="BU250">[1]Показатели!BM119</f>
        <v>0</v>
      </c>
      <c r="BV250" s="220"/>
      <c r="BW250" s="220"/>
      <c r="BX250" s="173">
        <f t="shared" si="39"/>
        <v>0</v>
      </c>
      <c r="BY250" s="173">
        <f t="shared" si="40"/>
        <v>0</v>
      </c>
      <c r="BZ250" s="158">
        <f t="array" ref="BZ250">[1]Показатели!BF119</f>
        <v>0</v>
      </c>
      <c r="CA250" s="220"/>
      <c r="CB250" s="220"/>
      <c r="CC250" s="158">
        <f t="array" ref="CC250">[1]Показатели!BN119</f>
        <v>0</v>
      </c>
      <c r="CD250" s="220"/>
      <c r="CE250" s="220"/>
      <c r="CF250" s="173">
        <f t="shared" si="41"/>
        <v>0</v>
      </c>
      <c r="CG250" s="173">
        <f t="shared" si="42"/>
        <v>0</v>
      </c>
      <c r="CH250" s="158">
        <f t="array" ref="CH250">[1]Показатели!BH119</f>
        <v>0</v>
      </c>
      <c r="CI250" s="220"/>
      <c r="CJ250" s="220"/>
      <c r="CK250" s="158">
        <f t="array" ref="CK250">[1]Показатели!BO119</f>
        <v>0</v>
      </c>
      <c r="CL250" s="220"/>
      <c r="CM250" s="220"/>
      <c r="CN250" s="173">
        <f t="shared" si="43"/>
        <v>0</v>
      </c>
      <c r="CO250" s="173">
        <f t="shared" si="44"/>
        <v>0</v>
      </c>
      <c r="CP250" s="92"/>
      <c r="CQ250" s="90"/>
      <c r="CR250" s="90"/>
      <c r="CS250" s="90"/>
      <c r="CT250" s="227" t="e">
        <f t="shared" si="63"/>
        <v>#REF!</v>
      </c>
      <c r="CU250" s="227">
        <f t="array" ref="CU250">BD250</f>
        <v>0</v>
      </c>
      <c r="CV250" s="92"/>
      <c r="CW250" s="92"/>
      <c r="CX250" s="92"/>
      <c r="CY250" s="92"/>
      <c r="CZ250" s="92"/>
      <c r="DA250" s="92"/>
      <c r="DB250" s="92"/>
    </row>
    <row r="251" spans="1:107" ht="23.25" customHeight="1" outlineLevel="3" x14ac:dyDescent="0.25">
      <c r="B251" s="2" t="b">
        <f t="array" ref="B251">B250</f>
        <v>1</v>
      </c>
      <c r="C251" s="2" t="s">
        <v>344</v>
      </c>
      <c r="D251" s="2" t="s">
        <v>345</v>
      </c>
      <c r="E251" s="2" t="s">
        <v>74</v>
      </c>
      <c r="F251" s="2" t="s">
        <v>75</v>
      </c>
      <c r="G251" s="2" t="s">
        <v>74</v>
      </c>
      <c r="H251" s="2" t="s">
        <v>74</v>
      </c>
      <c r="I251" s="2" t="s">
        <v>352</v>
      </c>
      <c r="J251" s="2" t="s">
        <v>74</v>
      </c>
      <c r="K251" s="5" t="s">
        <v>74</v>
      </c>
      <c r="L251" s="2" t="s">
        <v>347</v>
      </c>
      <c r="M251" s="8" t="str">
        <f t="array" ref="M251">Y107</f>
        <v>1ВО::1.1</v>
      </c>
      <c r="AA251" s="228" t="str">
        <f>AA245&amp;".2"</f>
        <v>3.1.2.1.1.2.2</v>
      </c>
      <c r="AB251" s="226" t="s">
        <v>353</v>
      </c>
      <c r="AC251" s="197" t="s">
        <v>333</v>
      </c>
      <c r="AD251" s="126">
        <v>20638.176337096102</v>
      </c>
      <c r="AE251" s="158">
        <v>20621.279848816001</v>
      </c>
      <c r="AF251" s="158">
        <v>22636.272119070702</v>
      </c>
      <c r="AG251" s="220"/>
      <c r="AH251" s="220"/>
      <c r="AI251" s="158">
        <f t="array" ref="AI251">[1]Показатели!AL121</f>
        <v>22636.272119070702</v>
      </c>
      <c r="AJ251" s="220"/>
      <c r="AK251" s="220"/>
      <c r="AL251" s="220"/>
      <c r="AM251" s="220"/>
      <c r="AN251" s="158">
        <f t="array" ref="AN251">[1]Показатели!AO121</f>
        <v>13702.696000000002</v>
      </c>
      <c r="AO251" s="158">
        <v>13116.718851670001</v>
      </c>
      <c r="AP251" s="220"/>
      <c r="AQ251" s="220"/>
      <c r="AR251" s="158">
        <f t="array" ref="AR251">[1]Показатели!AR121</f>
        <v>13116.718851670001</v>
      </c>
      <c r="AS251" s="220"/>
      <c r="AT251" s="220"/>
      <c r="AU251" s="158">
        <f t="array" ref="AU251">[1]Показатели!AV121</f>
        <v>13696.102000000001</v>
      </c>
      <c r="AV251" s="158">
        <v>13116.718851670001</v>
      </c>
      <c r="AW251" s="220"/>
      <c r="AX251" s="220"/>
      <c r="AY251" s="158">
        <f t="array" ref="AY251">[1]Показатели!AY121</f>
        <v>13116.718851670001</v>
      </c>
      <c r="AZ251" s="220"/>
      <c r="BA251" s="220"/>
      <c r="BB251" s="220"/>
      <c r="BC251" s="220"/>
      <c r="BD251" s="158">
        <f t="array" ref="BD251">[1]Показатели!BK121</f>
        <v>0</v>
      </c>
      <c r="BE251" s="220"/>
      <c r="BF251" s="220"/>
      <c r="BG251" s="173">
        <f t="shared" si="61"/>
        <v>0</v>
      </c>
      <c r="BH251" s="173" t="e">
        <f>BD251-#REF!</f>
        <v>#REF!</v>
      </c>
      <c r="BI251" s="173">
        <f t="shared" si="62"/>
        <v>-13116.718851670001</v>
      </c>
      <c r="BJ251" s="158">
        <f t="array" ref="BJ251">[1]Показатели!BB121</f>
        <v>0</v>
      </c>
      <c r="BK251" s="220"/>
      <c r="BL251" s="220"/>
      <c r="BM251" s="158">
        <f t="array" ref="BM251">[1]Показатели!BL121</f>
        <v>0</v>
      </c>
      <c r="BN251" s="220"/>
      <c r="BO251" s="220"/>
      <c r="BP251" s="173">
        <f t="shared" si="37"/>
        <v>0</v>
      </c>
      <c r="BQ251" s="173">
        <f t="shared" si="38"/>
        <v>0</v>
      </c>
      <c r="BR251" s="158">
        <f t="array" ref="BR251">[1]Показатели!BD121</f>
        <v>0</v>
      </c>
      <c r="BS251" s="220"/>
      <c r="BT251" s="220"/>
      <c r="BU251" s="158">
        <f t="array" ref="BU251">[1]Показатели!BM121</f>
        <v>0</v>
      </c>
      <c r="BV251" s="220"/>
      <c r="BW251" s="220"/>
      <c r="BX251" s="173">
        <f t="shared" si="39"/>
        <v>0</v>
      </c>
      <c r="BY251" s="173">
        <f t="shared" si="40"/>
        <v>0</v>
      </c>
      <c r="BZ251" s="158">
        <f t="array" ref="BZ251">[1]Показатели!BF121</f>
        <v>0</v>
      </c>
      <c r="CA251" s="220"/>
      <c r="CB251" s="220"/>
      <c r="CC251" s="158">
        <f t="array" ref="CC251">[1]Показатели!BN121</f>
        <v>0</v>
      </c>
      <c r="CD251" s="220"/>
      <c r="CE251" s="220"/>
      <c r="CF251" s="173">
        <f t="shared" si="41"/>
        <v>0</v>
      </c>
      <c r="CG251" s="173">
        <f t="shared" si="42"/>
        <v>0</v>
      </c>
      <c r="CH251" s="158">
        <f t="array" ref="CH251">[1]Показатели!BH121</f>
        <v>0</v>
      </c>
      <c r="CI251" s="220"/>
      <c r="CJ251" s="220"/>
      <c r="CK251" s="158">
        <f t="array" ref="CK251">[1]Показатели!BO121</f>
        <v>0</v>
      </c>
      <c r="CL251" s="220"/>
      <c r="CM251" s="220"/>
      <c r="CN251" s="173">
        <f t="shared" si="43"/>
        <v>0</v>
      </c>
      <c r="CO251" s="173">
        <f t="shared" si="44"/>
        <v>0</v>
      </c>
      <c r="CP251" s="92"/>
      <c r="CQ251" s="90"/>
      <c r="CR251" s="90"/>
      <c r="CS251" s="90"/>
      <c r="CT251" s="227" t="e">
        <f t="shared" si="63"/>
        <v>#REF!</v>
      </c>
      <c r="CU251" s="227">
        <f t="array" ref="CU251">BD251</f>
        <v>0</v>
      </c>
      <c r="CV251" s="92"/>
      <c r="CW251" s="92"/>
      <c r="CX251" s="92"/>
      <c r="CY251" s="92"/>
      <c r="CZ251" s="92"/>
      <c r="DA251" s="92"/>
      <c r="DB251" s="92"/>
    </row>
    <row r="252" spans="1:107" ht="23.25" customHeight="1" outlineLevel="3" x14ac:dyDescent="0.25">
      <c r="B252" s="2" t="b">
        <f t="array" ref="B252">B251</f>
        <v>1</v>
      </c>
      <c r="C252" s="2" t="s">
        <v>344</v>
      </c>
      <c r="D252" s="2" t="s">
        <v>345</v>
      </c>
      <c r="E252" s="2" t="s">
        <v>74</v>
      </c>
      <c r="F252" s="2" t="s">
        <v>75</v>
      </c>
      <c r="G252" s="2" t="s">
        <v>74</v>
      </c>
      <c r="H252" s="2" t="s">
        <v>74</v>
      </c>
      <c r="I252" s="2" t="s">
        <v>354</v>
      </c>
      <c r="J252" s="2" t="s">
        <v>74</v>
      </c>
      <c r="K252" s="5" t="s">
        <v>74</v>
      </c>
      <c r="L252" s="2" t="s">
        <v>347</v>
      </c>
      <c r="M252" s="8" t="str">
        <f t="array" ref="M252">Y107</f>
        <v>1ВО::1.1</v>
      </c>
      <c r="AA252" s="228" t="str">
        <f>AA251&amp;".1"</f>
        <v>3.1.2.1.1.2.2.1</v>
      </c>
      <c r="AB252" s="229" t="s">
        <v>355</v>
      </c>
      <c r="AC252" s="197" t="s">
        <v>340</v>
      </c>
      <c r="AD252" s="230">
        <v>0.41187841650000001</v>
      </c>
      <c r="AE252" s="231">
        <v>0.41187841650000001</v>
      </c>
      <c r="AF252" s="231">
        <v>0.41187841650000001</v>
      </c>
      <c r="AG252" s="224"/>
      <c r="AH252" s="224"/>
      <c r="AI252" s="231">
        <f t="array" ref="AI252">[1]Показатели!AL120</f>
        <v>0.41187841650000001</v>
      </c>
      <c r="AJ252" s="224"/>
      <c r="AK252" s="224"/>
      <c r="AL252" s="224"/>
      <c r="AM252" s="224"/>
      <c r="AN252" s="231">
        <f t="array" ref="AN252">[1]Показатели!AO120</f>
        <v>0.2335972497000145</v>
      </c>
      <c r="AO252" s="231">
        <v>0.25900000000000001</v>
      </c>
      <c r="AP252" s="224"/>
      <c r="AQ252" s="224"/>
      <c r="AR252" s="231">
        <f t="array" ref="AR252">[1]Показатели!AR120</f>
        <v>0.25900000000000001</v>
      </c>
      <c r="AS252" s="224"/>
      <c r="AT252" s="224"/>
      <c r="AU252" s="231">
        <f t="array" ref="AU252">[1]Показатели!AV120</f>
        <v>0</v>
      </c>
      <c r="AV252" s="231">
        <v>0.2419</v>
      </c>
      <c r="AW252" s="224"/>
      <c r="AX252" s="224"/>
      <c r="AY252" s="231">
        <f t="array" ref="AY252">[1]Показатели!AY120</f>
        <v>0.25900000000000001</v>
      </c>
      <c r="AZ252" s="224"/>
      <c r="BA252" s="224"/>
      <c r="BB252" s="224"/>
      <c r="BC252" s="224"/>
      <c r="BD252" s="231">
        <f t="array" ref="BD252">[1]Показатели!BK120</f>
        <v>0.25900000000000001</v>
      </c>
      <c r="BE252" s="224"/>
      <c r="BF252" s="224"/>
      <c r="BG252" s="173">
        <f t="shared" si="61"/>
        <v>100</v>
      </c>
      <c r="BH252" s="173" t="e">
        <f>BD252-#REF!</f>
        <v>#REF!</v>
      </c>
      <c r="BI252" s="173">
        <f t="shared" si="62"/>
        <v>0</v>
      </c>
      <c r="BJ252" s="231">
        <f t="array" ref="BJ252">[1]Показатели!BB120</f>
        <v>0.2419</v>
      </c>
      <c r="BK252" s="224"/>
      <c r="BL252" s="224"/>
      <c r="BM252" s="231">
        <f t="array" ref="BM252">[1]Показатели!BL120</f>
        <v>0.25900000000000001</v>
      </c>
      <c r="BN252" s="224"/>
      <c r="BO252" s="224"/>
      <c r="BP252" s="173">
        <f t="shared" si="37"/>
        <v>100</v>
      </c>
      <c r="BQ252" s="173">
        <f t="shared" si="38"/>
        <v>1.7100000000000004E-2</v>
      </c>
      <c r="BR252" s="231">
        <f t="array" ref="BR252">[1]Показатели!BD120</f>
        <v>0.2419</v>
      </c>
      <c r="BS252" s="224"/>
      <c r="BT252" s="224"/>
      <c r="BU252" s="231">
        <f t="array" ref="BU252">[1]Показатели!BM120</f>
        <v>0.25900000000000001</v>
      </c>
      <c r="BV252" s="224"/>
      <c r="BW252" s="224"/>
      <c r="BX252" s="173">
        <f t="shared" si="39"/>
        <v>100</v>
      </c>
      <c r="BY252" s="173">
        <f t="shared" si="40"/>
        <v>1.7100000000000004E-2</v>
      </c>
      <c r="BZ252" s="231">
        <f t="array" ref="BZ252">[1]Показатели!BF120</f>
        <v>0.2419</v>
      </c>
      <c r="CA252" s="224"/>
      <c r="CB252" s="224"/>
      <c r="CC252" s="231">
        <f t="array" ref="CC252">[1]Показатели!BN120</f>
        <v>0.25900000000000001</v>
      </c>
      <c r="CD252" s="224"/>
      <c r="CE252" s="224"/>
      <c r="CF252" s="173">
        <f t="shared" si="41"/>
        <v>100</v>
      </c>
      <c r="CG252" s="173">
        <f t="shared" si="42"/>
        <v>1.7100000000000004E-2</v>
      </c>
      <c r="CH252" s="231">
        <f t="array" ref="CH252">[1]Показатели!BH120</f>
        <v>0.2419</v>
      </c>
      <c r="CI252" s="224"/>
      <c r="CJ252" s="224"/>
      <c r="CK252" s="231">
        <f t="array" ref="CK252">[1]Показатели!BO120</f>
        <v>0.25900000000000001</v>
      </c>
      <c r="CL252" s="224"/>
      <c r="CM252" s="224"/>
      <c r="CN252" s="173">
        <f t="shared" si="43"/>
        <v>100</v>
      </c>
      <c r="CO252" s="173">
        <f t="shared" si="44"/>
        <v>1.7100000000000004E-2</v>
      </c>
      <c r="CP252" s="92"/>
      <c r="CQ252" s="90"/>
      <c r="CR252" s="90"/>
      <c r="CS252" s="90"/>
      <c r="CT252" s="227" t="e">
        <f t="shared" si="63"/>
        <v>#REF!</v>
      </c>
      <c r="CU252" s="227">
        <f t="array" ref="CU252">BD252</f>
        <v>0.25900000000000001</v>
      </c>
      <c r="CV252" s="92"/>
      <c r="CW252" s="92"/>
      <c r="CX252" s="92"/>
      <c r="CY252" s="92"/>
      <c r="CZ252" s="92"/>
      <c r="DA252" s="92"/>
      <c r="DB252" s="92"/>
    </row>
    <row r="253" spans="1:107" ht="14.25" customHeight="1" outlineLevel="3" x14ac:dyDescent="0.25">
      <c r="B253" s="2" t="b">
        <f t="array" ref="B253">B252</f>
        <v>1</v>
      </c>
      <c r="C253" s="2" t="s">
        <v>344</v>
      </c>
      <c r="D253" s="2" t="s">
        <v>345</v>
      </c>
      <c r="E253" s="2" t="s">
        <v>74</v>
      </c>
      <c r="F253" s="2" t="s">
        <v>75</v>
      </c>
      <c r="G253" s="2" t="s">
        <v>74</v>
      </c>
      <c r="H253" s="2" t="s">
        <v>74</v>
      </c>
      <c r="I253" s="2" t="s">
        <v>356</v>
      </c>
      <c r="J253" s="2" t="s">
        <v>74</v>
      </c>
      <c r="K253" s="5" t="s">
        <v>74</v>
      </c>
      <c r="L253" s="2" t="s">
        <v>347</v>
      </c>
      <c r="M253" s="8" t="str">
        <f t="array" ref="M253">Y107</f>
        <v>1ВО::1.1</v>
      </c>
      <c r="AA253" s="228" t="str">
        <f>AA251&amp;".2"</f>
        <v>3.1.2.1.1.2.2.2</v>
      </c>
      <c r="AB253" s="229" t="s">
        <v>343</v>
      </c>
      <c r="AC253" s="197" t="s">
        <v>140</v>
      </c>
      <c r="AD253" s="126">
        <v>50107.447999999997</v>
      </c>
      <c r="AE253" s="158">
        <v>50066.425000000003</v>
      </c>
      <c r="AF253" s="158">
        <v>54922.271999999997</v>
      </c>
      <c r="AG253" s="220"/>
      <c r="AH253" s="220"/>
      <c r="AI253" s="158">
        <f t="array" ref="AI253">[1]Показатели!AL122</f>
        <v>54958.626653530097</v>
      </c>
      <c r="AJ253" s="220"/>
      <c r="AK253" s="220"/>
      <c r="AL253" s="220"/>
      <c r="AM253" s="220"/>
      <c r="AN253" s="158">
        <f t="array" ref="AN253">[1]Показатели!AO122</f>
        <v>58659.491999999998</v>
      </c>
      <c r="AO253" s="158">
        <v>50643.702129999998</v>
      </c>
      <c r="AP253" s="220"/>
      <c r="AQ253" s="220"/>
      <c r="AR253" s="158">
        <f t="array" ref="AR253">[1]Показатели!AR122</f>
        <v>50643.702129999998</v>
      </c>
      <c r="AS253" s="220"/>
      <c r="AT253" s="220"/>
      <c r="AU253" s="158">
        <f t="array" ref="AU253">[1]Показатели!AV122</f>
        <v>0</v>
      </c>
      <c r="AV253" s="158">
        <v>50643.702129999998</v>
      </c>
      <c r="AW253" s="220"/>
      <c r="AX253" s="220"/>
      <c r="AY253" s="158">
        <f t="array" ref="AY253">[1]Показатели!AY122</f>
        <v>50643.702129999998</v>
      </c>
      <c r="AZ253" s="220"/>
      <c r="BA253" s="220"/>
      <c r="BB253" s="220"/>
      <c r="BC253" s="220"/>
      <c r="BD253" s="158">
        <f t="array" ref="BD253">[1]Показатели!BK122</f>
        <v>0</v>
      </c>
      <c r="BE253" s="220"/>
      <c r="BF253" s="220"/>
      <c r="BG253" s="173">
        <f t="shared" si="61"/>
        <v>0</v>
      </c>
      <c r="BH253" s="173" t="e">
        <f>BD253-#REF!</f>
        <v>#REF!</v>
      </c>
      <c r="BI253" s="173">
        <f t="shared" si="62"/>
        <v>-50643.702129999998</v>
      </c>
      <c r="BJ253" s="158">
        <f t="array" ref="BJ253">[1]Показатели!BB122</f>
        <v>0</v>
      </c>
      <c r="BK253" s="220"/>
      <c r="BL253" s="220"/>
      <c r="BM253" s="158">
        <f t="array" ref="BM253">[1]Показатели!BL122</f>
        <v>0</v>
      </c>
      <c r="BN253" s="220"/>
      <c r="BO253" s="220"/>
      <c r="BP253" s="173">
        <f t="shared" si="37"/>
        <v>0</v>
      </c>
      <c r="BQ253" s="173">
        <f t="shared" si="38"/>
        <v>0</v>
      </c>
      <c r="BR253" s="158">
        <f t="array" ref="BR253">[1]Показатели!BD122</f>
        <v>0</v>
      </c>
      <c r="BS253" s="220"/>
      <c r="BT253" s="220"/>
      <c r="BU253" s="158">
        <f t="array" ref="BU253">[1]Показатели!BM122</f>
        <v>0</v>
      </c>
      <c r="BV253" s="220"/>
      <c r="BW253" s="220"/>
      <c r="BX253" s="173">
        <f t="shared" si="39"/>
        <v>0</v>
      </c>
      <c r="BY253" s="173">
        <f t="shared" si="40"/>
        <v>0</v>
      </c>
      <c r="BZ253" s="158">
        <f t="array" ref="BZ253">[1]Показатели!BF122</f>
        <v>0</v>
      </c>
      <c r="CA253" s="220"/>
      <c r="CB253" s="220"/>
      <c r="CC253" s="158">
        <f t="array" ref="CC253">[1]Показатели!BN122</f>
        <v>0</v>
      </c>
      <c r="CD253" s="220"/>
      <c r="CE253" s="220"/>
      <c r="CF253" s="173">
        <f t="shared" si="41"/>
        <v>0</v>
      </c>
      <c r="CG253" s="173">
        <f t="shared" si="42"/>
        <v>0</v>
      </c>
      <c r="CH253" s="158">
        <f t="array" ref="CH253">[1]Показатели!BH122</f>
        <v>0</v>
      </c>
      <c r="CI253" s="220"/>
      <c r="CJ253" s="220"/>
      <c r="CK253" s="158">
        <f t="array" ref="CK253">[1]Показатели!BO122</f>
        <v>0</v>
      </c>
      <c r="CL253" s="220"/>
      <c r="CM253" s="220"/>
      <c r="CN253" s="173">
        <f t="shared" si="43"/>
        <v>0</v>
      </c>
      <c r="CO253" s="173">
        <f t="shared" si="44"/>
        <v>0</v>
      </c>
      <c r="CP253" s="92"/>
      <c r="CQ253" s="90"/>
      <c r="CR253" s="90"/>
      <c r="CS253" s="90"/>
      <c r="CT253" s="227" t="e">
        <f t="shared" si="63"/>
        <v>#REF!</v>
      </c>
      <c r="CU253" s="227">
        <f t="array" ref="CU253">BD253</f>
        <v>0</v>
      </c>
      <c r="CV253" s="92"/>
      <c r="CW253" s="92"/>
      <c r="CX253" s="92"/>
      <c r="CY253" s="92"/>
      <c r="CZ253" s="92"/>
      <c r="DA253" s="92"/>
      <c r="DB253" s="92"/>
    </row>
    <row r="254" spans="1:107" ht="14.25" hidden="1" customHeight="1" outlineLevel="3" x14ac:dyDescent="0.25">
      <c r="A254" s="12"/>
      <c r="B254" s="2" t="b">
        <f t="array" ref="B254">B245</f>
        <v>0</v>
      </c>
      <c r="C254" s="4" t="s">
        <v>330</v>
      </c>
      <c r="D254" s="2" t="s">
        <v>331</v>
      </c>
      <c r="E254" s="2" t="s">
        <v>74</v>
      </c>
      <c r="F254" s="2" t="s">
        <v>75</v>
      </c>
      <c r="G254" s="2" t="s">
        <v>74</v>
      </c>
      <c r="H254" s="2" t="s">
        <v>74</v>
      </c>
      <c r="I254" s="2" t="s">
        <v>74</v>
      </c>
      <c r="J254" s="4" t="s">
        <v>357</v>
      </c>
      <c r="K254" s="5" t="s">
        <v>74</v>
      </c>
      <c r="L254" s="2" t="s">
        <v>335</v>
      </c>
      <c r="M254" s="8" t="str">
        <f t="array" ref="M254">Y107</f>
        <v>1ВО::1.1</v>
      </c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07" t="str">
        <f>AA244&amp;".2"</f>
        <v>3.1.2.1.1.2.2</v>
      </c>
      <c r="AB254" s="232" t="s">
        <v>358</v>
      </c>
      <c r="AC254" s="197" t="s">
        <v>333</v>
      </c>
      <c r="AD254" s="127"/>
      <c r="AE254" s="127"/>
      <c r="AF254" s="127"/>
      <c r="AG254" s="202"/>
      <c r="AH254" s="202"/>
      <c r="AI254" s="127">
        <f t="array" ref="AI254">AF254</f>
        <v>0</v>
      </c>
      <c r="AJ254" s="202"/>
      <c r="AK254" s="202"/>
      <c r="AL254" s="202"/>
      <c r="AM254" s="202"/>
      <c r="AN254" s="158">
        <f>[1]ЭЭ!BB100*1</f>
        <v>0</v>
      </c>
      <c r="AO254" s="127"/>
      <c r="AP254" s="202"/>
      <c r="AQ254" s="202"/>
      <c r="AR254" s="127">
        <f t="array" ref="AR254">AO254</f>
        <v>0</v>
      </c>
      <c r="AS254" s="202"/>
      <c r="AT254" s="202"/>
      <c r="AU254" s="158">
        <f>[1]ЭЭ!BG100*1</f>
        <v>0</v>
      </c>
      <c r="AV254" s="127"/>
      <c r="AW254" s="202"/>
      <c r="AX254" s="202"/>
      <c r="AY254" s="127">
        <f t="array" ref="AY254">AV254</f>
        <v>0</v>
      </c>
      <c r="AZ254" s="202"/>
      <c r="BA254" s="202"/>
      <c r="BB254" s="202"/>
      <c r="BC254" s="202"/>
      <c r="BD254" s="158">
        <f t="array" ref="BD254">[1]ЭЭ!BP100</f>
        <v>0</v>
      </c>
      <c r="BE254" s="202"/>
      <c r="BF254" s="202"/>
      <c r="BG254" s="267">
        <f t="shared" ref="BG254:BG262" si="64">IF(AR254=0,0,BD254/AR254)*100</f>
        <v>0</v>
      </c>
      <c r="BH254" s="267" t="e">
        <f>BD254-#REF!</f>
        <v>#REF!</v>
      </c>
      <c r="BI254" s="267">
        <f t="shared" ref="BI254:BI262" si="65">BD254-AY254</f>
        <v>0</v>
      </c>
      <c r="BJ254" s="158">
        <f t="array" ref="BJ254">[1]ЭЭ!BK100</f>
        <v>0</v>
      </c>
      <c r="BK254" s="202"/>
      <c r="BL254" s="202"/>
      <c r="BM254" s="158">
        <f t="array" ref="BM254">[1]ЭЭ!BQ100</f>
        <v>0</v>
      </c>
      <c r="BN254" s="202"/>
      <c r="BO254" s="202"/>
      <c r="BP254" s="267">
        <f t="shared" ref="BP254:BP262" si="66">IF(BD254=0,0,BM254/BD254)*100</f>
        <v>0</v>
      </c>
      <c r="BQ254" s="267">
        <f t="shared" ref="BQ254:BQ262" si="67">BM254-BJ254</f>
        <v>0</v>
      </c>
      <c r="BR254" s="158">
        <f t="array" ref="BR254">[1]ЭЭ!BL100</f>
        <v>0</v>
      </c>
      <c r="BS254" s="202"/>
      <c r="BT254" s="202"/>
      <c r="BU254" s="158">
        <f t="array" ref="BU254">[1]ЭЭ!BR100</f>
        <v>0</v>
      </c>
      <c r="BV254" s="202"/>
      <c r="BW254" s="202"/>
      <c r="BX254" s="267">
        <f t="shared" ref="BX254:BX262" si="68">IF(BM254=0,0,BU254/BM254)*100</f>
        <v>0</v>
      </c>
      <c r="BY254" s="267">
        <f t="shared" ref="BY254:BY262" si="69">BU254-BR254</f>
        <v>0</v>
      </c>
      <c r="BZ254" s="158">
        <f t="array" ref="BZ254">[1]ЭЭ!BM100</f>
        <v>0</v>
      </c>
      <c r="CA254" s="202"/>
      <c r="CB254" s="202"/>
      <c r="CC254" s="158">
        <f t="array" ref="CC254">[1]ЭЭ!BS100</f>
        <v>0</v>
      </c>
      <c r="CD254" s="202"/>
      <c r="CE254" s="202"/>
      <c r="CF254" s="267">
        <f t="shared" ref="CF254:CF262" si="70">IF(BU254=0,0,CC254/BU254)*100</f>
        <v>0</v>
      </c>
      <c r="CG254" s="267">
        <f t="shared" ref="CG254:CG262" si="71">CC254-BZ254</f>
        <v>0</v>
      </c>
      <c r="CH254" s="158">
        <f t="array" ref="CH254">[1]ЭЭ!BN100</f>
        <v>0</v>
      </c>
      <c r="CI254" s="202"/>
      <c r="CJ254" s="202"/>
      <c r="CK254" s="158">
        <f t="array" ref="CK254">[1]ЭЭ!BT100</f>
        <v>0</v>
      </c>
      <c r="CL254" s="202"/>
      <c r="CM254" s="202"/>
      <c r="CN254" s="267">
        <f t="shared" ref="CN254:CN262" si="72">IF(CC254=0,0,CK254/CC254)*100</f>
        <v>0</v>
      </c>
      <c r="CO254" s="267">
        <f t="shared" ref="CO254:CO262" si="73">CK254-CH254</f>
        <v>0</v>
      </c>
      <c r="CP254" s="101"/>
      <c r="CQ254" s="85"/>
      <c r="CR254" s="85"/>
      <c r="CS254" s="85"/>
      <c r="CT254" s="99" t="e">
        <f t="shared" ref="CT254:CT262" si="74">SUM(AD254:CO254)</f>
        <v>#REF!</v>
      </c>
      <c r="CU254" s="99">
        <f t="array" ref="CU254">BD254</f>
        <v>0</v>
      </c>
      <c r="CV254" s="101"/>
      <c r="CW254" s="101"/>
      <c r="CX254" s="101"/>
      <c r="CY254" s="101"/>
      <c r="CZ254" s="101"/>
      <c r="DA254" s="101"/>
      <c r="DB254" s="101"/>
      <c r="DC254" s="12"/>
    </row>
    <row r="255" spans="1:107" ht="14.25" customHeight="1" outlineLevel="3" x14ac:dyDescent="0.25">
      <c r="A255" s="2" t="b">
        <f>$AC$48="да"</f>
        <v>1</v>
      </c>
      <c r="B255" s="8" t="b">
        <f t="array" ref="B255">A255</f>
        <v>1</v>
      </c>
      <c r="C255" s="2" t="s">
        <v>84</v>
      </c>
      <c r="D255" s="2" t="s">
        <v>85</v>
      </c>
      <c r="E255" s="2" t="s">
        <v>74</v>
      </c>
      <c r="F255" s="2" t="s">
        <v>75</v>
      </c>
      <c r="G255" s="2" t="s">
        <v>359</v>
      </c>
      <c r="H255" s="2" t="s">
        <v>74</v>
      </c>
      <c r="I255" s="2" t="s">
        <v>74</v>
      </c>
      <c r="J255" s="2" t="s">
        <v>74</v>
      </c>
      <c r="K255" s="5" t="s">
        <v>74</v>
      </c>
      <c r="L255" s="2" t="s">
        <v>360</v>
      </c>
      <c r="M255" s="8" t="str">
        <f t="array" ref="M255">Y107</f>
        <v>1ВО::1.1</v>
      </c>
      <c r="Y255" s="2">
        <f>COUNT($Y242:Y254)+1</f>
        <v>2</v>
      </c>
      <c r="AA255" s="107" t="str">
        <f>AA$241&amp;"."&amp;Y255</f>
        <v>3.1.2.2</v>
      </c>
      <c r="AB255" s="171" t="s">
        <v>361</v>
      </c>
      <c r="AC255" s="197" t="s">
        <v>114</v>
      </c>
      <c r="AD255" s="195"/>
      <c r="AE255" s="195"/>
      <c r="AF255" s="195"/>
      <c r="AG255" s="202"/>
      <c r="AH255" s="202"/>
      <c r="AI255" s="195">
        <f t="array" ref="AI255">AF255</f>
        <v>0</v>
      </c>
      <c r="AJ255" s="202"/>
      <c r="AK255" s="202"/>
      <c r="AL255" s="202"/>
      <c r="AM255" s="202"/>
      <c r="AN255" s="203">
        <f>'[1]Счет 23'!BT249*1</f>
        <v>0</v>
      </c>
      <c r="AO255" s="195"/>
      <c r="AP255" s="202"/>
      <c r="AQ255" s="202"/>
      <c r="AR255" s="195">
        <f t="array" ref="AR255">AO255</f>
        <v>0</v>
      </c>
      <c r="AS255" s="202"/>
      <c r="AT255" s="202"/>
      <c r="AU255" s="203">
        <f>'[1]Счет 23'!BY249*1</f>
        <v>0</v>
      </c>
      <c r="AV255" s="195"/>
      <c r="AW255" s="202"/>
      <c r="AX255" s="202"/>
      <c r="AY255" s="195">
        <f t="array" ref="AY255">AV255</f>
        <v>0</v>
      </c>
      <c r="AZ255" s="202"/>
      <c r="BA255" s="202"/>
      <c r="BB255" s="202"/>
      <c r="BC255" s="202"/>
      <c r="BD255" s="203">
        <f>'[1]Счет 23'!CC249*1</f>
        <v>0</v>
      </c>
      <c r="BE255" s="202"/>
      <c r="BF255" s="202"/>
      <c r="BG255" s="267">
        <f t="shared" si="64"/>
        <v>0</v>
      </c>
      <c r="BH255" s="267" t="e">
        <f>BD255-#REF!</f>
        <v>#REF!</v>
      </c>
      <c r="BI255" s="267">
        <f t="shared" si="65"/>
        <v>0</v>
      </c>
      <c r="BJ255" s="203">
        <f>'[1]Счет 23'!CD249*1</f>
        <v>0</v>
      </c>
      <c r="BK255" s="202"/>
      <c r="BL255" s="202"/>
      <c r="BM255" s="203">
        <f>'[1]Счет 23'!CE249*1</f>
        <v>0</v>
      </c>
      <c r="BN255" s="202"/>
      <c r="BO255" s="202"/>
      <c r="BP255" s="267">
        <f t="shared" si="66"/>
        <v>0</v>
      </c>
      <c r="BQ255" s="267">
        <f t="shared" si="67"/>
        <v>0</v>
      </c>
      <c r="BR255" s="203">
        <f>'[1]Счет 23'!CF249*1</f>
        <v>0</v>
      </c>
      <c r="BS255" s="202"/>
      <c r="BT255" s="202"/>
      <c r="BU255" s="203">
        <f>'[1]Счет 23'!CG249*1</f>
        <v>0</v>
      </c>
      <c r="BV255" s="202"/>
      <c r="BW255" s="202"/>
      <c r="BX255" s="267">
        <f t="shared" si="68"/>
        <v>0</v>
      </c>
      <c r="BY255" s="267">
        <f t="shared" si="69"/>
        <v>0</v>
      </c>
      <c r="BZ255" s="203">
        <f>'[1]Счет 23'!CH249*1</f>
        <v>0</v>
      </c>
      <c r="CA255" s="202"/>
      <c r="CB255" s="202"/>
      <c r="CC255" s="203">
        <f>'[1]Счет 23'!CI249*1</f>
        <v>0</v>
      </c>
      <c r="CD255" s="202"/>
      <c r="CE255" s="202"/>
      <c r="CF255" s="267">
        <f t="shared" si="70"/>
        <v>0</v>
      </c>
      <c r="CG255" s="267">
        <f t="shared" si="71"/>
        <v>0</v>
      </c>
      <c r="CH255" s="203">
        <f>'[1]Счет 23'!CJ249*1</f>
        <v>0</v>
      </c>
      <c r="CI255" s="202"/>
      <c r="CJ255" s="202"/>
      <c r="CK255" s="203">
        <f>'[1]Счет 23'!CK249*1</f>
        <v>0</v>
      </c>
      <c r="CL255" s="202"/>
      <c r="CM255" s="202"/>
      <c r="CN255" s="267">
        <f t="shared" si="72"/>
        <v>0</v>
      </c>
      <c r="CO255" s="267">
        <f t="shared" si="73"/>
        <v>0</v>
      </c>
      <c r="CP255" s="92"/>
      <c r="CQ255" s="90"/>
      <c r="CR255" s="90"/>
      <c r="CS255" s="90"/>
      <c r="CT255" s="227" t="e">
        <f t="shared" si="74"/>
        <v>#REF!</v>
      </c>
      <c r="CU255" s="227">
        <f t="array" ref="CU255">BD255</f>
        <v>0</v>
      </c>
      <c r="CV255" s="92"/>
      <c r="CW255" s="92"/>
      <c r="CX255" s="92"/>
      <c r="CY255" s="92"/>
      <c r="CZ255" s="92"/>
      <c r="DA255" s="92"/>
      <c r="DB255" s="92"/>
    </row>
    <row r="256" spans="1:107" ht="22.5" customHeight="1" outlineLevel="3" x14ac:dyDescent="0.25">
      <c r="A256" s="2" t="b">
        <f>$AC$49="да"</f>
        <v>1</v>
      </c>
      <c r="B256" s="8" t="b">
        <f t="array" ref="B256">A256</f>
        <v>1</v>
      </c>
      <c r="C256" s="2" t="s">
        <v>84</v>
      </c>
      <c r="D256" s="2" t="s">
        <v>85</v>
      </c>
      <c r="E256" s="2" t="s">
        <v>74</v>
      </c>
      <c r="F256" s="2" t="s">
        <v>75</v>
      </c>
      <c r="G256" s="2" t="s">
        <v>362</v>
      </c>
      <c r="H256" s="2" t="s">
        <v>74</v>
      </c>
      <c r="I256" s="2" t="s">
        <v>74</v>
      </c>
      <c r="J256" s="2" t="s">
        <v>74</v>
      </c>
      <c r="K256" s="5" t="s">
        <v>74</v>
      </c>
      <c r="L256" s="2" t="s">
        <v>228</v>
      </c>
      <c r="M256" s="8" t="str">
        <f t="array" ref="M256">Y107</f>
        <v>1ВО::1.1</v>
      </c>
      <c r="Y256" s="2">
        <f>COUNT($Y242:Y255)+1</f>
        <v>3</v>
      </c>
      <c r="AA256" s="107" t="str">
        <f>AA$241&amp;"."&amp;Y256</f>
        <v>3.1.2.3</v>
      </c>
      <c r="AB256" s="171" t="s">
        <v>363</v>
      </c>
      <c r="AC256" s="197" t="s">
        <v>114</v>
      </c>
      <c r="AD256" s="195"/>
      <c r="AE256" s="195"/>
      <c r="AF256" s="195"/>
      <c r="AG256" s="202"/>
      <c r="AH256" s="202"/>
      <c r="AI256" s="195">
        <f t="array" ref="AI256">AF256</f>
        <v>0</v>
      </c>
      <c r="AJ256" s="202"/>
      <c r="AK256" s="202"/>
      <c r="AL256" s="202"/>
      <c r="AM256" s="202"/>
      <c r="AN256" s="203">
        <f>'[1]Счет 25'!BT176*1</f>
        <v>0</v>
      </c>
      <c r="AO256" s="195"/>
      <c r="AP256" s="202"/>
      <c r="AQ256" s="202"/>
      <c r="AR256" s="195">
        <f t="array" ref="AR256">AO256</f>
        <v>0</v>
      </c>
      <c r="AS256" s="202"/>
      <c r="AT256" s="202"/>
      <c r="AU256" s="203">
        <f>'[1]Счет 25'!BY176*1</f>
        <v>0</v>
      </c>
      <c r="AV256" s="195"/>
      <c r="AW256" s="202"/>
      <c r="AX256" s="202"/>
      <c r="AY256" s="195">
        <f t="array" ref="AY256">AV256</f>
        <v>0</v>
      </c>
      <c r="AZ256" s="202"/>
      <c r="BA256" s="202"/>
      <c r="BB256" s="202"/>
      <c r="BC256" s="202"/>
      <c r="BD256" s="203">
        <f>'[1]Счет 25'!CC176*1</f>
        <v>0</v>
      </c>
      <c r="BE256" s="202"/>
      <c r="BF256" s="202"/>
      <c r="BG256" s="267">
        <f t="shared" si="64"/>
        <v>0</v>
      </c>
      <c r="BH256" s="267" t="e">
        <f>BD256-#REF!</f>
        <v>#REF!</v>
      </c>
      <c r="BI256" s="267">
        <f t="shared" si="65"/>
        <v>0</v>
      </c>
      <c r="BJ256" s="203">
        <f>'[1]Счет 25'!CD176*1</f>
        <v>0</v>
      </c>
      <c r="BK256" s="202"/>
      <c r="BL256" s="202"/>
      <c r="BM256" s="203">
        <f>'[1]Счет 25'!CE176*1</f>
        <v>0</v>
      </c>
      <c r="BN256" s="202"/>
      <c r="BO256" s="202"/>
      <c r="BP256" s="267">
        <f t="shared" si="66"/>
        <v>0</v>
      </c>
      <c r="BQ256" s="267">
        <f t="shared" si="67"/>
        <v>0</v>
      </c>
      <c r="BR256" s="203">
        <f>'[1]Счет 25'!CF176*1</f>
        <v>0</v>
      </c>
      <c r="BS256" s="202"/>
      <c r="BT256" s="202"/>
      <c r="BU256" s="203">
        <f>'[1]Счет 25'!CG176*1</f>
        <v>0</v>
      </c>
      <c r="BV256" s="202"/>
      <c r="BW256" s="202"/>
      <c r="BX256" s="267">
        <f t="shared" si="68"/>
        <v>0</v>
      </c>
      <c r="BY256" s="267">
        <f t="shared" si="69"/>
        <v>0</v>
      </c>
      <c r="BZ256" s="203">
        <f>'[1]Счет 25'!CH176*1</f>
        <v>0</v>
      </c>
      <c r="CA256" s="202"/>
      <c r="CB256" s="202"/>
      <c r="CC256" s="203">
        <f>'[1]Счет 25'!CI176*1</f>
        <v>0</v>
      </c>
      <c r="CD256" s="202"/>
      <c r="CE256" s="202"/>
      <c r="CF256" s="267">
        <f t="shared" si="70"/>
        <v>0</v>
      </c>
      <c r="CG256" s="267">
        <f t="shared" si="71"/>
        <v>0</v>
      </c>
      <c r="CH256" s="203">
        <f>'[1]Счет 25'!CJ176*1</f>
        <v>0</v>
      </c>
      <c r="CI256" s="202"/>
      <c r="CJ256" s="202"/>
      <c r="CK256" s="203">
        <f>'[1]Счет 25'!CK176*1</f>
        <v>0</v>
      </c>
      <c r="CL256" s="202"/>
      <c r="CM256" s="202"/>
      <c r="CN256" s="267">
        <f t="shared" si="72"/>
        <v>0</v>
      </c>
      <c r="CO256" s="267">
        <f t="shared" si="73"/>
        <v>0</v>
      </c>
      <c r="CP256" s="92"/>
      <c r="CQ256" s="90"/>
      <c r="CR256" s="90"/>
      <c r="CS256" s="90"/>
      <c r="CT256" s="227" t="e">
        <f t="shared" si="74"/>
        <v>#REF!</v>
      </c>
      <c r="CU256" s="227">
        <f t="array" ref="CU256">BD256</f>
        <v>0</v>
      </c>
      <c r="CV256" s="92"/>
      <c r="CW256" s="92"/>
      <c r="CX256" s="92"/>
      <c r="CY256" s="92"/>
      <c r="CZ256" s="92"/>
      <c r="DA256" s="92"/>
      <c r="DB256" s="92"/>
    </row>
    <row r="257" spans="1:107" ht="14.25" customHeight="1" outlineLevel="3" x14ac:dyDescent="0.25">
      <c r="A257" s="2" t="b">
        <f>$AC$50="да"</f>
        <v>1</v>
      </c>
      <c r="B257" s="8" t="b">
        <f t="array" ref="B257">A257</f>
        <v>1</v>
      </c>
      <c r="C257" s="2" t="s">
        <v>84</v>
      </c>
      <c r="D257" s="2" t="s">
        <v>85</v>
      </c>
      <c r="E257" s="2" t="s">
        <v>74</v>
      </c>
      <c r="F257" s="2" t="s">
        <v>75</v>
      </c>
      <c r="G257" s="2" t="s">
        <v>364</v>
      </c>
      <c r="H257" s="2" t="s">
        <v>74</v>
      </c>
      <c r="I257" s="2" t="s">
        <v>74</v>
      </c>
      <c r="J257" s="2" t="s">
        <v>74</v>
      </c>
      <c r="K257" s="5" t="s">
        <v>74</v>
      </c>
      <c r="L257" s="2" t="s">
        <v>365</v>
      </c>
      <c r="M257" s="8" t="str">
        <f t="array" ref="M257">Y107</f>
        <v>1ВО::1.1</v>
      </c>
      <c r="Y257" s="2">
        <f>COUNT($Y242:Y256)+1</f>
        <v>4</v>
      </c>
      <c r="AA257" s="107" t="str">
        <f>AA$241&amp;"."&amp;Y257</f>
        <v>3.1.2.4</v>
      </c>
      <c r="AB257" s="171" t="s">
        <v>366</v>
      </c>
      <c r="AC257" s="197" t="s">
        <v>114</v>
      </c>
      <c r="AD257" s="195"/>
      <c r="AE257" s="195"/>
      <c r="AF257" s="195"/>
      <c r="AG257" s="202"/>
      <c r="AH257" s="202"/>
      <c r="AI257" s="195">
        <f t="array" ref="AI257">AF257</f>
        <v>0</v>
      </c>
      <c r="AJ257" s="202"/>
      <c r="AK257" s="202"/>
      <c r="AL257" s="202"/>
      <c r="AM257" s="202"/>
      <c r="AN257" s="203">
        <f>[1]Адм.расходы!BT197*1</f>
        <v>0</v>
      </c>
      <c r="AO257" s="195"/>
      <c r="AP257" s="202"/>
      <c r="AQ257" s="202"/>
      <c r="AR257" s="195">
        <f t="array" ref="AR257">AO257</f>
        <v>0</v>
      </c>
      <c r="AS257" s="202"/>
      <c r="AT257" s="202"/>
      <c r="AU257" s="203">
        <f>[1]Адм.расходы!BY197*1</f>
        <v>0</v>
      </c>
      <c r="AV257" s="195"/>
      <c r="AW257" s="202"/>
      <c r="AX257" s="202"/>
      <c r="AY257" s="195">
        <f t="array" ref="AY257">AV257</f>
        <v>0</v>
      </c>
      <c r="AZ257" s="202"/>
      <c r="BA257" s="202"/>
      <c r="BB257" s="202"/>
      <c r="BC257" s="202"/>
      <c r="BD257" s="203">
        <f>[1]Адм.расходы!CC197*1</f>
        <v>0</v>
      </c>
      <c r="BE257" s="202"/>
      <c r="BF257" s="202"/>
      <c r="BG257" s="267">
        <f t="shared" si="64"/>
        <v>0</v>
      </c>
      <c r="BH257" s="267" t="e">
        <f>BD257-#REF!</f>
        <v>#REF!</v>
      </c>
      <c r="BI257" s="267">
        <f t="shared" si="65"/>
        <v>0</v>
      </c>
      <c r="BJ257" s="203">
        <f>[1]Адм.расходы!CD197*1</f>
        <v>0</v>
      </c>
      <c r="BK257" s="202"/>
      <c r="BL257" s="202"/>
      <c r="BM257" s="203">
        <f>[1]Адм.расходы!CE197*1</f>
        <v>0</v>
      </c>
      <c r="BN257" s="202"/>
      <c r="BO257" s="202"/>
      <c r="BP257" s="267">
        <f t="shared" si="66"/>
        <v>0</v>
      </c>
      <c r="BQ257" s="267">
        <f t="shared" si="67"/>
        <v>0</v>
      </c>
      <c r="BR257" s="203">
        <f>[1]Адм.расходы!CF197*1</f>
        <v>0</v>
      </c>
      <c r="BS257" s="202"/>
      <c r="BT257" s="202"/>
      <c r="BU257" s="203">
        <f>[1]Адм.расходы!CG197*1</f>
        <v>0</v>
      </c>
      <c r="BV257" s="202"/>
      <c r="BW257" s="202"/>
      <c r="BX257" s="267">
        <f t="shared" si="68"/>
        <v>0</v>
      </c>
      <c r="BY257" s="267">
        <f t="shared" si="69"/>
        <v>0</v>
      </c>
      <c r="BZ257" s="203">
        <f>[1]Адм.расходы!CH197*1</f>
        <v>0</v>
      </c>
      <c r="CA257" s="202"/>
      <c r="CB257" s="202"/>
      <c r="CC257" s="203">
        <f>[1]Адм.расходы!CI197*1</f>
        <v>0</v>
      </c>
      <c r="CD257" s="202"/>
      <c r="CE257" s="202"/>
      <c r="CF257" s="267">
        <f t="shared" si="70"/>
        <v>0</v>
      </c>
      <c r="CG257" s="267">
        <f t="shared" si="71"/>
        <v>0</v>
      </c>
      <c r="CH257" s="203">
        <f>[1]Адм.расходы!CJ197*1</f>
        <v>0</v>
      </c>
      <c r="CI257" s="202"/>
      <c r="CJ257" s="202"/>
      <c r="CK257" s="203">
        <f>[1]Адм.расходы!CK197*1</f>
        <v>0</v>
      </c>
      <c r="CL257" s="202"/>
      <c r="CM257" s="202"/>
      <c r="CN257" s="267">
        <f t="shared" si="72"/>
        <v>0</v>
      </c>
      <c r="CO257" s="267">
        <f t="shared" si="73"/>
        <v>0</v>
      </c>
      <c r="CP257" s="92"/>
      <c r="CQ257" s="90"/>
      <c r="CR257" s="90"/>
      <c r="CS257" s="90"/>
      <c r="CT257" s="227" t="e">
        <f t="shared" si="74"/>
        <v>#REF!</v>
      </c>
      <c r="CU257" s="227">
        <f t="array" ref="CU257">BD257</f>
        <v>0</v>
      </c>
      <c r="CV257" s="92"/>
      <c r="CW257" s="92"/>
      <c r="CX257" s="92"/>
      <c r="CY257" s="92"/>
      <c r="CZ257" s="92"/>
      <c r="DA257" s="92"/>
      <c r="DB257" s="92"/>
    </row>
    <row r="258" spans="1:107" ht="14.25" customHeight="1" outlineLevel="2" x14ac:dyDescent="0.25">
      <c r="C258" s="2" t="s">
        <v>84</v>
      </c>
      <c r="D258" s="2" t="s">
        <v>85</v>
      </c>
      <c r="E258" s="2" t="s">
        <v>74</v>
      </c>
      <c r="F258" s="2" t="s">
        <v>75</v>
      </c>
      <c r="G258" s="2" t="s">
        <v>367</v>
      </c>
      <c r="H258" s="2" t="s">
        <v>74</v>
      </c>
      <c r="I258" s="2" t="s">
        <v>74</v>
      </c>
      <c r="J258" s="2" t="s">
        <v>74</v>
      </c>
      <c r="K258" s="5" t="s">
        <v>74</v>
      </c>
      <c r="L258" s="2" t="s">
        <v>136</v>
      </c>
      <c r="M258" s="8" t="str">
        <f t="array" ref="M258">Y107</f>
        <v>1ВО::1.1</v>
      </c>
      <c r="AA258" s="194" t="str">
        <f>AA157&amp;".3"</f>
        <v>3.1.3</v>
      </c>
      <c r="AB258" s="193" t="s">
        <v>368</v>
      </c>
      <c r="AC258" s="194" t="s">
        <v>114</v>
      </c>
      <c r="AD258" s="136">
        <v>93274.111453200007</v>
      </c>
      <c r="AE258" s="136">
        <v>71694.944128919102</v>
      </c>
      <c r="AF258" s="173">
        <v>122792.15781543101</v>
      </c>
      <c r="AG258" s="202"/>
      <c r="AH258" s="202"/>
      <c r="AI258" s="173">
        <f>AI259+AI272+AI273+AI283+AI290+AI291+AI292+AI293+AI294+AI297+AI298+AI299+AI300+AI301</f>
        <v>122792.15781543101</v>
      </c>
      <c r="AJ258" s="202"/>
      <c r="AK258" s="202"/>
      <c r="AL258" s="202"/>
      <c r="AM258" s="202"/>
      <c r="AN258" s="173" t="e">
        <f>AN259+AN272+AN273+AN283+AN290+AN291+AN292+AN293+AN294+AN297+AN298+AN299+AN300+AN301</f>
        <v>#REF!</v>
      </c>
      <c r="AO258" s="173">
        <v>138796.90221560618</v>
      </c>
      <c r="AP258" s="202"/>
      <c r="AQ258" s="202"/>
      <c r="AR258" s="173">
        <f>AR259+AR272+AR273+AR283+AR290+AR291+AR292+AR293+AR294+AR297+AR298+AR299+AR300+AR301</f>
        <v>138796.90221560618</v>
      </c>
      <c r="AS258" s="202"/>
      <c r="AT258" s="202"/>
      <c r="AU258" s="173" t="e">
        <f>AU259+AU272+AU273+AU283+AU290+AU291+AU292+AU293+AU294+AU297+AU298+AU299+AU300+AU301</f>
        <v>#REF!</v>
      </c>
      <c r="AV258" s="173">
        <v>139643.95097699718</v>
      </c>
      <c r="AW258" s="202"/>
      <c r="AX258" s="202"/>
      <c r="AY258" s="173">
        <f>AY259+AY272+AY273+AY283+AY290+AY291+AY292+AY293+AY294+AY297+AY298+AY299+AY300+AY301</f>
        <v>139643.95097699718</v>
      </c>
      <c r="AZ258" s="202"/>
      <c r="BA258" s="202"/>
      <c r="BB258" s="202"/>
      <c r="BC258" s="202"/>
      <c r="BD258" s="173">
        <f>BD259+BD272+BD273+BD283+BD290+BD291+BD292+BD293+BD294+BD297+BD298+BD299+BD300+BD301</f>
        <v>2.5</v>
      </c>
      <c r="BE258" s="202"/>
      <c r="BF258" s="202"/>
      <c r="BG258" s="267">
        <f t="shared" si="64"/>
        <v>1.8011929373729946E-3</v>
      </c>
      <c r="BH258" s="267" t="e">
        <f>BD258-#REF!</f>
        <v>#REF!</v>
      </c>
      <c r="BI258" s="267">
        <f t="shared" si="65"/>
        <v>-139641.45097699718</v>
      </c>
      <c r="BJ258" s="173">
        <f>BJ259+BJ272+BJ273+BJ283+BJ290+BJ291+BJ292+BJ293+BJ294+BJ297+BJ298+BJ299+BJ300+BJ301</f>
        <v>27954.912789849648</v>
      </c>
      <c r="BK258" s="202"/>
      <c r="BL258" s="202"/>
      <c r="BM258" s="173">
        <f>BM259+BM272+BM273+BM283+BM290+BM291+BM292+BM293+BM294+BM297+BM298+BM299+BM300+BM301</f>
        <v>2.5</v>
      </c>
      <c r="BN258" s="202"/>
      <c r="BO258" s="202"/>
      <c r="BP258" s="267">
        <f t="shared" si="66"/>
        <v>100</v>
      </c>
      <c r="BQ258" s="267">
        <f t="shared" si="67"/>
        <v>-27952.412789849648</v>
      </c>
      <c r="BR258" s="173">
        <f>BR259+BR272+BR273+BR283+BR290+BR291+BR292+BR293+BR294+BR297+BR298+BR299+BR300+BR301</f>
        <v>26303.288029715575</v>
      </c>
      <c r="BS258" s="202"/>
      <c r="BT258" s="202"/>
      <c r="BU258" s="173">
        <f>BU259+BU272+BU273+BU283+BU290+BU291+BU292+BU293+BU294+BU297+BU298+BU299+BU300+BU301</f>
        <v>2.5</v>
      </c>
      <c r="BV258" s="202"/>
      <c r="BW258" s="202"/>
      <c r="BX258" s="267">
        <f t="shared" si="68"/>
        <v>100</v>
      </c>
      <c r="BY258" s="267">
        <f t="shared" si="69"/>
        <v>-26300.788029715575</v>
      </c>
      <c r="BZ258" s="173">
        <f>BZ259+BZ272+BZ273+BZ283+BZ290+BZ291+BZ292+BZ293+BZ294+BZ297+BZ298+BZ299+BZ300+BZ301</f>
        <v>24651.813303350937</v>
      </c>
      <c r="CA258" s="202"/>
      <c r="CB258" s="202"/>
      <c r="CC258" s="173">
        <f>CC259+CC272+CC273+CC283+CC290+CC291+CC292+CC293+CC294+CC297+CC298+CC299+CC300+CC301</f>
        <v>2.5</v>
      </c>
      <c r="CD258" s="202"/>
      <c r="CE258" s="202"/>
      <c r="CF258" s="267">
        <f t="shared" si="70"/>
        <v>100</v>
      </c>
      <c r="CG258" s="267">
        <f t="shared" si="71"/>
        <v>-24649.313303350937</v>
      </c>
      <c r="CH258" s="173">
        <f>CH259+CH272+CH273+CH283+CH290+CH291+CH292+CH293+CH294+CH297+CH298+CH299+CH300+CH301</f>
        <v>23000.338576986298</v>
      </c>
      <c r="CI258" s="202"/>
      <c r="CJ258" s="202"/>
      <c r="CK258" s="173">
        <f>CK259+CK272+CK273+CK283+CK290+CK291+CK292+CK293+CK294+CK297+CK298+CK299+CK300+CK301</f>
        <v>2.5</v>
      </c>
      <c r="CL258" s="202"/>
      <c r="CM258" s="202"/>
      <c r="CN258" s="267">
        <f t="shared" si="72"/>
        <v>100</v>
      </c>
      <c r="CO258" s="267">
        <f t="shared" si="73"/>
        <v>-22997.838576986298</v>
      </c>
      <c r="CP258" s="92"/>
      <c r="CQ258" s="85"/>
      <c r="CR258" s="85"/>
      <c r="CS258" s="85"/>
      <c r="CT258" s="99" t="e">
        <f t="shared" si="74"/>
        <v>#REF!</v>
      </c>
      <c r="CU258" s="100">
        <f>CU259+CU272+CU273+CU283+CU290+CU291+CU292+CU293+CU294+CU297+CU298+CU299+CU300+CU301</f>
        <v>2.5</v>
      </c>
      <c r="CV258" s="101"/>
      <c r="CW258" s="101"/>
      <c r="CX258" s="101"/>
      <c r="CY258" s="101"/>
      <c r="CZ258" s="101"/>
      <c r="DA258" s="101"/>
      <c r="DB258" s="101"/>
    </row>
    <row r="259" spans="1:107" ht="24.75" customHeight="1" outlineLevel="3" x14ac:dyDescent="0.25">
      <c r="C259" s="2" t="s">
        <v>84</v>
      </c>
      <c r="D259" s="2" t="s">
        <v>85</v>
      </c>
      <c r="E259" s="2" t="s">
        <v>74</v>
      </c>
      <c r="F259" s="2" t="s">
        <v>75</v>
      </c>
      <c r="G259" s="2" t="s">
        <v>369</v>
      </c>
      <c r="H259" s="2" t="s">
        <v>74</v>
      </c>
      <c r="I259" s="2" t="s">
        <v>74</v>
      </c>
      <c r="J259" s="2" t="s">
        <v>74</v>
      </c>
      <c r="K259" s="5" t="s">
        <v>74</v>
      </c>
      <c r="L259" s="2" t="s">
        <v>370</v>
      </c>
      <c r="M259" s="8" t="str">
        <f t="array" ref="M259">Y107</f>
        <v>1ВО::1.1</v>
      </c>
      <c r="AA259" s="107" t="str">
        <f>AA258&amp;".1"</f>
        <v>3.1.3.1</v>
      </c>
      <c r="AB259" s="196" t="s">
        <v>371</v>
      </c>
      <c r="AC259" s="197" t="s">
        <v>114</v>
      </c>
      <c r="AD259" s="173">
        <v>10294.1314532</v>
      </c>
      <c r="AE259" s="173">
        <v>9944.5568463211002</v>
      </c>
      <c r="AF259" s="173">
        <v>11100.398415431</v>
      </c>
      <c r="AG259" s="174"/>
      <c r="AH259" s="174"/>
      <c r="AI259" s="173">
        <f>AI260+AI261+AI262+AI263+AI264+AI265+AI266+AI267+AI268+AI269+AI270+AI271</f>
        <v>11100.398415431</v>
      </c>
      <c r="AJ259" s="174"/>
      <c r="AK259" s="174"/>
      <c r="AL259" s="174"/>
      <c r="AM259" s="174"/>
      <c r="AN259" s="173">
        <f>AN260+AN261+AN262+AN263+AN264+AN265+AN266+AN267+AN268+AN269+AN270+AN271</f>
        <v>7519.5802196000004</v>
      </c>
      <c r="AO259" s="173">
        <v>10637.461987712601</v>
      </c>
      <c r="AP259" s="174"/>
      <c r="AQ259" s="174"/>
      <c r="AR259" s="173">
        <f>AR260+AR261+AR262+AR263+AR264+AR265+AR266+AR267+AR268+AR269+AR270+AR271</f>
        <v>10637.461987712601</v>
      </c>
      <c r="AS259" s="174"/>
      <c r="AT259" s="174"/>
      <c r="AU259" s="173">
        <f>AU260+AU261+AU262+AU263+AU264+AU265+AU266+AU267+AU268+AU269+AU270+AU271</f>
        <v>0</v>
      </c>
      <c r="AV259" s="173">
        <v>11439.191855212101</v>
      </c>
      <c r="AW259" s="174"/>
      <c r="AX259" s="174"/>
      <c r="AY259" s="173">
        <f>AY260+AY261+AY262+AY263+AY264+AY265+AY266+AY267+AY268+AY269+AY270+AY271</f>
        <v>11439.191855212101</v>
      </c>
      <c r="AZ259" s="174"/>
      <c r="BA259" s="174"/>
      <c r="BB259" s="174"/>
      <c r="BC259" s="174"/>
      <c r="BD259" s="173">
        <f>BD260+BD261+BD262+BD263+BD264+BD265+BD266+BD267+BD268+BD269+BD270+BD271</f>
        <v>0</v>
      </c>
      <c r="BE259" s="174"/>
      <c r="BF259" s="174"/>
      <c r="BG259" s="267">
        <f t="shared" si="64"/>
        <v>0</v>
      </c>
      <c r="BH259" s="267" t="e">
        <f>BD259-#REF!</f>
        <v>#REF!</v>
      </c>
      <c r="BI259" s="267">
        <f t="shared" si="65"/>
        <v>-11439.191855212101</v>
      </c>
      <c r="BJ259" s="173">
        <f>BJ260+BJ261+BJ262+BJ263+BJ264+BJ265+BJ266+BJ267+BJ268+BJ269+BJ270+BJ271</f>
        <v>0</v>
      </c>
      <c r="BK259" s="174"/>
      <c r="BL259" s="174"/>
      <c r="BM259" s="173">
        <f>BM260+BM261+BM262+BM263+BM264+BM265+BM266+BM267+BM268+BM269+BM270+BM271</f>
        <v>0</v>
      </c>
      <c r="BN259" s="174"/>
      <c r="BO259" s="174"/>
      <c r="BP259" s="267">
        <f t="shared" si="66"/>
        <v>0</v>
      </c>
      <c r="BQ259" s="267">
        <f t="shared" si="67"/>
        <v>0</v>
      </c>
      <c r="BR259" s="173">
        <f>BR260+BR261+BR262+BR263+BR264+BR265+BR266+BR267+BR268+BR269+BR270+BR271</f>
        <v>0</v>
      </c>
      <c r="BS259" s="174"/>
      <c r="BT259" s="174"/>
      <c r="BU259" s="173">
        <f>BU260+BU261+BU262+BU263+BU264+BU265+BU266+BU267+BU268+BU269+BU270+BU271</f>
        <v>0</v>
      </c>
      <c r="BV259" s="174"/>
      <c r="BW259" s="174"/>
      <c r="BX259" s="267">
        <f t="shared" si="68"/>
        <v>0</v>
      </c>
      <c r="BY259" s="267">
        <f t="shared" si="69"/>
        <v>0</v>
      </c>
      <c r="BZ259" s="173">
        <f>BZ260+BZ261+BZ262+BZ263+BZ264+BZ265+BZ266+BZ267+BZ268+BZ269+BZ270+BZ271</f>
        <v>0</v>
      </c>
      <c r="CA259" s="174"/>
      <c r="CB259" s="174"/>
      <c r="CC259" s="173">
        <f>CC260+CC261+CC262+CC263+CC264+CC265+CC266+CC267+CC268+CC269+CC270+CC271</f>
        <v>0</v>
      </c>
      <c r="CD259" s="174"/>
      <c r="CE259" s="174"/>
      <c r="CF259" s="267">
        <f t="shared" si="70"/>
        <v>0</v>
      </c>
      <c r="CG259" s="267">
        <f t="shared" si="71"/>
        <v>0</v>
      </c>
      <c r="CH259" s="173">
        <f>CH260+CH261+CH262+CH263+CH264+CH265+CH266+CH267+CH268+CH269+CH270+CH271</f>
        <v>0</v>
      </c>
      <c r="CI259" s="174"/>
      <c r="CJ259" s="174"/>
      <c r="CK259" s="173">
        <f>CK260+CK261+CK262+CK263+CK264+CK265+CK266+CK267+CK268+CK269+CK270+CK271</f>
        <v>0</v>
      </c>
      <c r="CL259" s="174"/>
      <c r="CM259" s="174"/>
      <c r="CN259" s="267">
        <f t="shared" si="72"/>
        <v>0</v>
      </c>
      <c r="CO259" s="267">
        <f t="shared" si="73"/>
        <v>0</v>
      </c>
      <c r="CP259" s="92"/>
      <c r="CQ259" s="85"/>
      <c r="CR259" s="85"/>
      <c r="CS259" s="85"/>
      <c r="CT259" s="99" t="e">
        <f t="shared" si="74"/>
        <v>#REF!</v>
      </c>
      <c r="CU259" s="100">
        <f>CU260+CU261+CU262+CU263+CU264+CU265+CU266+CU267+CU268+CU269+CU270+CU271</f>
        <v>0</v>
      </c>
      <c r="CV259" s="101"/>
      <c r="CW259" s="101"/>
      <c r="CX259" s="101"/>
      <c r="CY259" s="101"/>
      <c r="CZ259" s="101"/>
      <c r="DA259" s="101"/>
      <c r="DB259" s="101"/>
    </row>
    <row r="260" spans="1:107" ht="14.25" customHeight="1" outlineLevel="4" x14ac:dyDescent="0.25">
      <c r="C260" s="2" t="s">
        <v>84</v>
      </c>
      <c r="D260" s="2" t="s">
        <v>85</v>
      </c>
      <c r="E260" s="2" t="s">
        <v>74</v>
      </c>
      <c r="F260" s="2" t="s">
        <v>75</v>
      </c>
      <c r="G260" s="2" t="s">
        <v>372</v>
      </c>
      <c r="H260" s="2" t="s">
        <v>74</v>
      </c>
      <c r="I260" s="2" t="s">
        <v>74</v>
      </c>
      <c r="J260" s="2" t="s">
        <v>74</v>
      </c>
      <c r="K260" s="5" t="s">
        <v>74</v>
      </c>
      <c r="L260" s="2" t="s">
        <v>370</v>
      </c>
      <c r="M260" s="8" t="str">
        <f t="array" ref="M260">Y107</f>
        <v>1ВО::1.1</v>
      </c>
      <c r="Y260" s="2">
        <v>1</v>
      </c>
      <c r="AA260" s="107" t="str">
        <f>AA$259&amp;"."&amp;Y260</f>
        <v>3.1.3.1.1</v>
      </c>
      <c r="AB260" s="233" t="s">
        <v>373</v>
      </c>
      <c r="AC260" s="197" t="s">
        <v>114</v>
      </c>
      <c r="AD260" s="136">
        <v>2634.4514531999998</v>
      </c>
      <c r="AE260" s="136">
        <v>2534.9497892321001</v>
      </c>
      <c r="AF260" s="195">
        <v>3084.59</v>
      </c>
      <c r="AG260" s="202"/>
      <c r="AH260" s="202"/>
      <c r="AI260" s="136">
        <v>3084.59</v>
      </c>
      <c r="AJ260" s="202"/>
      <c r="AK260" s="202"/>
      <c r="AL260" s="202"/>
      <c r="AM260" s="202"/>
      <c r="AN260" s="203">
        <f t="array" ref="AN260">[1]ТЭ!AH92</f>
        <v>2158.5700000000002</v>
      </c>
      <c r="AO260" s="195">
        <v>2195.1764765600001</v>
      </c>
      <c r="AP260" s="202"/>
      <c r="AQ260" s="202"/>
      <c r="AR260" s="136">
        <v>2195.1764765600001</v>
      </c>
      <c r="AS260" s="202"/>
      <c r="AT260" s="202"/>
      <c r="AU260" s="203">
        <f t="array" ref="AU260">[1]ТЭ!AM92</f>
        <v>0</v>
      </c>
      <c r="AV260" s="195">
        <v>2328.9419434755</v>
      </c>
      <c r="AW260" s="202"/>
      <c r="AX260" s="202"/>
      <c r="AY260" s="136">
        <v>2328.9419434755</v>
      </c>
      <c r="AZ260" s="202"/>
      <c r="BA260" s="202"/>
      <c r="BB260" s="202"/>
      <c r="BC260" s="202"/>
      <c r="BD260" s="203">
        <f t="array" ref="BD260">[1]ТЭ!AV92</f>
        <v>0</v>
      </c>
      <c r="BE260" s="202"/>
      <c r="BF260" s="202"/>
      <c r="BG260" s="267">
        <f t="shared" si="64"/>
        <v>0</v>
      </c>
      <c r="BH260" s="267" t="e">
        <f>BD260-#REF!</f>
        <v>#REF!</v>
      </c>
      <c r="BI260" s="267">
        <f t="shared" si="65"/>
        <v>-2328.9419434755</v>
      </c>
      <c r="BJ260" s="203">
        <f t="array" ref="BJ260">[1]ТЭ!AQ92</f>
        <v>0</v>
      </c>
      <c r="BK260" s="202"/>
      <c r="BL260" s="202"/>
      <c r="BM260" s="203">
        <f t="array" ref="BM260">[1]ТЭ!AW92</f>
        <v>0</v>
      </c>
      <c r="BN260" s="202"/>
      <c r="BO260" s="202"/>
      <c r="BP260" s="267">
        <f t="shared" si="66"/>
        <v>0</v>
      </c>
      <c r="BQ260" s="267">
        <f t="shared" si="67"/>
        <v>0</v>
      </c>
      <c r="BR260" s="203">
        <f t="array" ref="BR260">[1]ТЭ!AR92</f>
        <v>0</v>
      </c>
      <c r="BS260" s="202"/>
      <c r="BT260" s="202"/>
      <c r="BU260" s="203">
        <f t="array" ref="BU260">[1]ТЭ!AX92</f>
        <v>0</v>
      </c>
      <c r="BV260" s="202"/>
      <c r="BW260" s="202"/>
      <c r="BX260" s="267">
        <f t="shared" si="68"/>
        <v>0</v>
      </c>
      <c r="BY260" s="267">
        <f t="shared" si="69"/>
        <v>0</v>
      </c>
      <c r="BZ260" s="203">
        <f t="array" ref="BZ260">[1]ТЭ!AS92</f>
        <v>0</v>
      </c>
      <c r="CA260" s="202"/>
      <c r="CB260" s="202"/>
      <c r="CC260" s="203">
        <f t="array" ref="CC260">[1]ТЭ!AY92</f>
        <v>0</v>
      </c>
      <c r="CD260" s="202"/>
      <c r="CE260" s="202"/>
      <c r="CF260" s="267">
        <f t="shared" si="70"/>
        <v>0</v>
      </c>
      <c r="CG260" s="267">
        <f t="shared" si="71"/>
        <v>0</v>
      </c>
      <c r="CH260" s="203">
        <f t="array" ref="CH260">[1]ТЭ!AT92</f>
        <v>0</v>
      </c>
      <c r="CI260" s="202"/>
      <c r="CJ260" s="202"/>
      <c r="CK260" s="203">
        <f t="array" ref="CK260">[1]ТЭ!AZ92</f>
        <v>0</v>
      </c>
      <c r="CL260" s="202"/>
      <c r="CM260" s="202"/>
      <c r="CN260" s="267">
        <f t="shared" si="72"/>
        <v>0</v>
      </c>
      <c r="CO260" s="267">
        <f t="shared" si="73"/>
        <v>0</v>
      </c>
      <c r="CP260" s="92"/>
      <c r="CQ260" s="85"/>
      <c r="CR260" s="85"/>
      <c r="CS260" s="85"/>
      <c r="CT260" s="99" t="e">
        <f t="shared" si="74"/>
        <v>#REF!</v>
      </c>
      <c r="CU260" s="99">
        <f t="array" ref="CU260">BD260</f>
        <v>0</v>
      </c>
      <c r="CV260" s="101"/>
      <c r="CW260" s="101"/>
      <c r="CX260" s="101"/>
      <c r="CY260" s="101"/>
      <c r="CZ260" s="101"/>
      <c r="DA260" s="101"/>
      <c r="DB260" s="101"/>
    </row>
    <row r="261" spans="1:107" ht="14.25" customHeight="1" outlineLevel="4" x14ac:dyDescent="0.25">
      <c r="C261" s="2" t="s">
        <v>84</v>
      </c>
      <c r="D261" s="2" t="s">
        <v>85</v>
      </c>
      <c r="E261" s="2" t="s">
        <v>74</v>
      </c>
      <c r="F261" s="2" t="s">
        <v>75</v>
      </c>
      <c r="G261" s="2" t="s">
        <v>374</v>
      </c>
      <c r="H261" s="2" t="s">
        <v>74</v>
      </c>
      <c r="I261" s="2" t="s">
        <v>74</v>
      </c>
      <c r="J261" s="2" t="s">
        <v>74</v>
      </c>
      <c r="K261" s="5" t="s">
        <v>74</v>
      </c>
      <c r="L261" s="2" t="s">
        <v>370</v>
      </c>
      <c r="M261" s="8" t="str">
        <f t="array" ref="M261">Y107</f>
        <v>1ВО::1.1</v>
      </c>
      <c r="Y261" s="2">
        <f>COUNT($Y259:Y260)+1</f>
        <v>2</v>
      </c>
      <c r="AA261" s="107" t="str">
        <f>AA$259&amp;"."&amp;Y261</f>
        <v>3.1.3.1.2</v>
      </c>
      <c r="AB261" s="233" t="s">
        <v>374</v>
      </c>
      <c r="AC261" s="197" t="s">
        <v>114</v>
      </c>
      <c r="AD261" s="136"/>
      <c r="AE261" s="136"/>
      <c r="AF261" s="195">
        <v>0</v>
      </c>
      <c r="AG261" s="202"/>
      <c r="AH261" s="202"/>
      <c r="AI261" s="136">
        <f>SUMIF([1]ТН!$Z101:$Z102,"×",[1]ТН!AF101:AF102)</f>
        <v>0</v>
      </c>
      <c r="AJ261" s="202"/>
      <c r="AK261" s="202"/>
      <c r="AL261" s="202"/>
      <c r="AM261" s="202"/>
      <c r="AN261" s="203">
        <f t="array" ref="AN261">[1]ТН!AH92</f>
        <v>0</v>
      </c>
      <c r="AO261" s="195">
        <v>0</v>
      </c>
      <c r="AP261" s="202"/>
      <c r="AQ261" s="202"/>
      <c r="AR261" s="136">
        <f>SUMIF([1]ТН!$Z101:$Z102,"×",[1]ТН!AJ101:AJ102)</f>
        <v>0</v>
      </c>
      <c r="AS261" s="202"/>
      <c r="AT261" s="202"/>
      <c r="AU261" s="203">
        <f t="array" ref="AU261">[1]ТН!AM92</f>
        <v>0</v>
      </c>
      <c r="AV261" s="195">
        <v>0</v>
      </c>
      <c r="AW261" s="202"/>
      <c r="AX261" s="202"/>
      <c r="AY261" s="136">
        <f>SUMIF([1]ТН!$Z101:$Z102,"×",[1]ТН!AO101:AO102)</f>
        <v>0</v>
      </c>
      <c r="AZ261" s="202"/>
      <c r="BA261" s="202"/>
      <c r="BB261" s="202"/>
      <c r="BC261" s="202"/>
      <c r="BD261" s="203">
        <f t="array" ref="BD261">[1]ТН!AV92</f>
        <v>0</v>
      </c>
      <c r="BE261" s="202"/>
      <c r="BF261" s="202"/>
      <c r="BG261" s="267">
        <f t="shared" si="64"/>
        <v>0</v>
      </c>
      <c r="BH261" s="267" t="e">
        <f>BD261-#REF!</f>
        <v>#REF!</v>
      </c>
      <c r="BI261" s="267">
        <f t="shared" si="65"/>
        <v>0</v>
      </c>
      <c r="BJ261" s="203">
        <f t="array" ref="BJ261">[1]ТН!AQ92</f>
        <v>0</v>
      </c>
      <c r="BK261" s="202"/>
      <c r="BL261" s="202"/>
      <c r="BM261" s="203">
        <f t="array" ref="BM261">[1]ТН!AW92</f>
        <v>0</v>
      </c>
      <c r="BN261" s="202"/>
      <c r="BO261" s="202"/>
      <c r="BP261" s="267">
        <f t="shared" si="66"/>
        <v>0</v>
      </c>
      <c r="BQ261" s="267">
        <f t="shared" si="67"/>
        <v>0</v>
      </c>
      <c r="BR261" s="203">
        <f t="array" ref="BR261">[1]ТН!AR92</f>
        <v>0</v>
      </c>
      <c r="BS261" s="202"/>
      <c r="BT261" s="202"/>
      <c r="BU261" s="203">
        <f t="array" ref="BU261">[1]ТН!AX92</f>
        <v>0</v>
      </c>
      <c r="BV261" s="202"/>
      <c r="BW261" s="202"/>
      <c r="BX261" s="267">
        <f t="shared" si="68"/>
        <v>0</v>
      </c>
      <c r="BY261" s="267">
        <f t="shared" si="69"/>
        <v>0</v>
      </c>
      <c r="BZ261" s="203">
        <f t="array" ref="BZ261">[1]ТН!AS92</f>
        <v>0</v>
      </c>
      <c r="CA261" s="202"/>
      <c r="CB261" s="202"/>
      <c r="CC261" s="203">
        <f t="array" ref="CC261">[1]ТН!AY92</f>
        <v>0</v>
      </c>
      <c r="CD261" s="202"/>
      <c r="CE261" s="202"/>
      <c r="CF261" s="267">
        <f t="shared" si="70"/>
        <v>0</v>
      </c>
      <c r="CG261" s="267">
        <f t="shared" si="71"/>
        <v>0</v>
      </c>
      <c r="CH261" s="203">
        <f t="array" ref="CH261">[1]ТН!AT92</f>
        <v>0</v>
      </c>
      <c r="CI261" s="202"/>
      <c r="CJ261" s="202"/>
      <c r="CK261" s="203">
        <f t="array" ref="CK261">[1]ТН!AZ92</f>
        <v>0</v>
      </c>
      <c r="CL261" s="202"/>
      <c r="CM261" s="202"/>
      <c r="CN261" s="267">
        <f t="shared" si="72"/>
        <v>0</v>
      </c>
      <c r="CO261" s="267">
        <f t="shared" si="73"/>
        <v>0</v>
      </c>
      <c r="CP261" s="92"/>
      <c r="CQ261" s="85"/>
      <c r="CR261" s="85"/>
      <c r="CS261" s="85"/>
      <c r="CT261" s="99" t="e">
        <f t="shared" si="74"/>
        <v>#REF!</v>
      </c>
      <c r="CU261" s="99">
        <f t="array" ref="CU261">BD261</f>
        <v>0</v>
      </c>
      <c r="CV261" s="101"/>
      <c r="CW261" s="101"/>
      <c r="CX261" s="101"/>
      <c r="CY261" s="101"/>
      <c r="CZ261" s="101"/>
      <c r="DA261" s="101"/>
      <c r="DB261" s="101"/>
    </row>
    <row r="262" spans="1:107" ht="14.25" customHeight="1" outlineLevel="4" x14ac:dyDescent="0.25">
      <c r="C262" s="2" t="s">
        <v>84</v>
      </c>
      <c r="D262" s="2" t="s">
        <v>85</v>
      </c>
      <c r="E262" s="2" t="s">
        <v>74</v>
      </c>
      <c r="F262" s="2" t="s">
        <v>75</v>
      </c>
      <c r="G262" s="2" t="s">
        <v>375</v>
      </c>
      <c r="H262" s="2" t="s">
        <v>74</v>
      </c>
      <c r="I262" s="2" t="s">
        <v>74</v>
      </c>
      <c r="J262" s="2" t="s">
        <v>74</v>
      </c>
      <c r="K262" s="5" t="s">
        <v>74</v>
      </c>
      <c r="L262" s="2" t="s">
        <v>370</v>
      </c>
      <c r="M262" s="8" t="str">
        <f t="array" ref="M262">Y107</f>
        <v>1ВО::1.1</v>
      </c>
      <c r="Y262" s="2">
        <f>COUNT($Y259:Y261)+1</f>
        <v>3</v>
      </c>
      <c r="AA262" s="107" t="str">
        <f>AA$259&amp;"."&amp;Y262</f>
        <v>3.1.3.1.3</v>
      </c>
      <c r="AB262" s="233" t="s">
        <v>375</v>
      </c>
      <c r="AC262" s="197" t="s">
        <v>114</v>
      </c>
      <c r="AD262" s="136">
        <v>6383.1</v>
      </c>
      <c r="AE262" s="136">
        <v>7379.4464231250004</v>
      </c>
      <c r="AF262" s="195">
        <v>7684.1260154310003</v>
      </c>
      <c r="AG262" s="202"/>
      <c r="AH262" s="202"/>
      <c r="AI262" s="136">
        <v>7684.1260154310003</v>
      </c>
      <c r="AJ262" s="202"/>
      <c r="AK262" s="202"/>
      <c r="AL262" s="202"/>
      <c r="AM262" s="202"/>
      <c r="AN262" s="203">
        <f t="array" ref="AN262">[1]Топливо!AH95</f>
        <v>4439.4582196000001</v>
      </c>
      <c r="AO262" s="195">
        <v>7518.9574023647001</v>
      </c>
      <c r="AP262" s="202"/>
      <c r="AQ262" s="202"/>
      <c r="AR262" s="136">
        <v>7518.9574023647001</v>
      </c>
      <c r="AS262" s="202"/>
      <c r="AT262" s="202"/>
      <c r="AU262" s="203">
        <f t="array" ref="AU262">[1]Топливо!AM95</f>
        <v>0</v>
      </c>
      <c r="AV262" s="195">
        <v>8135.5119093586</v>
      </c>
      <c r="AW262" s="202"/>
      <c r="AX262" s="202"/>
      <c r="AY262" s="136">
        <v>8135.5119093586</v>
      </c>
      <c r="AZ262" s="202"/>
      <c r="BA262" s="202"/>
      <c r="BB262" s="202"/>
      <c r="BC262" s="202"/>
      <c r="BD262" s="203">
        <f t="array" ref="BD262">[1]Топливо!AV95</f>
        <v>0</v>
      </c>
      <c r="BE262" s="202"/>
      <c r="BF262" s="202"/>
      <c r="BG262" s="267">
        <f t="shared" si="64"/>
        <v>0</v>
      </c>
      <c r="BH262" s="267" t="e">
        <f>BD262-#REF!</f>
        <v>#REF!</v>
      </c>
      <c r="BI262" s="267">
        <f t="shared" si="65"/>
        <v>-8135.5119093586</v>
      </c>
      <c r="BJ262" s="203">
        <f t="array" ref="BJ262">[1]Топливо!AQ95</f>
        <v>0</v>
      </c>
      <c r="BK262" s="202"/>
      <c r="BL262" s="202"/>
      <c r="BM262" s="203">
        <f t="array" ref="BM262">[1]Топливо!AW95</f>
        <v>0</v>
      </c>
      <c r="BN262" s="202"/>
      <c r="BO262" s="202"/>
      <c r="BP262" s="267">
        <f t="shared" si="66"/>
        <v>0</v>
      </c>
      <c r="BQ262" s="267">
        <f t="shared" si="67"/>
        <v>0</v>
      </c>
      <c r="BR262" s="203">
        <f t="array" ref="BR262">[1]Топливо!AR95</f>
        <v>0</v>
      </c>
      <c r="BS262" s="202"/>
      <c r="BT262" s="202"/>
      <c r="BU262" s="203">
        <f t="array" ref="BU262">[1]Топливо!AX95</f>
        <v>0</v>
      </c>
      <c r="BV262" s="202"/>
      <c r="BW262" s="202"/>
      <c r="BX262" s="267">
        <f t="shared" si="68"/>
        <v>0</v>
      </c>
      <c r="BY262" s="267">
        <f t="shared" si="69"/>
        <v>0</v>
      </c>
      <c r="BZ262" s="203">
        <f t="array" ref="BZ262">[1]Топливо!AS95</f>
        <v>0</v>
      </c>
      <c r="CA262" s="202"/>
      <c r="CB262" s="202"/>
      <c r="CC262" s="203">
        <f t="array" ref="CC262">[1]Топливо!AY95</f>
        <v>0</v>
      </c>
      <c r="CD262" s="202"/>
      <c r="CE262" s="202"/>
      <c r="CF262" s="267">
        <f t="shared" si="70"/>
        <v>0</v>
      </c>
      <c r="CG262" s="267">
        <f t="shared" si="71"/>
        <v>0</v>
      </c>
      <c r="CH262" s="203">
        <f t="array" ref="CH262">[1]Топливо!AT95</f>
        <v>0</v>
      </c>
      <c r="CI262" s="202"/>
      <c r="CJ262" s="202"/>
      <c r="CK262" s="203">
        <f t="array" ref="CK262">[1]Топливо!AZ95</f>
        <v>0</v>
      </c>
      <c r="CL262" s="202"/>
      <c r="CM262" s="202"/>
      <c r="CN262" s="267">
        <f t="shared" si="72"/>
        <v>0</v>
      </c>
      <c r="CO262" s="267">
        <f t="shared" si="73"/>
        <v>0</v>
      </c>
      <c r="CP262" s="92"/>
      <c r="CQ262" s="85"/>
      <c r="CR262" s="85"/>
      <c r="CS262" s="85"/>
      <c r="CT262" s="99" t="e">
        <f t="shared" si="74"/>
        <v>#REF!</v>
      </c>
      <c r="CU262" s="99">
        <f t="array" ref="CU262">BD262</f>
        <v>0</v>
      </c>
      <c r="CV262" s="101"/>
      <c r="CW262" s="101"/>
      <c r="CX262" s="101"/>
      <c r="CY262" s="101"/>
      <c r="CZ262" s="101"/>
      <c r="DA262" s="101"/>
      <c r="DB262" s="101"/>
    </row>
    <row r="263" spans="1:107" ht="14.25" hidden="1" customHeight="1" outlineLevel="4" x14ac:dyDescent="0.25">
      <c r="A263" s="81" t="b">
        <f>OR($AC$52="да",$U107="Водоснабжение")</f>
        <v>0</v>
      </c>
      <c r="B263" s="8" t="b">
        <f t="array" ref="B263">A263</f>
        <v>0</v>
      </c>
      <c r="C263" s="2" t="s">
        <v>84</v>
      </c>
      <c r="D263" s="2" t="s">
        <v>85</v>
      </c>
      <c r="E263" s="2" t="s">
        <v>74</v>
      </c>
      <c r="F263" s="2" t="s">
        <v>75</v>
      </c>
      <c r="G263" s="2" t="s">
        <v>376</v>
      </c>
      <c r="H263" s="2" t="s">
        <v>74</v>
      </c>
      <c r="I263" s="2" t="s">
        <v>74</v>
      </c>
      <c r="J263" s="2" t="s">
        <v>74</v>
      </c>
      <c r="K263" s="5" t="s">
        <v>74</v>
      </c>
      <c r="L263" s="2" t="s">
        <v>370</v>
      </c>
      <c r="M263" s="8" t="str">
        <f t="array" ref="M263">Y107</f>
        <v>1ВО::1.1</v>
      </c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2">
        <f>COUNT($Y259:Y262)+1</f>
        <v>4</v>
      </c>
      <c r="Z263" s="15"/>
      <c r="AA263" s="167"/>
      <c r="AB263" s="234"/>
      <c r="AC263" s="211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12"/>
      <c r="AO263" s="202"/>
      <c r="AP263" s="202"/>
      <c r="AQ263" s="202"/>
      <c r="AR263" s="202"/>
      <c r="AS263" s="202"/>
      <c r="AT263" s="202"/>
      <c r="AU263" s="212"/>
      <c r="AV263" s="202"/>
      <c r="AW263" s="202"/>
      <c r="AX263" s="202"/>
      <c r="AY263" s="202"/>
      <c r="AZ263" s="202"/>
      <c r="BA263" s="202"/>
      <c r="BB263" s="202"/>
      <c r="BC263" s="202"/>
      <c r="BD263" s="212"/>
      <c r="BE263" s="202"/>
      <c r="BF263" s="202"/>
      <c r="BG263" s="275"/>
      <c r="BH263" s="275"/>
      <c r="BI263" s="275"/>
      <c r="BJ263" s="212"/>
      <c r="BK263" s="202"/>
      <c r="BL263" s="202"/>
      <c r="BM263" s="212"/>
      <c r="BN263" s="202"/>
      <c r="BO263" s="202"/>
      <c r="BP263" s="275"/>
      <c r="BQ263" s="275"/>
      <c r="BR263" s="212"/>
      <c r="BS263" s="202"/>
      <c r="BT263" s="202"/>
      <c r="BU263" s="212"/>
      <c r="BV263" s="202"/>
      <c r="BW263" s="202"/>
      <c r="BX263" s="275"/>
      <c r="BY263" s="275"/>
      <c r="BZ263" s="212"/>
      <c r="CA263" s="202"/>
      <c r="CB263" s="202"/>
      <c r="CC263" s="212"/>
      <c r="CD263" s="202"/>
      <c r="CE263" s="202"/>
      <c r="CF263" s="275"/>
      <c r="CG263" s="275"/>
      <c r="CH263" s="212"/>
      <c r="CI263" s="202"/>
      <c r="CJ263" s="202"/>
      <c r="CK263" s="212"/>
      <c r="CL263" s="202"/>
      <c r="CM263" s="202"/>
      <c r="CN263" s="275"/>
      <c r="CO263" s="275"/>
      <c r="CP263" s="68"/>
      <c r="CQ263" s="62"/>
      <c r="CR263" s="62"/>
      <c r="CS263" s="62"/>
      <c r="CT263" s="170"/>
      <c r="CU263" s="170"/>
      <c r="CV263" s="68"/>
      <c r="CW263" s="68"/>
      <c r="CX263" s="68"/>
      <c r="CY263" s="68"/>
      <c r="CZ263" s="68"/>
      <c r="DA263" s="68"/>
      <c r="DB263" s="68"/>
      <c r="DC263" s="15"/>
    </row>
    <row r="264" spans="1:107" ht="14.25" customHeight="1" outlineLevel="4" x14ac:dyDescent="0.25">
      <c r="C264" s="2" t="s">
        <v>84</v>
      </c>
      <c r="D264" s="2" t="s">
        <v>85</v>
      </c>
      <c r="E264" s="2" t="s">
        <v>74</v>
      </c>
      <c r="F264" s="2" t="s">
        <v>75</v>
      </c>
      <c r="G264" s="2" t="s">
        <v>378</v>
      </c>
      <c r="H264" s="2" t="s">
        <v>74</v>
      </c>
      <c r="I264" s="2" t="s">
        <v>74</v>
      </c>
      <c r="J264" s="2" t="s">
        <v>74</v>
      </c>
      <c r="K264" s="5" t="s">
        <v>74</v>
      </c>
      <c r="L264" s="2" t="s">
        <v>370</v>
      </c>
      <c r="M264" s="8" t="str">
        <f t="array" ref="M264">Y107</f>
        <v>1ВО::1.1</v>
      </c>
      <c r="Y264" s="2">
        <f>COUNT($Y259:Y263)+1</f>
        <v>5</v>
      </c>
      <c r="AA264" s="107" t="str">
        <f>AA$259&amp;"."&amp;Y264</f>
        <v>3.1.3.1.5</v>
      </c>
      <c r="AB264" s="233" t="s">
        <v>379</v>
      </c>
      <c r="AC264" s="197" t="s">
        <v>114</v>
      </c>
      <c r="AD264" s="136"/>
      <c r="AE264" s="136"/>
      <c r="AF264" s="195">
        <v>0</v>
      </c>
      <c r="AG264" s="202"/>
      <c r="AH264" s="202"/>
      <c r="AI264" s="136">
        <f>SUMIF('[1]Покупка воды'!$Z$102:$Z$103,"×",'[1]Покупка воды'!AF$102:AF$103)</f>
        <v>0</v>
      </c>
      <c r="AJ264" s="202"/>
      <c r="AK264" s="202"/>
      <c r="AL264" s="202"/>
      <c r="AM264" s="202"/>
      <c r="AN264" s="203">
        <f t="array" ref="AN264">'[1]Покупка воды'!AH93</f>
        <v>0</v>
      </c>
      <c r="AO264" s="195">
        <v>0</v>
      </c>
      <c r="AP264" s="202"/>
      <c r="AQ264" s="202"/>
      <c r="AR264" s="136">
        <f>SUMIF('[1]Покупка воды'!$Z$102:$Z$103,"×",'[1]Покупка воды'!AJ$102:AJ$103)</f>
        <v>0</v>
      </c>
      <c r="AS264" s="202"/>
      <c r="AT264" s="202"/>
      <c r="AU264" s="203">
        <f t="array" ref="AU264">'[1]Покупка воды'!AM93</f>
        <v>0</v>
      </c>
      <c r="AV264" s="195">
        <v>0</v>
      </c>
      <c r="AW264" s="202"/>
      <c r="AX264" s="202"/>
      <c r="AY264" s="136">
        <f>SUMIF('[1]Покупка воды'!$Z$102:$Z$103,"×",'[1]Покупка воды'!AO$102:AO$103)</f>
        <v>0</v>
      </c>
      <c r="AZ264" s="202"/>
      <c r="BA264" s="202"/>
      <c r="BB264" s="202"/>
      <c r="BC264" s="202"/>
      <c r="BD264" s="203">
        <f t="array" ref="BD264">'[1]Покупка воды'!AV93</f>
        <v>0</v>
      </c>
      <c r="BE264" s="202"/>
      <c r="BF264" s="202"/>
      <c r="BG264" s="267">
        <f>IF(AR264=0,0,BD264/AR264)*100</f>
        <v>0</v>
      </c>
      <c r="BH264" s="267" t="e">
        <f>BD264-#REF!</f>
        <v>#REF!</v>
      </c>
      <c r="BI264" s="267">
        <f>BD264-AY264</f>
        <v>0</v>
      </c>
      <c r="BJ264" s="203">
        <f t="array" ref="BJ264">'[1]Покупка воды'!AQ93</f>
        <v>0</v>
      </c>
      <c r="BK264" s="202"/>
      <c r="BL264" s="202"/>
      <c r="BM264" s="203">
        <f t="array" ref="BM264">'[1]Покупка воды'!AW93</f>
        <v>0</v>
      </c>
      <c r="BN264" s="202"/>
      <c r="BO264" s="202"/>
      <c r="BP264" s="267">
        <f>IF(BD264=0,0,BM264/BD264)*100</f>
        <v>0</v>
      </c>
      <c r="BQ264" s="267">
        <f>BM264-BJ264</f>
        <v>0</v>
      </c>
      <c r="BR264" s="203">
        <f t="array" ref="BR264">'[1]Покупка воды'!AR93</f>
        <v>0</v>
      </c>
      <c r="BS264" s="202"/>
      <c r="BT264" s="202"/>
      <c r="BU264" s="203">
        <f t="array" ref="BU264">'[1]Покупка воды'!AX93</f>
        <v>0</v>
      </c>
      <c r="BV264" s="202"/>
      <c r="BW264" s="202"/>
      <c r="BX264" s="267">
        <f>IF(BM264=0,0,BU264/BM264)*100</f>
        <v>0</v>
      </c>
      <c r="BY264" s="267">
        <f>BU264-BR264</f>
        <v>0</v>
      </c>
      <c r="BZ264" s="203">
        <f t="array" ref="BZ264">'[1]Покупка воды'!AS93</f>
        <v>0</v>
      </c>
      <c r="CA264" s="202"/>
      <c r="CB264" s="202"/>
      <c r="CC264" s="203">
        <f t="array" ref="CC264">'[1]Покупка воды'!AY93</f>
        <v>0</v>
      </c>
      <c r="CD264" s="202"/>
      <c r="CE264" s="202"/>
      <c r="CF264" s="267">
        <f>IF(BU264=0,0,CC264/BU264)*100</f>
        <v>0</v>
      </c>
      <c r="CG264" s="267">
        <f>CC264-BZ264</f>
        <v>0</v>
      </c>
      <c r="CH264" s="203">
        <f t="array" ref="CH264">'[1]Покупка воды'!AT93</f>
        <v>0</v>
      </c>
      <c r="CI264" s="202"/>
      <c r="CJ264" s="202"/>
      <c r="CK264" s="203">
        <f t="array" ref="CK264">'[1]Покупка воды'!AZ93</f>
        <v>0</v>
      </c>
      <c r="CL264" s="202"/>
      <c r="CM264" s="202"/>
      <c r="CN264" s="267">
        <f>IF(CC264=0,0,CK264/CC264)*100</f>
        <v>0</v>
      </c>
      <c r="CO264" s="267">
        <f>CK264-CH264</f>
        <v>0</v>
      </c>
      <c r="CP264" s="92"/>
      <c r="CQ264" s="85"/>
      <c r="CR264" s="85"/>
      <c r="CS264" s="85"/>
      <c r="CT264" s="99" t="e">
        <f>SUM(AD264:CO264)</f>
        <v>#REF!</v>
      </c>
      <c r="CU264" s="99">
        <f t="array" ref="CU264">BD264</f>
        <v>0</v>
      </c>
      <c r="CV264" s="101"/>
      <c r="CW264" s="101"/>
      <c r="CX264" s="101"/>
      <c r="CY264" s="101"/>
      <c r="CZ264" s="101"/>
      <c r="DA264" s="101"/>
      <c r="DB264" s="101"/>
    </row>
    <row r="265" spans="1:107" ht="14.25" hidden="1" customHeight="1" outlineLevel="4" x14ac:dyDescent="0.25">
      <c r="A265" s="81" t="b">
        <f>$AC$52="да"</f>
        <v>0</v>
      </c>
      <c r="B265" s="8" t="b">
        <f t="array" ref="B265">A265</f>
        <v>0</v>
      </c>
      <c r="C265" s="2" t="s">
        <v>84</v>
      </c>
      <c r="D265" s="2" t="s">
        <v>85</v>
      </c>
      <c r="E265" s="2" t="s">
        <v>74</v>
      </c>
      <c r="F265" s="2" t="s">
        <v>75</v>
      </c>
      <c r="G265" s="2" t="s">
        <v>380</v>
      </c>
      <c r="H265" s="2" t="s">
        <v>74</v>
      </c>
      <c r="I265" s="2" t="s">
        <v>74</v>
      </c>
      <c r="J265" s="2" t="s">
        <v>74</v>
      </c>
      <c r="K265" s="5" t="s">
        <v>74</v>
      </c>
      <c r="L265" s="2" t="s">
        <v>370</v>
      </c>
      <c r="M265" s="8" t="str">
        <f t="array" ref="M265">Y107</f>
        <v>1ВО::1.1</v>
      </c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2">
        <f>COUNT($Y259:Y264)+1</f>
        <v>6</v>
      </c>
      <c r="Z265" s="15"/>
      <c r="AA265" s="167"/>
      <c r="AB265" s="234"/>
      <c r="AC265" s="211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  <c r="BG265" s="275"/>
      <c r="BH265" s="275"/>
      <c r="BI265" s="275"/>
      <c r="BJ265" s="202"/>
      <c r="BK265" s="202"/>
      <c r="BL265" s="202"/>
      <c r="BM265" s="202"/>
      <c r="BN265" s="202"/>
      <c r="BO265" s="202"/>
      <c r="BP265" s="275"/>
      <c r="BQ265" s="275"/>
      <c r="BR265" s="202"/>
      <c r="BS265" s="202"/>
      <c r="BT265" s="202"/>
      <c r="BU265" s="202"/>
      <c r="BV265" s="202"/>
      <c r="BW265" s="202"/>
      <c r="BX265" s="275"/>
      <c r="BY265" s="275"/>
      <c r="BZ265" s="202"/>
      <c r="CA265" s="202"/>
      <c r="CB265" s="202"/>
      <c r="CC265" s="202"/>
      <c r="CD265" s="202"/>
      <c r="CE265" s="202"/>
      <c r="CF265" s="275"/>
      <c r="CG265" s="275"/>
      <c r="CH265" s="202"/>
      <c r="CI265" s="202"/>
      <c r="CJ265" s="202"/>
      <c r="CK265" s="202"/>
      <c r="CL265" s="202"/>
      <c r="CM265" s="202"/>
      <c r="CN265" s="275"/>
      <c r="CO265" s="275"/>
      <c r="CP265" s="68"/>
      <c r="CQ265" s="62"/>
      <c r="CR265" s="62"/>
      <c r="CS265" s="62"/>
      <c r="CT265" s="170"/>
      <c r="CU265" s="170"/>
      <c r="CV265" s="68"/>
      <c r="CW265" s="68"/>
      <c r="CX265" s="68"/>
      <c r="CY265" s="68"/>
      <c r="CZ265" s="68"/>
      <c r="DA265" s="68"/>
      <c r="DB265" s="68"/>
      <c r="DC265" s="15"/>
    </row>
    <row r="266" spans="1:107" ht="14.25" hidden="1" customHeight="1" outlineLevel="4" x14ac:dyDescent="0.25">
      <c r="A266" s="81" t="b">
        <f t="array" ref="A266">A265</f>
        <v>0</v>
      </c>
      <c r="B266" s="8" t="b">
        <f t="array" ref="B266">A266</f>
        <v>0</v>
      </c>
      <c r="C266" s="2" t="s">
        <v>84</v>
      </c>
      <c r="D266" s="2" t="s">
        <v>85</v>
      </c>
      <c r="E266" s="2" t="s">
        <v>74</v>
      </c>
      <c r="F266" s="2" t="s">
        <v>75</v>
      </c>
      <c r="G266" s="2" t="s">
        <v>381</v>
      </c>
      <c r="H266" s="2" t="s">
        <v>74</v>
      </c>
      <c r="I266" s="2" t="s">
        <v>74</v>
      </c>
      <c r="J266" s="2" t="s">
        <v>74</v>
      </c>
      <c r="K266" s="5" t="s">
        <v>74</v>
      </c>
      <c r="L266" s="2" t="s">
        <v>370</v>
      </c>
      <c r="M266" s="8" t="str">
        <f t="array" ref="M266">Y107</f>
        <v>1ВО::1.1</v>
      </c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2">
        <f>COUNT($Y259:Y265)+1</f>
        <v>7</v>
      </c>
      <c r="Z266" s="15"/>
      <c r="AA266" s="167"/>
      <c r="AB266" s="234"/>
      <c r="AC266" s="211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  <c r="BG266" s="275"/>
      <c r="BH266" s="275"/>
      <c r="BI266" s="275"/>
      <c r="BJ266" s="202"/>
      <c r="BK266" s="202"/>
      <c r="BL266" s="202"/>
      <c r="BM266" s="202"/>
      <c r="BN266" s="202"/>
      <c r="BO266" s="202"/>
      <c r="BP266" s="275"/>
      <c r="BQ266" s="275"/>
      <c r="BR266" s="202"/>
      <c r="BS266" s="202"/>
      <c r="BT266" s="202"/>
      <c r="BU266" s="202"/>
      <c r="BV266" s="202"/>
      <c r="BW266" s="202"/>
      <c r="BX266" s="275"/>
      <c r="BY266" s="275"/>
      <c r="BZ266" s="202"/>
      <c r="CA266" s="202"/>
      <c r="CB266" s="202"/>
      <c r="CC266" s="202"/>
      <c r="CD266" s="202"/>
      <c r="CE266" s="202"/>
      <c r="CF266" s="275"/>
      <c r="CG266" s="275"/>
      <c r="CH266" s="202"/>
      <c r="CI266" s="202"/>
      <c r="CJ266" s="202"/>
      <c r="CK266" s="202"/>
      <c r="CL266" s="202"/>
      <c r="CM266" s="202"/>
      <c r="CN266" s="275"/>
      <c r="CO266" s="275"/>
      <c r="CP266" s="68"/>
      <c r="CQ266" s="62"/>
      <c r="CR266" s="62"/>
      <c r="CS266" s="62"/>
      <c r="CT266" s="170"/>
      <c r="CU266" s="170"/>
      <c r="CV266" s="68"/>
      <c r="CW266" s="68"/>
      <c r="CX266" s="68"/>
      <c r="CY266" s="68"/>
      <c r="CZ266" s="68"/>
      <c r="DA266" s="68"/>
      <c r="DB266" s="68"/>
      <c r="DC266" s="15"/>
    </row>
    <row r="267" spans="1:107" ht="14.25" hidden="1" customHeight="1" outlineLevel="4" x14ac:dyDescent="0.25">
      <c r="A267" s="81" t="b">
        <f t="array" ref="A267">A266</f>
        <v>0</v>
      </c>
      <c r="B267" s="8" t="b">
        <f t="array" ref="B267">A267</f>
        <v>0</v>
      </c>
      <c r="C267" s="2" t="s">
        <v>84</v>
      </c>
      <c r="D267" s="2" t="s">
        <v>85</v>
      </c>
      <c r="E267" s="2" t="s">
        <v>74</v>
      </c>
      <c r="F267" s="2" t="s">
        <v>75</v>
      </c>
      <c r="G267" s="2" t="s">
        <v>382</v>
      </c>
      <c r="H267" s="2" t="s">
        <v>74</v>
      </c>
      <c r="I267" s="2" t="s">
        <v>74</v>
      </c>
      <c r="J267" s="2" t="s">
        <v>74</v>
      </c>
      <c r="K267" s="5" t="s">
        <v>74</v>
      </c>
      <c r="L267" s="2" t="s">
        <v>370</v>
      </c>
      <c r="M267" s="8" t="str">
        <f t="array" ref="M267">Y107</f>
        <v>1ВО::1.1</v>
      </c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2">
        <f>COUNT($Y259:Y266)+1</f>
        <v>8</v>
      </c>
      <c r="Z267" s="15"/>
      <c r="AA267" s="167"/>
      <c r="AB267" s="234"/>
      <c r="AC267" s="211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75"/>
      <c r="BH267" s="275"/>
      <c r="BI267" s="275"/>
      <c r="BJ267" s="202"/>
      <c r="BK267" s="202"/>
      <c r="BL267" s="202"/>
      <c r="BM267" s="202"/>
      <c r="BN267" s="202"/>
      <c r="BO267" s="202"/>
      <c r="BP267" s="275"/>
      <c r="BQ267" s="275"/>
      <c r="BR267" s="202"/>
      <c r="BS267" s="202"/>
      <c r="BT267" s="202"/>
      <c r="BU267" s="202"/>
      <c r="BV267" s="202"/>
      <c r="BW267" s="202"/>
      <c r="BX267" s="275"/>
      <c r="BY267" s="275"/>
      <c r="BZ267" s="202"/>
      <c r="CA267" s="202"/>
      <c r="CB267" s="202"/>
      <c r="CC267" s="202"/>
      <c r="CD267" s="202"/>
      <c r="CE267" s="202"/>
      <c r="CF267" s="275"/>
      <c r="CG267" s="275"/>
      <c r="CH267" s="202"/>
      <c r="CI267" s="202"/>
      <c r="CJ267" s="202"/>
      <c r="CK267" s="202"/>
      <c r="CL267" s="202"/>
      <c r="CM267" s="202"/>
      <c r="CN267" s="275"/>
      <c r="CO267" s="275"/>
      <c r="CP267" s="68"/>
      <c r="CQ267" s="62"/>
      <c r="CR267" s="62"/>
      <c r="CS267" s="62"/>
      <c r="CT267" s="170"/>
      <c r="CU267" s="170"/>
      <c r="CV267" s="68"/>
      <c r="CW267" s="68"/>
      <c r="CX267" s="68"/>
      <c r="CY267" s="68"/>
      <c r="CZ267" s="68"/>
      <c r="DA267" s="68"/>
      <c r="DB267" s="68"/>
      <c r="DC267" s="15"/>
    </row>
    <row r="268" spans="1:107" ht="14.25" hidden="1" customHeight="1" outlineLevel="4" x14ac:dyDescent="0.25">
      <c r="A268" s="81" t="b">
        <f t="array" ref="A268">A267</f>
        <v>0</v>
      </c>
      <c r="B268" s="8" t="b">
        <f t="array" ref="B268">A268</f>
        <v>0</v>
      </c>
      <c r="C268" s="2" t="s">
        <v>84</v>
      </c>
      <c r="D268" s="2" t="s">
        <v>85</v>
      </c>
      <c r="E268" s="2" t="s">
        <v>74</v>
      </c>
      <c r="F268" s="2" t="s">
        <v>75</v>
      </c>
      <c r="G268" s="2" t="s">
        <v>383</v>
      </c>
      <c r="H268" s="2" t="s">
        <v>74</v>
      </c>
      <c r="I268" s="2" t="s">
        <v>74</v>
      </c>
      <c r="J268" s="2" t="s">
        <v>74</v>
      </c>
      <c r="K268" s="5" t="s">
        <v>74</v>
      </c>
      <c r="L268" s="2" t="s">
        <v>370</v>
      </c>
      <c r="M268" s="8" t="str">
        <f t="array" ref="M268">Y107</f>
        <v>1ВО::1.1</v>
      </c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2">
        <f>COUNT($Y259:Y267)+1</f>
        <v>9</v>
      </c>
      <c r="Z268" s="15"/>
      <c r="AA268" s="167"/>
      <c r="AB268" s="234"/>
      <c r="AC268" s="211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  <c r="BG268" s="275"/>
      <c r="BH268" s="275"/>
      <c r="BI268" s="275"/>
      <c r="BJ268" s="202"/>
      <c r="BK268" s="202"/>
      <c r="BL268" s="202"/>
      <c r="BM268" s="202"/>
      <c r="BN268" s="202"/>
      <c r="BO268" s="202"/>
      <c r="BP268" s="275"/>
      <c r="BQ268" s="275"/>
      <c r="BR268" s="202"/>
      <c r="BS268" s="202"/>
      <c r="BT268" s="202"/>
      <c r="BU268" s="202"/>
      <c r="BV268" s="202"/>
      <c r="BW268" s="202"/>
      <c r="BX268" s="275"/>
      <c r="BY268" s="275"/>
      <c r="BZ268" s="202"/>
      <c r="CA268" s="202"/>
      <c r="CB268" s="202"/>
      <c r="CC268" s="202"/>
      <c r="CD268" s="202"/>
      <c r="CE268" s="202"/>
      <c r="CF268" s="275"/>
      <c r="CG268" s="275"/>
      <c r="CH268" s="202"/>
      <c r="CI268" s="202"/>
      <c r="CJ268" s="202"/>
      <c r="CK268" s="202"/>
      <c r="CL268" s="202"/>
      <c r="CM268" s="202"/>
      <c r="CN268" s="275"/>
      <c r="CO268" s="275"/>
      <c r="CP268" s="68"/>
      <c r="CQ268" s="62"/>
      <c r="CR268" s="62"/>
      <c r="CS268" s="62"/>
      <c r="CT268" s="170"/>
      <c r="CU268" s="170"/>
      <c r="CV268" s="68"/>
      <c r="CW268" s="68"/>
      <c r="CX268" s="68"/>
      <c r="CY268" s="68"/>
      <c r="CZ268" s="68"/>
      <c r="DA268" s="68"/>
      <c r="DB268" s="68"/>
      <c r="DC268" s="15"/>
    </row>
    <row r="269" spans="1:107" ht="14.25" hidden="1" customHeight="1" outlineLevel="4" x14ac:dyDescent="0.25">
      <c r="A269" s="81" t="b">
        <f t="array" ref="A269">A268</f>
        <v>0</v>
      </c>
      <c r="B269" s="8" t="b">
        <f t="array" ref="B269">A269</f>
        <v>0</v>
      </c>
      <c r="C269" s="2" t="s">
        <v>84</v>
      </c>
      <c r="D269" s="2" t="s">
        <v>85</v>
      </c>
      <c r="E269" s="2" t="s">
        <v>74</v>
      </c>
      <c r="F269" s="2" t="s">
        <v>75</v>
      </c>
      <c r="G269" s="2" t="s">
        <v>384</v>
      </c>
      <c r="H269" s="2" t="s">
        <v>74</v>
      </c>
      <c r="I269" s="2" t="s">
        <v>74</v>
      </c>
      <c r="J269" s="2" t="s">
        <v>74</v>
      </c>
      <c r="K269" s="5" t="s">
        <v>74</v>
      </c>
      <c r="L269" s="2" t="s">
        <v>370</v>
      </c>
      <c r="M269" s="8" t="str">
        <f t="array" ref="M269">Y107</f>
        <v>1ВО::1.1</v>
      </c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2">
        <f>COUNT($Y259:Y268)+1</f>
        <v>10</v>
      </c>
      <c r="Z269" s="15"/>
      <c r="AA269" s="167"/>
      <c r="AB269" s="234"/>
      <c r="AC269" s="211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75"/>
      <c r="BH269" s="275"/>
      <c r="BI269" s="275"/>
      <c r="BJ269" s="202"/>
      <c r="BK269" s="202"/>
      <c r="BL269" s="202"/>
      <c r="BM269" s="202"/>
      <c r="BN269" s="202"/>
      <c r="BO269" s="202"/>
      <c r="BP269" s="275"/>
      <c r="BQ269" s="275"/>
      <c r="BR269" s="202"/>
      <c r="BS269" s="202"/>
      <c r="BT269" s="202"/>
      <c r="BU269" s="202"/>
      <c r="BV269" s="202"/>
      <c r="BW269" s="202"/>
      <c r="BX269" s="275"/>
      <c r="BY269" s="275"/>
      <c r="BZ269" s="202"/>
      <c r="CA269" s="202"/>
      <c r="CB269" s="202"/>
      <c r="CC269" s="202"/>
      <c r="CD269" s="202"/>
      <c r="CE269" s="202"/>
      <c r="CF269" s="275"/>
      <c r="CG269" s="275"/>
      <c r="CH269" s="202"/>
      <c r="CI269" s="202"/>
      <c r="CJ269" s="202"/>
      <c r="CK269" s="202"/>
      <c r="CL269" s="202"/>
      <c r="CM269" s="202"/>
      <c r="CN269" s="275"/>
      <c r="CO269" s="275"/>
      <c r="CP269" s="68"/>
      <c r="CQ269" s="62"/>
      <c r="CR269" s="62"/>
      <c r="CS269" s="62"/>
      <c r="CT269" s="170"/>
      <c r="CU269" s="170"/>
      <c r="CV269" s="68"/>
      <c r="CW269" s="68"/>
      <c r="CX269" s="68"/>
      <c r="CY269" s="68"/>
      <c r="CZ269" s="68"/>
      <c r="DA269" s="68"/>
      <c r="DB269" s="68"/>
      <c r="DC269" s="15"/>
    </row>
    <row r="270" spans="1:107" ht="14.25" customHeight="1" outlineLevel="4" x14ac:dyDescent="0.25">
      <c r="C270" s="2" t="s">
        <v>84</v>
      </c>
      <c r="D270" s="2" t="s">
        <v>85</v>
      </c>
      <c r="E270" s="2" t="s">
        <v>74</v>
      </c>
      <c r="F270" s="2" t="s">
        <v>75</v>
      </c>
      <c r="G270" s="2" t="s">
        <v>385</v>
      </c>
      <c r="H270" s="2" t="s">
        <v>74</v>
      </c>
      <c r="I270" s="2" t="s">
        <v>74</v>
      </c>
      <c r="J270" s="2" t="s">
        <v>74</v>
      </c>
      <c r="K270" s="5" t="s">
        <v>74</v>
      </c>
      <c r="L270" s="2" t="s">
        <v>370</v>
      </c>
      <c r="M270" s="8" t="str">
        <f t="array" ref="M270">Y107</f>
        <v>1ВО::1.1</v>
      </c>
      <c r="Y270" s="2">
        <f>COUNT($Y259:Y269)+1</f>
        <v>11</v>
      </c>
      <c r="AA270" s="107" t="str">
        <f>AA$259&amp;"."&amp;Y270</f>
        <v>3.1.3.1.11</v>
      </c>
      <c r="AB270" s="233" t="s">
        <v>386</v>
      </c>
      <c r="AC270" s="197" t="s">
        <v>114</v>
      </c>
      <c r="AD270" s="136"/>
      <c r="AE270" s="136"/>
      <c r="AF270" s="195">
        <v>331.68239999999997</v>
      </c>
      <c r="AG270" s="202"/>
      <c r="AH270" s="202"/>
      <c r="AI270" s="136">
        <f>SUMIF('[1]Оплата услуг ВО'!$Z$102:$Z$139,"×",'[1]Оплата услуг ВО'!AF$102:AF$139)</f>
        <v>331.68239999999997</v>
      </c>
      <c r="AJ270" s="202"/>
      <c r="AK270" s="202"/>
      <c r="AL270" s="202"/>
      <c r="AM270" s="202"/>
      <c r="AN270" s="203">
        <f t="array" ref="AN270">'[1]Оплата услуг ВО'!AH93</f>
        <v>921.55199999999991</v>
      </c>
      <c r="AO270" s="195">
        <v>923.32810878789996</v>
      </c>
      <c r="AP270" s="202"/>
      <c r="AQ270" s="202"/>
      <c r="AR270" s="136">
        <v>923.32810878789996</v>
      </c>
      <c r="AS270" s="202"/>
      <c r="AT270" s="202"/>
      <c r="AU270" s="203">
        <f t="array" ref="AU270">'[1]Оплата услуг ВО'!AM93</f>
        <v>0</v>
      </c>
      <c r="AV270" s="195">
        <v>974.73800237800003</v>
      </c>
      <c r="AW270" s="202"/>
      <c r="AX270" s="202"/>
      <c r="AY270" s="136">
        <v>974.73800237800003</v>
      </c>
      <c r="AZ270" s="202"/>
      <c r="BA270" s="202"/>
      <c r="BB270" s="202"/>
      <c r="BC270" s="202"/>
      <c r="BD270" s="203">
        <f t="array" ref="BD270">'[1]Оплата услуг ВО'!AV93</f>
        <v>0</v>
      </c>
      <c r="BE270" s="202"/>
      <c r="BF270" s="202"/>
      <c r="BG270" s="267">
        <f t="shared" ref="BG270:BG276" si="75">IF(AR270=0,0,BD270/AR270)*100</f>
        <v>0</v>
      </c>
      <c r="BH270" s="267" t="e">
        <f>BD270-#REF!</f>
        <v>#REF!</v>
      </c>
      <c r="BI270" s="267">
        <f t="shared" ref="BI270:BI276" si="76">BD270-AY270</f>
        <v>-974.73800237800003</v>
      </c>
      <c r="BJ270" s="203">
        <f t="array" ref="BJ270">'[1]Оплата услуг ВО'!AQ93</f>
        <v>0</v>
      </c>
      <c r="BK270" s="202"/>
      <c r="BL270" s="202"/>
      <c r="BM270" s="203">
        <f t="array" ref="BM270">'[1]Оплата услуг ВО'!AW93</f>
        <v>0</v>
      </c>
      <c r="BN270" s="202"/>
      <c r="BO270" s="202"/>
      <c r="BP270" s="267">
        <f t="shared" ref="BP270:BP276" si="77">IF(BD270=0,0,BM270/BD270)*100</f>
        <v>0</v>
      </c>
      <c r="BQ270" s="267">
        <f t="shared" ref="BQ270:BQ276" si="78">BM270-BJ270</f>
        <v>0</v>
      </c>
      <c r="BR270" s="203">
        <f t="array" ref="BR270">'[1]Оплата услуг ВО'!AR93</f>
        <v>0</v>
      </c>
      <c r="BS270" s="202"/>
      <c r="BT270" s="202"/>
      <c r="BU270" s="203">
        <f t="array" ref="BU270">'[1]Оплата услуг ВО'!AX93</f>
        <v>0</v>
      </c>
      <c r="BV270" s="202"/>
      <c r="BW270" s="202"/>
      <c r="BX270" s="267">
        <f t="shared" ref="BX270:BX276" si="79">IF(BM270=0,0,BU270/BM270)*100</f>
        <v>0</v>
      </c>
      <c r="BY270" s="267">
        <f t="shared" ref="BY270:BY276" si="80">BU270-BR270</f>
        <v>0</v>
      </c>
      <c r="BZ270" s="203">
        <f t="array" ref="BZ270">'[1]Оплата услуг ВО'!AS93</f>
        <v>0</v>
      </c>
      <c r="CA270" s="202"/>
      <c r="CB270" s="202"/>
      <c r="CC270" s="203">
        <f t="array" ref="CC270">'[1]Оплата услуг ВО'!AY93</f>
        <v>0</v>
      </c>
      <c r="CD270" s="202"/>
      <c r="CE270" s="202"/>
      <c r="CF270" s="267">
        <f t="shared" ref="CF270:CF276" si="81">IF(BU270=0,0,CC270/BU270)*100</f>
        <v>0</v>
      </c>
      <c r="CG270" s="267">
        <f t="shared" ref="CG270:CG276" si="82">CC270-BZ270</f>
        <v>0</v>
      </c>
      <c r="CH270" s="203">
        <f t="array" ref="CH270">'[1]Оплата услуг ВО'!AT93</f>
        <v>0</v>
      </c>
      <c r="CI270" s="202"/>
      <c r="CJ270" s="202"/>
      <c r="CK270" s="203">
        <f t="array" ref="CK270">'[1]Оплата услуг ВО'!AZ93</f>
        <v>0</v>
      </c>
      <c r="CL270" s="202"/>
      <c r="CM270" s="202"/>
      <c r="CN270" s="267">
        <f t="shared" ref="CN270:CN276" si="83">IF(CC270=0,0,CK270/CC270)*100</f>
        <v>0</v>
      </c>
      <c r="CO270" s="267">
        <f t="shared" ref="CO270:CO276" si="84">CK270-CH270</f>
        <v>0</v>
      </c>
      <c r="CP270" s="92"/>
      <c r="CQ270" s="85"/>
      <c r="CR270" s="85"/>
      <c r="CS270" s="85"/>
      <c r="CT270" s="99" t="e">
        <f t="shared" ref="CT270:CT276" si="85">SUM(AD270:CO270)</f>
        <v>#REF!</v>
      </c>
      <c r="CU270" s="99">
        <f t="array" ref="CU270">BD270</f>
        <v>0</v>
      </c>
      <c r="CV270" s="101"/>
      <c r="CW270" s="101"/>
      <c r="CX270" s="101"/>
      <c r="CY270" s="101"/>
      <c r="CZ270" s="101"/>
      <c r="DA270" s="101"/>
      <c r="DB270" s="101"/>
    </row>
    <row r="271" spans="1:107" ht="14.25" customHeight="1" outlineLevel="4" x14ac:dyDescent="0.25">
      <c r="A271" s="81" t="b">
        <f>OR($AC$52="да",$U107&lt;&gt;"Водоснабжение")</f>
        <v>1</v>
      </c>
      <c r="B271" s="8" t="b">
        <f t="array" ref="B271">A271</f>
        <v>1</v>
      </c>
      <c r="C271" s="2" t="s">
        <v>84</v>
      </c>
      <c r="D271" s="2" t="s">
        <v>85</v>
      </c>
      <c r="E271" s="2" t="s">
        <v>74</v>
      </c>
      <c r="F271" s="2" t="s">
        <v>75</v>
      </c>
      <c r="G271" s="2" t="s">
        <v>387</v>
      </c>
      <c r="H271" s="2" t="s">
        <v>74</v>
      </c>
      <c r="I271" s="2" t="s">
        <v>74</v>
      </c>
      <c r="J271" s="2" t="s">
        <v>74</v>
      </c>
      <c r="K271" s="5" t="s">
        <v>74</v>
      </c>
      <c r="L271" s="2" t="s">
        <v>370</v>
      </c>
      <c r="M271" s="8" t="str">
        <f t="array" ref="M271">Y107</f>
        <v>1ВО::1.1</v>
      </c>
      <c r="Y271" s="2">
        <f>COUNT($Y259:Y270)+1</f>
        <v>12</v>
      </c>
      <c r="AA271" s="107" t="str">
        <f>AA$259&amp;"."&amp;Y271</f>
        <v>3.1.3.1.12</v>
      </c>
      <c r="AB271" s="233" t="s">
        <v>567</v>
      </c>
      <c r="AC271" s="197" t="s">
        <v>114</v>
      </c>
      <c r="AD271" s="195">
        <v>1276.58</v>
      </c>
      <c r="AE271" s="195">
        <v>30.160633963999999</v>
      </c>
      <c r="AF271" s="195">
        <v>0</v>
      </c>
      <c r="AG271" s="202"/>
      <c r="AH271" s="202"/>
      <c r="AI271" s="195">
        <f>SUMIF([1]Транспортировка!$Z102:$Z103,"×",[1]Транспортировка!AF102:AF103)</f>
        <v>0</v>
      </c>
      <c r="AJ271" s="202"/>
      <c r="AK271" s="202"/>
      <c r="AL271" s="202"/>
      <c r="AM271" s="202"/>
      <c r="AN271" s="203">
        <f t="array" ref="AN271">[1]Транспортировка!AH93</f>
        <v>0</v>
      </c>
      <c r="AO271" s="195">
        <v>0</v>
      </c>
      <c r="AP271" s="202"/>
      <c r="AQ271" s="202"/>
      <c r="AR271" s="195">
        <f>SUMIF([1]Транспортировка!$Z102:$Z103,"×",[1]Транспортировка!AJ102:AJ103)</f>
        <v>0</v>
      </c>
      <c r="AS271" s="202"/>
      <c r="AT271" s="202"/>
      <c r="AU271" s="203">
        <f t="array" ref="AU271">[1]Транспортировка!AM93</f>
        <v>0</v>
      </c>
      <c r="AV271" s="195">
        <v>0</v>
      </c>
      <c r="AW271" s="202"/>
      <c r="AX271" s="202"/>
      <c r="AY271" s="195">
        <f>SUMIF([1]Транспортировка!$Z102:$Z103,"×",[1]Транспортировка!AO102:AO103)</f>
        <v>0</v>
      </c>
      <c r="AZ271" s="202"/>
      <c r="BA271" s="202"/>
      <c r="BB271" s="202"/>
      <c r="BC271" s="202"/>
      <c r="BD271" s="203">
        <f t="array" ref="BD271">[1]Транспортировка!AV93</f>
        <v>0</v>
      </c>
      <c r="BE271" s="202"/>
      <c r="BF271" s="202"/>
      <c r="BG271" s="267">
        <f t="shared" si="75"/>
        <v>0</v>
      </c>
      <c r="BH271" s="267" t="e">
        <f>BD271-#REF!</f>
        <v>#REF!</v>
      </c>
      <c r="BI271" s="267">
        <f t="shared" si="76"/>
        <v>0</v>
      </c>
      <c r="BJ271" s="203">
        <f t="array" ref="BJ271">[1]Транспортировка!AQ93</f>
        <v>0</v>
      </c>
      <c r="BK271" s="202"/>
      <c r="BL271" s="202"/>
      <c r="BM271" s="203">
        <f t="array" ref="BM271">[1]Транспортировка!AW93</f>
        <v>0</v>
      </c>
      <c r="BN271" s="202"/>
      <c r="BO271" s="202"/>
      <c r="BP271" s="267">
        <f t="shared" si="77"/>
        <v>0</v>
      </c>
      <c r="BQ271" s="267">
        <f t="shared" si="78"/>
        <v>0</v>
      </c>
      <c r="BR271" s="203">
        <f t="array" ref="BR271">[1]Транспортировка!AR93</f>
        <v>0</v>
      </c>
      <c r="BS271" s="202"/>
      <c r="BT271" s="202"/>
      <c r="BU271" s="203">
        <f t="array" ref="BU271">[1]Транспортировка!AX93</f>
        <v>0</v>
      </c>
      <c r="BV271" s="202"/>
      <c r="BW271" s="202"/>
      <c r="BX271" s="267">
        <f t="shared" si="79"/>
        <v>0</v>
      </c>
      <c r="BY271" s="267">
        <f t="shared" si="80"/>
        <v>0</v>
      </c>
      <c r="BZ271" s="203">
        <f t="array" ref="BZ271">[1]Транспортировка!AS93</f>
        <v>0</v>
      </c>
      <c r="CA271" s="202"/>
      <c r="CB271" s="202"/>
      <c r="CC271" s="203">
        <f t="array" ref="CC271">[1]Транспортировка!AY93</f>
        <v>0</v>
      </c>
      <c r="CD271" s="202"/>
      <c r="CE271" s="202"/>
      <c r="CF271" s="267">
        <f t="shared" si="81"/>
        <v>0</v>
      </c>
      <c r="CG271" s="267">
        <f t="shared" si="82"/>
        <v>0</v>
      </c>
      <c r="CH271" s="203">
        <f t="array" ref="CH271">[1]Транспортировка!AT93</f>
        <v>0</v>
      </c>
      <c r="CI271" s="202"/>
      <c r="CJ271" s="202"/>
      <c r="CK271" s="203">
        <f t="array" ref="CK271">[1]Транспортировка!AZ93</f>
        <v>0</v>
      </c>
      <c r="CL271" s="202"/>
      <c r="CM271" s="202"/>
      <c r="CN271" s="267">
        <f t="shared" si="83"/>
        <v>0</v>
      </c>
      <c r="CO271" s="267">
        <f t="shared" si="84"/>
        <v>0</v>
      </c>
      <c r="CP271" s="92"/>
      <c r="CQ271" s="90"/>
      <c r="CR271" s="90"/>
      <c r="CS271" s="90"/>
      <c r="CT271" s="227" t="e">
        <f t="shared" si="85"/>
        <v>#REF!</v>
      </c>
      <c r="CU271" s="227">
        <f t="array" ref="CU271">BD271</f>
        <v>0</v>
      </c>
      <c r="CV271" s="92"/>
      <c r="CW271" s="92"/>
      <c r="CX271" s="92"/>
      <c r="CY271" s="92"/>
      <c r="CZ271" s="92"/>
      <c r="DA271" s="92"/>
      <c r="DB271" s="92"/>
    </row>
    <row r="272" spans="1:107" ht="14.25" customHeight="1" outlineLevel="3" x14ac:dyDescent="0.25">
      <c r="C272" s="2" t="s">
        <v>84</v>
      </c>
      <c r="D272" s="2" t="s">
        <v>85</v>
      </c>
      <c r="E272" s="2" t="s">
        <v>74</v>
      </c>
      <c r="F272" s="2" t="s">
        <v>75</v>
      </c>
      <c r="G272" s="2" t="s">
        <v>388</v>
      </c>
      <c r="H272" s="2" t="s">
        <v>74</v>
      </c>
      <c r="I272" s="2" t="s">
        <v>74</v>
      </c>
      <c r="J272" s="2" t="s">
        <v>74</v>
      </c>
      <c r="K272" s="5" t="s">
        <v>74</v>
      </c>
      <c r="L272" s="2" t="s">
        <v>370</v>
      </c>
      <c r="M272" s="8" t="str">
        <f t="array" ref="M272">Y107</f>
        <v>1ВО::1.1</v>
      </c>
      <c r="AA272" s="206" t="str">
        <f>AA258&amp;".2"</f>
        <v>3.1.3.2</v>
      </c>
      <c r="AB272" s="196" t="s">
        <v>389</v>
      </c>
      <c r="AC272" s="197" t="s">
        <v>114</v>
      </c>
      <c r="AD272" s="173">
        <v>0</v>
      </c>
      <c r="AE272" s="173">
        <v>0</v>
      </c>
      <c r="AF272" s="173">
        <v>0</v>
      </c>
      <c r="AG272" s="202"/>
      <c r="AH272" s="202"/>
      <c r="AI272" s="173">
        <f>0</f>
        <v>0</v>
      </c>
      <c r="AJ272" s="202"/>
      <c r="AK272" s="202"/>
      <c r="AL272" s="202"/>
      <c r="AM272" s="202"/>
      <c r="AN272" s="203">
        <f>IF(AN87,0,'[1]СиМ (детально)'!AK94)</f>
        <v>0</v>
      </c>
      <c r="AO272" s="201">
        <v>33874.463187893598</v>
      </c>
      <c r="AP272" s="202"/>
      <c r="AQ272" s="202"/>
      <c r="AR272" s="200">
        <v>33874.463187893598</v>
      </c>
      <c r="AS272" s="202"/>
      <c r="AT272" s="202"/>
      <c r="AU272" s="203">
        <f t="array" ref="AU272">IF(AU87,0,'[1]СиМ (детально)'!AP94)</f>
        <v>0</v>
      </c>
      <c r="AV272" s="201">
        <v>35297.190641785099</v>
      </c>
      <c r="AW272" s="202"/>
      <c r="AX272" s="202"/>
      <c r="AY272" s="200">
        <v>35297.190641785099</v>
      </c>
      <c r="AZ272" s="202"/>
      <c r="BA272" s="202"/>
      <c r="BB272" s="202"/>
      <c r="BC272" s="202"/>
      <c r="BD272" s="203">
        <f t="array" ref="BD272">'[1]СиМ (детально)'!$AY$94</f>
        <v>0</v>
      </c>
      <c r="BE272" s="202"/>
      <c r="BF272" s="202"/>
      <c r="BG272" s="267">
        <f t="shared" si="75"/>
        <v>0</v>
      </c>
      <c r="BH272" s="267" t="e">
        <f>BD272-#REF!</f>
        <v>#REF!</v>
      </c>
      <c r="BI272" s="267">
        <f t="shared" si="76"/>
        <v>-35297.190641785099</v>
      </c>
      <c r="BJ272" s="203">
        <f t="array" ref="BJ272">IF(BJ87,0,'[1]СиМ (детально)'!AT94)</f>
        <v>0</v>
      </c>
      <c r="BK272" s="202"/>
      <c r="BL272" s="202"/>
      <c r="BM272" s="203">
        <f t="array" ref="BM272">IF(BM87,0,'[1]СиМ (детально)'!AZ94)</f>
        <v>0</v>
      </c>
      <c r="BN272" s="202"/>
      <c r="BO272" s="202"/>
      <c r="BP272" s="267">
        <f t="shared" si="77"/>
        <v>0</v>
      </c>
      <c r="BQ272" s="267">
        <f t="shared" si="78"/>
        <v>0</v>
      </c>
      <c r="BR272" s="203">
        <f t="array" ref="BR272">IF(BR87,0,'[1]СиМ (детально)'!AU94)</f>
        <v>0</v>
      </c>
      <c r="BS272" s="202"/>
      <c r="BT272" s="202"/>
      <c r="BU272" s="203">
        <f t="array" ref="BU272">IF(BU87,0,'[1]СиМ (детально)'!BA94)</f>
        <v>0</v>
      </c>
      <c r="BV272" s="202"/>
      <c r="BW272" s="202"/>
      <c r="BX272" s="267">
        <f t="shared" si="79"/>
        <v>0</v>
      </c>
      <c r="BY272" s="267">
        <f t="shared" si="80"/>
        <v>0</v>
      </c>
      <c r="BZ272" s="203">
        <f t="array" ref="BZ272">IF(BZ87,0,'[1]СиМ (детально)'!AV94)</f>
        <v>0</v>
      </c>
      <c r="CA272" s="202"/>
      <c r="CB272" s="202"/>
      <c r="CC272" s="203">
        <f t="array" ref="CC272">IF(CC87,0,'[1]СиМ (детально)'!BB94)</f>
        <v>0</v>
      </c>
      <c r="CD272" s="202"/>
      <c r="CE272" s="202"/>
      <c r="CF272" s="267">
        <f t="shared" si="81"/>
        <v>0</v>
      </c>
      <c r="CG272" s="267">
        <f t="shared" si="82"/>
        <v>0</v>
      </c>
      <c r="CH272" s="203">
        <f t="array" ref="CH272">IF(CH87,0,'[1]СиМ (детально)'!AW94)</f>
        <v>0</v>
      </c>
      <c r="CI272" s="202"/>
      <c r="CJ272" s="202"/>
      <c r="CK272" s="203">
        <f t="array" ref="CK272">IF(CK87,0,'[1]СиМ (детально)'!BC94)</f>
        <v>0</v>
      </c>
      <c r="CL272" s="202"/>
      <c r="CM272" s="202"/>
      <c r="CN272" s="267">
        <f t="shared" si="83"/>
        <v>0</v>
      </c>
      <c r="CO272" s="267">
        <f t="shared" si="84"/>
        <v>0</v>
      </c>
      <c r="CP272" s="92"/>
      <c r="CQ272" s="85"/>
      <c r="CR272" s="85"/>
      <c r="CS272" s="85"/>
      <c r="CT272" s="99" t="e">
        <f t="shared" si="85"/>
        <v>#REF!</v>
      </c>
      <c r="CU272" s="99">
        <f t="array" ref="CU272">BD272</f>
        <v>0</v>
      </c>
      <c r="CV272" s="101"/>
      <c r="CW272" s="101"/>
      <c r="CX272" s="101"/>
      <c r="CY272" s="101"/>
      <c r="CZ272" s="101"/>
      <c r="DA272" s="101"/>
      <c r="DB272" s="101"/>
    </row>
    <row r="273" spans="1:107" ht="14.25" customHeight="1" outlineLevel="3" x14ac:dyDescent="0.25">
      <c r="C273" s="2" t="s">
        <v>84</v>
      </c>
      <c r="D273" s="2" t="s">
        <v>85</v>
      </c>
      <c r="E273" s="2" t="s">
        <v>74</v>
      </c>
      <c r="F273" s="2" t="s">
        <v>75</v>
      </c>
      <c r="G273" s="2" t="s">
        <v>390</v>
      </c>
      <c r="H273" s="2" t="s">
        <v>74</v>
      </c>
      <c r="I273" s="2" t="s">
        <v>74</v>
      </c>
      <c r="J273" s="2" t="s">
        <v>74</v>
      </c>
      <c r="K273" s="5" t="s">
        <v>74</v>
      </c>
      <c r="L273" s="2" t="s">
        <v>370</v>
      </c>
      <c r="M273" s="8" t="str">
        <f t="array" ref="M273">Y107</f>
        <v>1ВО::1.1</v>
      </c>
      <c r="AA273" s="206" t="str">
        <f>AA258&amp;".3"</f>
        <v>3.1.3.3</v>
      </c>
      <c r="AB273" s="196" t="s">
        <v>391</v>
      </c>
      <c r="AC273" s="197" t="s">
        <v>114</v>
      </c>
      <c r="AD273" s="173">
        <v>78369.5</v>
      </c>
      <c r="AE273" s="173">
        <v>57824.018282598001</v>
      </c>
      <c r="AF273" s="173">
        <v>99999.678</v>
      </c>
      <c r="AG273" s="174"/>
      <c r="AH273" s="174"/>
      <c r="AI273" s="173">
        <f>AI274+AI275+AI276+AI277+AI278+AI279+AI280+AI281+AI282</f>
        <v>99999.678</v>
      </c>
      <c r="AJ273" s="174"/>
      <c r="AK273" s="174"/>
      <c r="AL273" s="174"/>
      <c r="AM273" s="174"/>
      <c r="AN273" s="173">
        <f>AN274+AN275+AN276+AN277+AN278+AN279+AN280+AN281+AN282</f>
        <v>101769.308</v>
      </c>
      <c r="AO273" s="173">
        <v>93944.767039999992</v>
      </c>
      <c r="AP273" s="174"/>
      <c r="AQ273" s="174"/>
      <c r="AR273" s="173">
        <f>AR274+AR275+AR276+AR277+AR278+AR279+AR280+AR281+AR282</f>
        <v>93944.767039999992</v>
      </c>
      <c r="AS273" s="174"/>
      <c r="AT273" s="174"/>
      <c r="AU273" s="173">
        <f>AU274+AU275+AU276+AU277+AU278+AU279+AU280+AU281+AU282</f>
        <v>2.5</v>
      </c>
      <c r="AV273" s="173">
        <v>92567.358479999995</v>
      </c>
      <c r="AW273" s="174"/>
      <c r="AX273" s="174"/>
      <c r="AY273" s="173">
        <f>AY274+AY275+AY276+AY277+AY278+AY279+AY280+AY281+AY282</f>
        <v>92567.358479999995</v>
      </c>
      <c r="AZ273" s="174"/>
      <c r="BA273" s="174"/>
      <c r="BB273" s="174"/>
      <c r="BC273" s="174"/>
      <c r="BD273" s="173">
        <f>BD274+BD275+BD276+BD277+BD278+BD279+BD280+BD281+BD282</f>
        <v>2.5</v>
      </c>
      <c r="BE273" s="174"/>
      <c r="BF273" s="174"/>
      <c r="BG273" s="267">
        <f t="shared" si="75"/>
        <v>2.66113811207339E-3</v>
      </c>
      <c r="BH273" s="267" t="e">
        <f>BD273-#REF!</f>
        <v>#REF!</v>
      </c>
      <c r="BI273" s="267">
        <f t="shared" si="76"/>
        <v>-92564.858479999995</v>
      </c>
      <c r="BJ273" s="173">
        <f>BJ274+BJ275+BJ276+BJ277+BJ278+BJ279+BJ280+BJ281+BJ282</f>
        <v>27954.912789849648</v>
      </c>
      <c r="BK273" s="174"/>
      <c r="BL273" s="174"/>
      <c r="BM273" s="173">
        <f>BM274+BM275+BM276+BM277+BM278+BM279+BM280+BM281+BM282</f>
        <v>2.5</v>
      </c>
      <c r="BN273" s="174"/>
      <c r="BO273" s="174"/>
      <c r="BP273" s="267">
        <f t="shared" si="77"/>
        <v>100</v>
      </c>
      <c r="BQ273" s="267">
        <f t="shared" si="78"/>
        <v>-27952.412789849648</v>
      </c>
      <c r="BR273" s="173">
        <f>BR274+BR275+BR276+BR277+BR278+BR279+BR280+BR281+BR282</f>
        <v>26303.288029715575</v>
      </c>
      <c r="BS273" s="174"/>
      <c r="BT273" s="174"/>
      <c r="BU273" s="173">
        <f>BU274+BU275+BU276+BU277+BU278+BU279+BU280+BU281+BU282</f>
        <v>2.5</v>
      </c>
      <c r="BV273" s="174"/>
      <c r="BW273" s="174"/>
      <c r="BX273" s="267">
        <f t="shared" si="79"/>
        <v>100</v>
      </c>
      <c r="BY273" s="267">
        <f t="shared" si="80"/>
        <v>-26300.788029715575</v>
      </c>
      <c r="BZ273" s="173">
        <f>BZ274+BZ275+BZ276+BZ277+BZ278+BZ279+BZ280+BZ281+BZ282</f>
        <v>24651.813303350937</v>
      </c>
      <c r="CA273" s="174"/>
      <c r="CB273" s="174"/>
      <c r="CC273" s="173">
        <f>CC274+CC275+CC276+CC277+CC278+CC279+CC280+CC281+CC282</f>
        <v>2.5</v>
      </c>
      <c r="CD273" s="174"/>
      <c r="CE273" s="174"/>
      <c r="CF273" s="267">
        <f t="shared" si="81"/>
        <v>100</v>
      </c>
      <c r="CG273" s="267">
        <f t="shared" si="82"/>
        <v>-24649.313303350937</v>
      </c>
      <c r="CH273" s="173">
        <f>CH274+CH275+CH276+CH277+CH278+CH279+CH280+CH281+CH282</f>
        <v>23000.338576986298</v>
      </c>
      <c r="CI273" s="174"/>
      <c r="CJ273" s="174"/>
      <c r="CK273" s="173">
        <f>CK274+CK275+CK276+CK277+CK278+CK279+CK280+CK281+CK282</f>
        <v>2.5</v>
      </c>
      <c r="CL273" s="174"/>
      <c r="CM273" s="174"/>
      <c r="CN273" s="267">
        <f t="shared" si="83"/>
        <v>100</v>
      </c>
      <c r="CO273" s="267">
        <f t="shared" si="84"/>
        <v>-22997.838576986298</v>
      </c>
      <c r="CP273" s="92"/>
      <c r="CQ273" s="85"/>
      <c r="CR273" s="85"/>
      <c r="CS273" s="85"/>
      <c r="CT273" s="99" t="e">
        <f t="shared" si="85"/>
        <v>#REF!</v>
      </c>
      <c r="CU273" s="100">
        <f>CU274+CU275+CU276+CU277+CU278+CU279+CU280+CU281+CU282</f>
        <v>2.5</v>
      </c>
      <c r="CV273" s="101"/>
      <c r="CW273" s="101"/>
      <c r="CX273" s="101"/>
      <c r="CY273" s="101"/>
      <c r="CZ273" s="101"/>
      <c r="DA273" s="101"/>
      <c r="DB273" s="101"/>
    </row>
    <row r="274" spans="1:107" ht="14.25" customHeight="1" outlineLevel="4" x14ac:dyDescent="0.25">
      <c r="C274" s="2" t="s">
        <v>84</v>
      </c>
      <c r="D274" s="2" t="s">
        <v>85</v>
      </c>
      <c r="E274" s="2" t="s">
        <v>74</v>
      </c>
      <c r="F274" s="2" t="s">
        <v>75</v>
      </c>
      <c r="G274" s="2" t="s">
        <v>392</v>
      </c>
      <c r="H274" s="2" t="s">
        <v>74</v>
      </c>
      <c r="I274" s="2" t="s">
        <v>74</v>
      </c>
      <c r="J274" s="2" t="s">
        <v>74</v>
      </c>
      <c r="K274" s="5" t="s">
        <v>74</v>
      </c>
      <c r="L274" s="2" t="s">
        <v>370</v>
      </c>
      <c r="M274" s="8" t="str">
        <f t="array" ref="M274">Y107</f>
        <v>1ВО::1.1</v>
      </c>
      <c r="Y274" s="2">
        <v>1</v>
      </c>
      <c r="AA274" s="107" t="str">
        <f>AA$273&amp;"."&amp;Y274</f>
        <v>3.1.3.3.1</v>
      </c>
      <c r="AB274" s="233" t="s">
        <v>392</v>
      </c>
      <c r="AC274" s="197" t="s">
        <v>114</v>
      </c>
      <c r="AD274" s="136"/>
      <c r="AE274" s="136"/>
      <c r="AF274" s="195"/>
      <c r="AG274" s="202"/>
      <c r="AH274" s="202"/>
      <c r="AI274" s="136">
        <f t="array" ref="AI274">AF274</f>
        <v>0</v>
      </c>
      <c r="AJ274" s="202"/>
      <c r="AK274" s="202"/>
      <c r="AL274" s="202"/>
      <c r="AM274" s="202"/>
      <c r="AN274" s="203">
        <f t="array" ref="AN274">[1]Налоги!AG131</f>
        <v>0</v>
      </c>
      <c r="AO274" s="195"/>
      <c r="AP274" s="202"/>
      <c r="AQ274" s="202"/>
      <c r="AR274" s="136">
        <f t="array" ref="AR274">AO274</f>
        <v>0</v>
      </c>
      <c r="AS274" s="202"/>
      <c r="AT274" s="202"/>
      <c r="AU274" s="203">
        <f t="array" ref="AU274">[1]Налоги!AL131</f>
        <v>0</v>
      </c>
      <c r="AV274" s="195"/>
      <c r="AW274" s="202"/>
      <c r="AX274" s="202"/>
      <c r="AY274" s="136">
        <f t="array" ref="AY274">AV274</f>
        <v>0</v>
      </c>
      <c r="AZ274" s="202"/>
      <c r="BA274" s="202"/>
      <c r="BB274" s="202"/>
      <c r="BC274" s="202"/>
      <c r="BD274" s="203">
        <f t="array" ref="BD274">[1]Налоги!AU131</f>
        <v>0</v>
      </c>
      <c r="BE274" s="202"/>
      <c r="BF274" s="202"/>
      <c r="BG274" s="267">
        <f t="shared" si="75"/>
        <v>0</v>
      </c>
      <c r="BH274" s="267" t="e">
        <f>BD274-#REF!</f>
        <v>#REF!</v>
      </c>
      <c r="BI274" s="267">
        <f t="shared" si="76"/>
        <v>0</v>
      </c>
      <c r="BJ274" s="203">
        <f t="array" ref="BJ274">[1]Налоги!AP131</f>
        <v>0</v>
      </c>
      <c r="BK274" s="202"/>
      <c r="BL274" s="202"/>
      <c r="BM274" s="203">
        <f t="array" ref="BM274">[1]Налоги!AV131</f>
        <v>0</v>
      </c>
      <c r="BN274" s="202"/>
      <c r="BO274" s="202"/>
      <c r="BP274" s="267">
        <f t="shared" si="77"/>
        <v>0</v>
      </c>
      <c r="BQ274" s="267">
        <f t="shared" si="78"/>
        <v>0</v>
      </c>
      <c r="BR274" s="203">
        <f t="array" ref="BR274">[1]Налоги!AQ131</f>
        <v>0</v>
      </c>
      <c r="BS274" s="202"/>
      <c r="BT274" s="202"/>
      <c r="BU274" s="203">
        <f t="array" ref="BU274">[1]Налоги!AW131</f>
        <v>0</v>
      </c>
      <c r="BV274" s="202"/>
      <c r="BW274" s="202"/>
      <c r="BX274" s="267">
        <f t="shared" si="79"/>
        <v>0</v>
      </c>
      <c r="BY274" s="267">
        <f t="shared" si="80"/>
        <v>0</v>
      </c>
      <c r="BZ274" s="203">
        <f t="array" ref="BZ274">[1]Налоги!AR131</f>
        <v>0</v>
      </c>
      <c r="CA274" s="202"/>
      <c r="CB274" s="202"/>
      <c r="CC274" s="203">
        <f t="array" ref="CC274">[1]Налоги!AX131</f>
        <v>0</v>
      </c>
      <c r="CD274" s="202"/>
      <c r="CE274" s="202"/>
      <c r="CF274" s="267">
        <f t="shared" si="81"/>
        <v>0</v>
      </c>
      <c r="CG274" s="267">
        <f t="shared" si="82"/>
        <v>0</v>
      </c>
      <c r="CH274" s="203">
        <f t="array" ref="CH274">[1]Налоги!AS131</f>
        <v>0</v>
      </c>
      <c r="CI274" s="202"/>
      <c r="CJ274" s="202"/>
      <c r="CK274" s="203">
        <f t="array" ref="CK274">[1]Налоги!AY131</f>
        <v>0</v>
      </c>
      <c r="CL274" s="202"/>
      <c r="CM274" s="202"/>
      <c r="CN274" s="267">
        <f t="shared" si="83"/>
        <v>0</v>
      </c>
      <c r="CO274" s="267">
        <f t="shared" si="84"/>
        <v>0</v>
      </c>
      <c r="CP274" s="92"/>
      <c r="CQ274" s="85"/>
      <c r="CR274" s="85"/>
      <c r="CS274" s="85"/>
      <c r="CT274" s="99" t="e">
        <f t="shared" si="85"/>
        <v>#REF!</v>
      </c>
      <c r="CU274" s="99">
        <f t="array" ref="CU274">BD274</f>
        <v>0</v>
      </c>
      <c r="CV274" s="101"/>
      <c r="CW274" s="101"/>
      <c r="CX274" s="101"/>
      <c r="CY274" s="101"/>
      <c r="CZ274" s="101"/>
      <c r="DA274" s="101"/>
      <c r="DB274" s="101"/>
    </row>
    <row r="275" spans="1:107" ht="14.25" customHeight="1" outlineLevel="4" x14ac:dyDescent="0.25">
      <c r="C275" s="2" t="s">
        <v>84</v>
      </c>
      <c r="D275" s="2" t="s">
        <v>85</v>
      </c>
      <c r="E275" s="2" t="s">
        <v>74</v>
      </c>
      <c r="F275" s="2" t="s">
        <v>75</v>
      </c>
      <c r="G275" s="2" t="s">
        <v>393</v>
      </c>
      <c r="H275" s="2" t="s">
        <v>74</v>
      </c>
      <c r="I275" s="2" t="s">
        <v>74</v>
      </c>
      <c r="J275" s="2" t="s">
        <v>74</v>
      </c>
      <c r="K275" s="5" t="s">
        <v>74</v>
      </c>
      <c r="L275" s="2" t="s">
        <v>370</v>
      </c>
      <c r="M275" s="8" t="str">
        <f t="array" ref="M275">Y107</f>
        <v>1ВО::1.1</v>
      </c>
      <c r="Y275" s="2">
        <f>COUNT($Y274:Y274)+1</f>
        <v>2</v>
      </c>
      <c r="AA275" s="107" t="str">
        <f>AA$273&amp;"."&amp;Y275</f>
        <v>3.1.3.3.2</v>
      </c>
      <c r="AB275" s="233" t="s">
        <v>393</v>
      </c>
      <c r="AC275" s="197" t="s">
        <v>114</v>
      </c>
      <c r="AD275" s="136">
        <v>77800</v>
      </c>
      <c r="AE275" s="136">
        <v>56630.811592598002</v>
      </c>
      <c r="AF275" s="195">
        <v>99378.566000000006</v>
      </c>
      <c r="AG275" s="202"/>
      <c r="AH275" s="202"/>
      <c r="AI275" s="136">
        <v>99378.566000000006</v>
      </c>
      <c r="AJ275" s="202"/>
      <c r="AK275" s="202"/>
      <c r="AL275" s="202"/>
      <c r="AM275" s="202"/>
      <c r="AN275" s="203">
        <f t="array" ref="AN275">[1]Налоги!AG139</f>
        <v>91186.07</v>
      </c>
      <c r="AO275" s="195">
        <v>93121.643039999995</v>
      </c>
      <c r="AP275" s="202"/>
      <c r="AQ275" s="202"/>
      <c r="AR275" s="136">
        <v>93121.643039999995</v>
      </c>
      <c r="AS275" s="202"/>
      <c r="AT275" s="202"/>
      <c r="AU275" s="203">
        <f t="array" ref="AU275">[1]Налоги!AL139</f>
        <v>0</v>
      </c>
      <c r="AV275" s="195">
        <v>91744.234479999999</v>
      </c>
      <c r="AW275" s="202"/>
      <c r="AX275" s="202"/>
      <c r="AY275" s="136">
        <v>91744.234479999999</v>
      </c>
      <c r="AZ275" s="202"/>
      <c r="BA275" s="202"/>
      <c r="BB275" s="202"/>
      <c r="BC275" s="202"/>
      <c r="BD275" s="203">
        <f t="array" ref="BD275">[1]Налоги!AU139</f>
        <v>0</v>
      </c>
      <c r="BE275" s="202"/>
      <c r="BF275" s="202"/>
      <c r="BG275" s="267">
        <f t="shared" si="75"/>
        <v>0</v>
      </c>
      <c r="BH275" s="267" t="e">
        <f>BD275-#REF!</f>
        <v>#REF!</v>
      </c>
      <c r="BI275" s="267">
        <f t="shared" si="76"/>
        <v>-91744.234479999999</v>
      </c>
      <c r="BJ275" s="203">
        <f t="array" ref="BJ275">[1]Налоги!AP139</f>
        <v>27952.412789849648</v>
      </c>
      <c r="BK275" s="202"/>
      <c r="BL275" s="202"/>
      <c r="BM275" s="203">
        <f t="array" ref="BM275">[1]Налоги!AV139</f>
        <v>0</v>
      </c>
      <c r="BN275" s="202"/>
      <c r="BO275" s="202"/>
      <c r="BP275" s="267">
        <f t="shared" si="77"/>
        <v>0</v>
      </c>
      <c r="BQ275" s="267">
        <f t="shared" si="78"/>
        <v>-27952.412789849648</v>
      </c>
      <c r="BR275" s="203">
        <f t="array" ref="BR275">[1]Налоги!AQ139</f>
        <v>26300.788029715575</v>
      </c>
      <c r="BS275" s="202"/>
      <c r="BT275" s="202"/>
      <c r="BU275" s="203">
        <f t="array" ref="BU275">[1]Налоги!AW139</f>
        <v>0</v>
      </c>
      <c r="BV275" s="202"/>
      <c r="BW275" s="202"/>
      <c r="BX275" s="267">
        <f t="shared" si="79"/>
        <v>0</v>
      </c>
      <c r="BY275" s="267">
        <f t="shared" si="80"/>
        <v>-26300.788029715575</v>
      </c>
      <c r="BZ275" s="203">
        <f t="array" ref="BZ275">[1]Налоги!AR139</f>
        <v>24649.313303350937</v>
      </c>
      <c r="CA275" s="202"/>
      <c r="CB275" s="202"/>
      <c r="CC275" s="203">
        <f t="array" ref="CC275">[1]Налоги!AX139</f>
        <v>0</v>
      </c>
      <c r="CD275" s="202"/>
      <c r="CE275" s="202"/>
      <c r="CF275" s="267">
        <f t="shared" si="81"/>
        <v>0</v>
      </c>
      <c r="CG275" s="267">
        <f t="shared" si="82"/>
        <v>-24649.313303350937</v>
      </c>
      <c r="CH275" s="203">
        <f t="array" ref="CH275">[1]Налоги!AS139</f>
        <v>22997.838576986298</v>
      </c>
      <c r="CI275" s="202"/>
      <c r="CJ275" s="202"/>
      <c r="CK275" s="203">
        <f t="array" ref="CK275">[1]Налоги!AY139</f>
        <v>0</v>
      </c>
      <c r="CL275" s="202"/>
      <c r="CM275" s="202"/>
      <c r="CN275" s="267">
        <f t="shared" si="83"/>
        <v>0</v>
      </c>
      <c r="CO275" s="267">
        <f t="shared" si="84"/>
        <v>-22997.838576986298</v>
      </c>
      <c r="CP275" s="92"/>
      <c r="CQ275" s="85"/>
      <c r="CR275" s="85"/>
      <c r="CS275" s="85"/>
      <c r="CT275" s="99" t="e">
        <f t="shared" si="85"/>
        <v>#REF!</v>
      </c>
      <c r="CU275" s="99">
        <f t="array" ref="CU275">BD275</f>
        <v>0</v>
      </c>
      <c r="CV275" s="101"/>
      <c r="CW275" s="101"/>
      <c r="CX275" s="101"/>
      <c r="CY275" s="101"/>
      <c r="CZ275" s="101"/>
      <c r="DA275" s="101"/>
      <c r="DB275" s="101"/>
    </row>
    <row r="276" spans="1:107" ht="14.25" customHeight="1" outlineLevel="4" x14ac:dyDescent="0.25">
      <c r="C276" s="2" t="s">
        <v>84</v>
      </c>
      <c r="D276" s="2" t="s">
        <v>85</v>
      </c>
      <c r="E276" s="2" t="s">
        <v>74</v>
      </c>
      <c r="F276" s="2" t="s">
        <v>75</v>
      </c>
      <c r="G276" s="2" t="s">
        <v>394</v>
      </c>
      <c r="H276" s="2" t="s">
        <v>74</v>
      </c>
      <c r="I276" s="2" t="s">
        <v>74</v>
      </c>
      <c r="J276" s="2" t="s">
        <v>74</v>
      </c>
      <c r="K276" s="5" t="s">
        <v>74</v>
      </c>
      <c r="L276" s="2" t="s">
        <v>370</v>
      </c>
      <c r="M276" s="8" t="str">
        <f t="array" ref="M276">Y107</f>
        <v>1ВО::1.1</v>
      </c>
      <c r="Y276" s="2">
        <f>COUNT($Y274:Y275)+1</f>
        <v>3</v>
      </c>
      <c r="AA276" s="107" t="str">
        <f>AA$273&amp;"."&amp;Y276</f>
        <v>3.1.3.3.3</v>
      </c>
      <c r="AB276" s="233" t="s">
        <v>394</v>
      </c>
      <c r="AC276" s="197" t="s">
        <v>114</v>
      </c>
      <c r="AD276" s="136">
        <v>109.99</v>
      </c>
      <c r="AE276" s="136"/>
      <c r="AF276" s="195"/>
      <c r="AG276" s="202"/>
      <c r="AH276" s="202"/>
      <c r="AI276" s="136">
        <f t="array" ref="AI276">AF276</f>
        <v>0</v>
      </c>
      <c r="AJ276" s="202"/>
      <c r="AK276" s="202"/>
      <c r="AL276" s="202"/>
      <c r="AM276" s="202"/>
      <c r="AN276" s="203">
        <f t="array" ref="AN276">[1]Налоги!AG149</f>
        <v>0</v>
      </c>
      <c r="AO276" s="195"/>
      <c r="AP276" s="202"/>
      <c r="AQ276" s="202"/>
      <c r="AR276" s="136">
        <f t="array" ref="AR276">AO276</f>
        <v>0</v>
      </c>
      <c r="AS276" s="202"/>
      <c r="AT276" s="202"/>
      <c r="AU276" s="203">
        <f t="array" ref="AU276">[1]Налоги!AL149</f>
        <v>0</v>
      </c>
      <c r="AV276" s="195"/>
      <c r="AW276" s="202"/>
      <c r="AX276" s="202"/>
      <c r="AY276" s="136">
        <f t="array" ref="AY276">AV276</f>
        <v>0</v>
      </c>
      <c r="AZ276" s="202"/>
      <c r="BA276" s="202"/>
      <c r="BB276" s="202"/>
      <c r="BC276" s="202"/>
      <c r="BD276" s="203">
        <f t="array" ref="BD276">[1]Налоги!AU149</f>
        <v>0</v>
      </c>
      <c r="BE276" s="202"/>
      <c r="BF276" s="202"/>
      <c r="BG276" s="267">
        <f t="shared" si="75"/>
        <v>0</v>
      </c>
      <c r="BH276" s="267" t="e">
        <f>BD276-#REF!</f>
        <v>#REF!</v>
      </c>
      <c r="BI276" s="267">
        <f t="shared" si="76"/>
        <v>0</v>
      </c>
      <c r="BJ276" s="203">
        <f t="array" ref="BJ276">[1]Налоги!AP149</f>
        <v>0</v>
      </c>
      <c r="BK276" s="202"/>
      <c r="BL276" s="202"/>
      <c r="BM276" s="203">
        <f t="array" ref="BM276">[1]Налоги!AV149</f>
        <v>0</v>
      </c>
      <c r="BN276" s="202"/>
      <c r="BO276" s="202"/>
      <c r="BP276" s="267">
        <f t="shared" si="77"/>
        <v>0</v>
      </c>
      <c r="BQ276" s="267">
        <f t="shared" si="78"/>
        <v>0</v>
      </c>
      <c r="BR276" s="203">
        <f t="array" ref="BR276">[1]Налоги!AQ149</f>
        <v>0</v>
      </c>
      <c r="BS276" s="202"/>
      <c r="BT276" s="202"/>
      <c r="BU276" s="203">
        <f t="array" ref="BU276">[1]Налоги!AW149</f>
        <v>0</v>
      </c>
      <c r="BV276" s="202"/>
      <c r="BW276" s="202"/>
      <c r="BX276" s="267">
        <f t="shared" si="79"/>
        <v>0</v>
      </c>
      <c r="BY276" s="267">
        <f t="shared" si="80"/>
        <v>0</v>
      </c>
      <c r="BZ276" s="203">
        <f t="array" ref="BZ276">[1]Налоги!AR149</f>
        <v>0</v>
      </c>
      <c r="CA276" s="202"/>
      <c r="CB276" s="202"/>
      <c r="CC276" s="203">
        <f t="array" ref="CC276">[1]Налоги!AX149</f>
        <v>0</v>
      </c>
      <c r="CD276" s="202"/>
      <c r="CE276" s="202"/>
      <c r="CF276" s="267">
        <f t="shared" si="81"/>
        <v>0</v>
      </c>
      <c r="CG276" s="267">
        <f t="shared" si="82"/>
        <v>0</v>
      </c>
      <c r="CH276" s="203">
        <f t="array" ref="CH276">[1]Налоги!AS149</f>
        <v>0</v>
      </c>
      <c r="CI276" s="202"/>
      <c r="CJ276" s="202"/>
      <c r="CK276" s="203">
        <f t="array" ref="CK276">[1]Налоги!AY149</f>
        <v>0</v>
      </c>
      <c r="CL276" s="202"/>
      <c r="CM276" s="202"/>
      <c r="CN276" s="267">
        <f t="shared" si="83"/>
        <v>0</v>
      </c>
      <c r="CO276" s="267">
        <f t="shared" si="84"/>
        <v>0</v>
      </c>
      <c r="CP276" s="92"/>
      <c r="CQ276" s="85"/>
      <c r="CR276" s="85"/>
      <c r="CS276" s="85"/>
      <c r="CT276" s="99" t="e">
        <f t="shared" si="85"/>
        <v>#REF!</v>
      </c>
      <c r="CU276" s="99">
        <f t="array" ref="CU276">BD276</f>
        <v>0</v>
      </c>
      <c r="CV276" s="101"/>
      <c r="CW276" s="101"/>
      <c r="CX276" s="101"/>
      <c r="CY276" s="101"/>
      <c r="CZ276" s="101"/>
      <c r="DA276" s="101"/>
      <c r="DB276" s="101"/>
    </row>
    <row r="277" spans="1:107" ht="14.25" hidden="1" customHeight="1" outlineLevel="4" x14ac:dyDescent="0.25">
      <c r="A277" s="2" t="b">
        <f>$U107="Водоснабжение"</f>
        <v>0</v>
      </c>
      <c r="B277" s="8" t="b">
        <f t="array" ref="B277">A277</f>
        <v>0</v>
      </c>
      <c r="C277" s="2" t="s">
        <v>84</v>
      </c>
      <c r="D277" s="2" t="s">
        <v>85</v>
      </c>
      <c r="E277" s="2" t="s">
        <v>74</v>
      </c>
      <c r="F277" s="2" t="s">
        <v>75</v>
      </c>
      <c r="G277" s="2" t="s">
        <v>395</v>
      </c>
      <c r="H277" s="2" t="s">
        <v>74</v>
      </c>
      <c r="I277" s="2" t="s">
        <v>74</v>
      </c>
      <c r="J277" s="2" t="s">
        <v>74</v>
      </c>
      <c r="K277" s="5" t="s">
        <v>74</v>
      </c>
      <c r="L277" s="2" t="s">
        <v>370</v>
      </c>
      <c r="M277" s="8" t="str">
        <f t="array" ref="M277">Y107</f>
        <v>1ВО::1.1</v>
      </c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2">
        <f>COUNT($Y274:Y276)+1</f>
        <v>4</v>
      </c>
      <c r="Z277" s="15"/>
      <c r="AA277" s="167"/>
      <c r="AB277" s="234"/>
      <c r="AC277" s="211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12"/>
      <c r="AO277" s="202"/>
      <c r="AP277" s="202"/>
      <c r="AQ277" s="202"/>
      <c r="AR277" s="202"/>
      <c r="AS277" s="202"/>
      <c r="AT277" s="202"/>
      <c r="AU277" s="212"/>
      <c r="AV277" s="202"/>
      <c r="AW277" s="202"/>
      <c r="AX277" s="202"/>
      <c r="AY277" s="202"/>
      <c r="AZ277" s="202"/>
      <c r="BA277" s="202"/>
      <c r="BB277" s="202"/>
      <c r="BC277" s="202"/>
      <c r="BD277" s="212"/>
      <c r="BE277" s="202"/>
      <c r="BF277" s="202"/>
      <c r="BG277" s="275"/>
      <c r="BH277" s="275"/>
      <c r="BI277" s="275"/>
      <c r="BJ277" s="212"/>
      <c r="BK277" s="202"/>
      <c r="BL277" s="202"/>
      <c r="BM277" s="212"/>
      <c r="BN277" s="202"/>
      <c r="BO277" s="202"/>
      <c r="BP277" s="275"/>
      <c r="BQ277" s="275"/>
      <c r="BR277" s="212"/>
      <c r="BS277" s="202"/>
      <c r="BT277" s="202"/>
      <c r="BU277" s="212"/>
      <c r="BV277" s="202"/>
      <c r="BW277" s="202"/>
      <c r="BX277" s="275"/>
      <c r="BY277" s="275"/>
      <c r="BZ277" s="212"/>
      <c r="CA277" s="202"/>
      <c r="CB277" s="202"/>
      <c r="CC277" s="212"/>
      <c r="CD277" s="202"/>
      <c r="CE277" s="202"/>
      <c r="CF277" s="275"/>
      <c r="CG277" s="275"/>
      <c r="CH277" s="212"/>
      <c r="CI277" s="202"/>
      <c r="CJ277" s="202"/>
      <c r="CK277" s="212"/>
      <c r="CL277" s="202"/>
      <c r="CM277" s="202"/>
      <c r="CN277" s="275"/>
      <c r="CO277" s="275"/>
      <c r="CP277" s="68"/>
      <c r="CQ277" s="62"/>
      <c r="CR277" s="62"/>
      <c r="CS277" s="62"/>
      <c r="CT277" s="170"/>
      <c r="CU277" s="170"/>
      <c r="CV277" s="68"/>
      <c r="CW277" s="68"/>
      <c r="CX277" s="68"/>
      <c r="CY277" s="68"/>
      <c r="CZ277" s="68"/>
      <c r="DA277" s="68"/>
      <c r="DB277" s="68"/>
      <c r="DC277" s="15"/>
    </row>
    <row r="278" spans="1:107" ht="14.25" hidden="1" customHeight="1" outlineLevel="4" x14ac:dyDescent="0.25">
      <c r="A278" s="2" t="b">
        <f t="array" ref="A278">A277</f>
        <v>0</v>
      </c>
      <c r="B278" s="8" t="b">
        <f t="array" ref="B278">A278</f>
        <v>0</v>
      </c>
      <c r="C278" s="2" t="s">
        <v>84</v>
      </c>
      <c r="D278" s="2" t="s">
        <v>85</v>
      </c>
      <c r="E278" s="2" t="s">
        <v>74</v>
      </c>
      <c r="F278" s="2" t="s">
        <v>75</v>
      </c>
      <c r="G278" s="2" t="s">
        <v>396</v>
      </c>
      <c r="H278" s="2" t="s">
        <v>74</v>
      </c>
      <c r="I278" s="2" t="s">
        <v>74</v>
      </c>
      <c r="J278" s="2" t="s">
        <v>74</v>
      </c>
      <c r="K278" s="5" t="s">
        <v>74</v>
      </c>
      <c r="L278" s="2" t="s">
        <v>370</v>
      </c>
      <c r="M278" s="8" t="str">
        <f t="array" ref="M278">Y107</f>
        <v>1ВО::1.1</v>
      </c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2">
        <f>COUNT($Y274:Y277)+1</f>
        <v>5</v>
      </c>
      <c r="Z278" s="15"/>
      <c r="AA278" s="167"/>
      <c r="AB278" s="234"/>
      <c r="AC278" s="211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12"/>
      <c r="AO278" s="202"/>
      <c r="AP278" s="202"/>
      <c r="AQ278" s="202"/>
      <c r="AR278" s="202"/>
      <c r="AS278" s="202"/>
      <c r="AT278" s="202"/>
      <c r="AU278" s="212"/>
      <c r="AV278" s="202"/>
      <c r="AW278" s="202"/>
      <c r="AX278" s="202"/>
      <c r="AY278" s="202"/>
      <c r="AZ278" s="202"/>
      <c r="BA278" s="202"/>
      <c r="BB278" s="202"/>
      <c r="BC278" s="202"/>
      <c r="BD278" s="212"/>
      <c r="BE278" s="202"/>
      <c r="BF278" s="202"/>
      <c r="BG278" s="275"/>
      <c r="BH278" s="275"/>
      <c r="BI278" s="275"/>
      <c r="BJ278" s="212"/>
      <c r="BK278" s="202"/>
      <c r="BL278" s="202"/>
      <c r="BM278" s="212"/>
      <c r="BN278" s="202"/>
      <c r="BO278" s="202"/>
      <c r="BP278" s="275"/>
      <c r="BQ278" s="275"/>
      <c r="BR278" s="212"/>
      <c r="BS278" s="202"/>
      <c r="BT278" s="202"/>
      <c r="BU278" s="212"/>
      <c r="BV278" s="202"/>
      <c r="BW278" s="202"/>
      <c r="BX278" s="275"/>
      <c r="BY278" s="275"/>
      <c r="BZ278" s="212"/>
      <c r="CA278" s="202"/>
      <c r="CB278" s="202"/>
      <c r="CC278" s="212"/>
      <c r="CD278" s="202"/>
      <c r="CE278" s="202"/>
      <c r="CF278" s="275"/>
      <c r="CG278" s="275"/>
      <c r="CH278" s="212"/>
      <c r="CI278" s="202"/>
      <c r="CJ278" s="202"/>
      <c r="CK278" s="212"/>
      <c r="CL278" s="202"/>
      <c r="CM278" s="202"/>
      <c r="CN278" s="275"/>
      <c r="CO278" s="275"/>
      <c r="CP278" s="68"/>
      <c r="CQ278" s="62"/>
      <c r="CR278" s="62"/>
      <c r="CS278" s="62"/>
      <c r="CT278" s="170"/>
      <c r="CU278" s="170"/>
      <c r="CV278" s="68"/>
      <c r="CW278" s="68"/>
      <c r="CX278" s="68"/>
      <c r="CY278" s="68"/>
      <c r="CZ278" s="68"/>
      <c r="DA278" s="68"/>
      <c r="DB278" s="68"/>
      <c r="DC278" s="15"/>
    </row>
    <row r="279" spans="1:107" ht="14.25" customHeight="1" outlineLevel="4" x14ac:dyDescent="0.25">
      <c r="C279" s="2" t="s">
        <v>84</v>
      </c>
      <c r="D279" s="2" t="s">
        <v>85</v>
      </c>
      <c r="E279" s="2" t="s">
        <v>74</v>
      </c>
      <c r="F279" s="2" t="s">
        <v>75</v>
      </c>
      <c r="G279" s="2" t="s">
        <v>397</v>
      </c>
      <c r="H279" s="2" t="s">
        <v>74</v>
      </c>
      <c r="I279" s="2" t="s">
        <v>74</v>
      </c>
      <c r="J279" s="2" t="s">
        <v>74</v>
      </c>
      <c r="K279" s="5" t="s">
        <v>74</v>
      </c>
      <c r="L279" s="2" t="s">
        <v>370</v>
      </c>
      <c r="M279" s="8" t="str">
        <f t="array" ref="M279">Y107</f>
        <v>1ВО::1.1</v>
      </c>
      <c r="Y279" s="2">
        <f>COUNT($Y274:Y278)+1</f>
        <v>6</v>
      </c>
      <c r="AA279" s="107" t="str">
        <f>AA$273&amp;"."&amp;Y279</f>
        <v>3.1.3.3.6</v>
      </c>
      <c r="AB279" s="233" t="s">
        <v>397</v>
      </c>
      <c r="AC279" s="197" t="s">
        <v>114</v>
      </c>
      <c r="AD279" s="136">
        <v>373.17</v>
      </c>
      <c r="AE279" s="136">
        <v>612.66246000000001</v>
      </c>
      <c r="AF279" s="195">
        <v>621.11199999999997</v>
      </c>
      <c r="AG279" s="202"/>
      <c r="AH279" s="202"/>
      <c r="AI279" s="136">
        <v>621.11199999999997</v>
      </c>
      <c r="AJ279" s="202"/>
      <c r="AK279" s="202"/>
      <c r="AL279" s="202"/>
      <c r="AM279" s="202"/>
      <c r="AN279" s="203">
        <f t="array" ref="AN279">[1]Налоги!AG121</f>
        <v>548.22199999999998</v>
      </c>
      <c r="AO279" s="195">
        <v>630.04399999999998</v>
      </c>
      <c r="AP279" s="202"/>
      <c r="AQ279" s="202"/>
      <c r="AR279" s="136">
        <v>630.04399999999998</v>
      </c>
      <c r="AS279" s="202"/>
      <c r="AT279" s="202"/>
      <c r="AU279" s="203">
        <f t="array" ref="AU279">[1]Налоги!AL121</f>
        <v>2.5</v>
      </c>
      <c r="AV279" s="195">
        <v>630.04399999999998</v>
      </c>
      <c r="AW279" s="202"/>
      <c r="AX279" s="202"/>
      <c r="AY279" s="136">
        <v>630.04399999999998</v>
      </c>
      <c r="AZ279" s="202"/>
      <c r="BA279" s="202"/>
      <c r="BB279" s="202"/>
      <c r="BC279" s="202"/>
      <c r="BD279" s="203">
        <f t="array" ref="BD279">[1]Налоги!AU121</f>
        <v>2.5</v>
      </c>
      <c r="BE279" s="202"/>
      <c r="BF279" s="202"/>
      <c r="BG279" s="267">
        <f t="shared" ref="BG279:BG307" si="86">IF(AR279=0,0,BD279/AR279)*100</f>
        <v>0.39679768397127818</v>
      </c>
      <c r="BH279" s="267" t="e">
        <f>BD279-#REF!</f>
        <v>#REF!</v>
      </c>
      <c r="BI279" s="267">
        <f t="shared" ref="BI279:BI307" si="87">BD279-AY279</f>
        <v>-627.54399999999998</v>
      </c>
      <c r="BJ279" s="203">
        <f t="array" ref="BJ279">[1]Налоги!AP121</f>
        <v>2.5</v>
      </c>
      <c r="BK279" s="202"/>
      <c r="BL279" s="202"/>
      <c r="BM279" s="203">
        <f t="array" ref="BM279">[1]Налоги!AV121</f>
        <v>2.5</v>
      </c>
      <c r="BN279" s="202"/>
      <c r="BO279" s="202"/>
      <c r="BP279" s="267">
        <f t="shared" ref="BP279:BP307" si="88">IF(BD279=0,0,BM279/BD279)*100</f>
        <v>100</v>
      </c>
      <c r="BQ279" s="267">
        <f t="shared" ref="BQ279:BQ307" si="89">BM279-BJ279</f>
        <v>0</v>
      </c>
      <c r="BR279" s="203">
        <f t="array" ref="BR279">[1]Налоги!AQ121</f>
        <v>2.5</v>
      </c>
      <c r="BS279" s="202"/>
      <c r="BT279" s="202"/>
      <c r="BU279" s="203">
        <f t="array" ref="BU279">[1]Налоги!AW121</f>
        <v>2.5</v>
      </c>
      <c r="BV279" s="202"/>
      <c r="BW279" s="202"/>
      <c r="BX279" s="267">
        <f t="shared" ref="BX279:BX307" si="90">IF(BM279=0,0,BU279/BM279)*100</f>
        <v>100</v>
      </c>
      <c r="BY279" s="267">
        <f t="shared" ref="BY279:BY307" si="91">BU279-BR279</f>
        <v>0</v>
      </c>
      <c r="BZ279" s="203">
        <f t="array" ref="BZ279">[1]Налоги!AR121</f>
        <v>2.5</v>
      </c>
      <c r="CA279" s="202"/>
      <c r="CB279" s="202"/>
      <c r="CC279" s="203">
        <f t="array" ref="CC279">[1]Налоги!AX121</f>
        <v>2.5</v>
      </c>
      <c r="CD279" s="202"/>
      <c r="CE279" s="202"/>
      <c r="CF279" s="267">
        <f t="shared" ref="CF279:CF307" si="92">IF(BU279=0,0,CC279/BU279)*100</f>
        <v>100</v>
      </c>
      <c r="CG279" s="267">
        <f t="shared" ref="CG279:CG307" si="93">CC279-BZ279</f>
        <v>0</v>
      </c>
      <c r="CH279" s="203">
        <f t="array" ref="CH279">[1]Налоги!AS121</f>
        <v>2.5</v>
      </c>
      <c r="CI279" s="202"/>
      <c r="CJ279" s="202"/>
      <c r="CK279" s="203">
        <f t="array" ref="CK279">[1]Налоги!AY121</f>
        <v>2.5</v>
      </c>
      <c r="CL279" s="202"/>
      <c r="CM279" s="202"/>
      <c r="CN279" s="267">
        <f t="shared" ref="CN279:CN307" si="94">IF(CC279=0,0,CK279/CC279)*100</f>
        <v>100</v>
      </c>
      <c r="CO279" s="267">
        <f t="shared" ref="CO279:CO307" si="95">CK279-CH279</f>
        <v>0</v>
      </c>
      <c r="CP279" s="92"/>
      <c r="CQ279" s="85"/>
      <c r="CR279" s="85"/>
      <c r="CS279" s="85"/>
      <c r="CT279" s="99" t="e">
        <f t="shared" ref="CT279:CT307" si="96">SUM(AD279:CO279)</f>
        <v>#REF!</v>
      </c>
      <c r="CU279" s="99">
        <f t="array" ref="CU279">BD279</f>
        <v>2.5</v>
      </c>
      <c r="CV279" s="101"/>
      <c r="CW279" s="101"/>
      <c r="CX279" s="101"/>
      <c r="CY279" s="101"/>
      <c r="CZ279" s="101"/>
      <c r="DA279" s="101"/>
      <c r="DB279" s="101"/>
    </row>
    <row r="280" spans="1:107" ht="14.25" customHeight="1" outlineLevel="4" x14ac:dyDescent="0.25">
      <c r="C280" s="2" t="s">
        <v>84</v>
      </c>
      <c r="D280" s="2" t="s">
        <v>85</v>
      </c>
      <c r="E280" s="2" t="s">
        <v>74</v>
      </c>
      <c r="F280" s="2" t="s">
        <v>75</v>
      </c>
      <c r="G280" s="2" t="s">
        <v>398</v>
      </c>
      <c r="H280" s="2" t="s">
        <v>74</v>
      </c>
      <c r="I280" s="2" t="s">
        <v>74</v>
      </c>
      <c r="J280" s="2" t="s">
        <v>74</v>
      </c>
      <c r="K280" s="5" t="s">
        <v>74</v>
      </c>
      <c r="L280" s="2" t="s">
        <v>370</v>
      </c>
      <c r="M280" s="8" t="str">
        <f t="array" ref="M280">Y107</f>
        <v>1ВО::1.1</v>
      </c>
      <c r="Y280" s="2">
        <f>COUNT($Y274:Y279)+1</f>
        <v>7</v>
      </c>
      <c r="AA280" s="107" t="str">
        <f>AA$273&amp;"."&amp;Y280</f>
        <v>3.1.3.3.7</v>
      </c>
      <c r="AB280" s="233" t="s">
        <v>398</v>
      </c>
      <c r="AC280" s="197" t="s">
        <v>114</v>
      </c>
      <c r="AD280" s="136">
        <v>86.34</v>
      </c>
      <c r="AE280" s="136">
        <v>580.54422999999997</v>
      </c>
      <c r="AF280" s="195"/>
      <c r="AG280" s="202"/>
      <c r="AH280" s="202"/>
      <c r="AI280" s="136">
        <f t="array" ref="AI280">AF280</f>
        <v>0</v>
      </c>
      <c r="AJ280" s="202"/>
      <c r="AK280" s="202"/>
      <c r="AL280" s="202"/>
      <c r="AM280" s="202"/>
      <c r="AN280" s="203">
        <f t="array" ref="AN280">[1]Налоги!AG159</f>
        <v>10035.016</v>
      </c>
      <c r="AO280" s="195">
        <v>193.08</v>
      </c>
      <c r="AP280" s="202"/>
      <c r="AQ280" s="202"/>
      <c r="AR280" s="136">
        <v>193.08</v>
      </c>
      <c r="AS280" s="202"/>
      <c r="AT280" s="202"/>
      <c r="AU280" s="203">
        <f t="array" ref="AU280">[1]Налоги!AL159</f>
        <v>0</v>
      </c>
      <c r="AV280" s="195">
        <v>193.08</v>
      </c>
      <c r="AW280" s="202"/>
      <c r="AX280" s="202"/>
      <c r="AY280" s="136">
        <v>193.08</v>
      </c>
      <c r="AZ280" s="202"/>
      <c r="BA280" s="202"/>
      <c r="BB280" s="202"/>
      <c r="BC280" s="202"/>
      <c r="BD280" s="203">
        <f t="array" ref="BD280">[1]Налоги!AU159</f>
        <v>0</v>
      </c>
      <c r="BE280" s="202"/>
      <c r="BF280" s="202"/>
      <c r="BG280" s="267">
        <f t="shared" si="86"/>
        <v>0</v>
      </c>
      <c r="BH280" s="267" t="e">
        <f>BD280-#REF!</f>
        <v>#REF!</v>
      </c>
      <c r="BI280" s="267">
        <f t="shared" si="87"/>
        <v>-193.08</v>
      </c>
      <c r="BJ280" s="203">
        <f t="array" ref="BJ280">[1]Налоги!AP159</f>
        <v>0</v>
      </c>
      <c r="BK280" s="202"/>
      <c r="BL280" s="202"/>
      <c r="BM280" s="203">
        <f t="array" ref="BM280">[1]Налоги!AV159</f>
        <v>0</v>
      </c>
      <c r="BN280" s="202"/>
      <c r="BO280" s="202"/>
      <c r="BP280" s="267">
        <f t="shared" si="88"/>
        <v>0</v>
      </c>
      <c r="BQ280" s="267">
        <f t="shared" si="89"/>
        <v>0</v>
      </c>
      <c r="BR280" s="203">
        <f t="array" ref="BR280">[1]Налоги!AQ159</f>
        <v>0</v>
      </c>
      <c r="BS280" s="202"/>
      <c r="BT280" s="202"/>
      <c r="BU280" s="203">
        <f t="array" ref="BU280">[1]Налоги!AW159</f>
        <v>0</v>
      </c>
      <c r="BV280" s="202"/>
      <c r="BW280" s="202"/>
      <c r="BX280" s="267">
        <f t="shared" si="90"/>
        <v>0</v>
      </c>
      <c r="BY280" s="267">
        <f t="shared" si="91"/>
        <v>0</v>
      </c>
      <c r="BZ280" s="203">
        <f t="array" ref="BZ280">[1]Налоги!AR159</f>
        <v>0</v>
      </c>
      <c r="CA280" s="202"/>
      <c r="CB280" s="202"/>
      <c r="CC280" s="203">
        <f t="array" ref="CC280">[1]Налоги!AX159</f>
        <v>0</v>
      </c>
      <c r="CD280" s="202"/>
      <c r="CE280" s="202"/>
      <c r="CF280" s="267">
        <f t="shared" si="92"/>
        <v>0</v>
      </c>
      <c r="CG280" s="267">
        <f t="shared" si="93"/>
        <v>0</v>
      </c>
      <c r="CH280" s="203">
        <f t="array" ref="CH280">[1]Налоги!AS159</f>
        <v>0</v>
      </c>
      <c r="CI280" s="202"/>
      <c r="CJ280" s="202"/>
      <c r="CK280" s="203">
        <f t="array" ref="CK280">[1]Налоги!AY159</f>
        <v>0</v>
      </c>
      <c r="CL280" s="202"/>
      <c r="CM280" s="202"/>
      <c r="CN280" s="267">
        <f t="shared" si="94"/>
        <v>0</v>
      </c>
      <c r="CO280" s="267">
        <f t="shared" si="95"/>
        <v>0</v>
      </c>
      <c r="CP280" s="92"/>
      <c r="CQ280" s="85"/>
      <c r="CR280" s="85"/>
      <c r="CS280" s="85"/>
      <c r="CT280" s="99" t="e">
        <f t="shared" si="96"/>
        <v>#REF!</v>
      </c>
      <c r="CU280" s="99">
        <f t="array" ref="CU280">BD280</f>
        <v>0</v>
      </c>
      <c r="CV280" s="101"/>
      <c r="CW280" s="101"/>
      <c r="CX280" s="101"/>
      <c r="CY280" s="101"/>
      <c r="CZ280" s="101"/>
      <c r="DA280" s="101"/>
      <c r="DB280" s="101"/>
    </row>
    <row r="281" spans="1:107" ht="14.25" customHeight="1" outlineLevel="4" x14ac:dyDescent="0.25">
      <c r="C281" s="2" t="s">
        <v>84</v>
      </c>
      <c r="D281" s="2" t="s">
        <v>85</v>
      </c>
      <c r="E281" s="2" t="s">
        <v>74</v>
      </c>
      <c r="F281" s="2" t="s">
        <v>75</v>
      </c>
      <c r="G281" s="2" t="s">
        <v>399</v>
      </c>
      <c r="H281" s="2" t="s">
        <v>74</v>
      </c>
      <c r="I281" s="2" t="s">
        <v>74</v>
      </c>
      <c r="J281" s="2" t="s">
        <v>74</v>
      </c>
      <c r="K281" s="5" t="s">
        <v>74</v>
      </c>
      <c r="L281" s="2" t="s">
        <v>370</v>
      </c>
      <c r="M281" s="8" t="str">
        <f t="array" ref="M281">Y107</f>
        <v>1ВО::1.1</v>
      </c>
      <c r="Y281" s="2">
        <f>COUNT($Y274:Y280)+1</f>
        <v>8</v>
      </c>
      <c r="AA281" s="107" t="str">
        <f>AA$273&amp;"."&amp;Y281</f>
        <v>3.1.3.3.8</v>
      </c>
      <c r="AB281" s="233" t="s">
        <v>399</v>
      </c>
      <c r="AC281" s="197" t="s">
        <v>114</v>
      </c>
      <c r="AD281" s="136"/>
      <c r="AE281" s="136"/>
      <c r="AF281" s="195"/>
      <c r="AG281" s="202"/>
      <c r="AH281" s="202"/>
      <c r="AI281" s="136">
        <f t="array" ref="AI281">AF281</f>
        <v>0</v>
      </c>
      <c r="AJ281" s="202"/>
      <c r="AK281" s="202"/>
      <c r="AL281" s="202"/>
      <c r="AM281" s="202"/>
      <c r="AN281" s="203">
        <f t="array" ref="AN281">[1]Налоги!AG164</f>
        <v>0</v>
      </c>
      <c r="AO281" s="195"/>
      <c r="AP281" s="202"/>
      <c r="AQ281" s="202"/>
      <c r="AR281" s="136">
        <f t="array" ref="AR281">AO281</f>
        <v>0</v>
      </c>
      <c r="AS281" s="202"/>
      <c r="AT281" s="202"/>
      <c r="AU281" s="203">
        <f t="array" ref="AU281">[1]Налоги!AL164</f>
        <v>0</v>
      </c>
      <c r="AV281" s="195"/>
      <c r="AW281" s="202"/>
      <c r="AX281" s="202"/>
      <c r="AY281" s="136">
        <f t="array" ref="AY281">AV281</f>
        <v>0</v>
      </c>
      <c r="AZ281" s="202"/>
      <c r="BA281" s="202"/>
      <c r="BB281" s="202"/>
      <c r="BC281" s="202"/>
      <c r="BD281" s="203">
        <f t="array" ref="BD281">[1]Налоги!AU164</f>
        <v>0</v>
      </c>
      <c r="BE281" s="202"/>
      <c r="BF281" s="202"/>
      <c r="BG281" s="267">
        <f t="shared" si="86"/>
        <v>0</v>
      </c>
      <c r="BH281" s="267" t="e">
        <f>BD281-#REF!</f>
        <v>#REF!</v>
      </c>
      <c r="BI281" s="267">
        <f t="shared" si="87"/>
        <v>0</v>
      </c>
      <c r="BJ281" s="203">
        <f t="array" ref="BJ281">[1]Налоги!AP164</f>
        <v>0</v>
      </c>
      <c r="BK281" s="202"/>
      <c r="BL281" s="202"/>
      <c r="BM281" s="203">
        <f t="array" ref="BM281">[1]Налоги!AV164</f>
        <v>0</v>
      </c>
      <c r="BN281" s="202"/>
      <c r="BO281" s="202"/>
      <c r="BP281" s="267">
        <f t="shared" si="88"/>
        <v>0</v>
      </c>
      <c r="BQ281" s="267">
        <f t="shared" si="89"/>
        <v>0</v>
      </c>
      <c r="BR281" s="203">
        <f t="array" ref="BR281">[1]Налоги!AQ164</f>
        <v>0</v>
      </c>
      <c r="BS281" s="202"/>
      <c r="BT281" s="202"/>
      <c r="BU281" s="203">
        <f t="array" ref="BU281">[1]Налоги!AW164</f>
        <v>0</v>
      </c>
      <c r="BV281" s="202"/>
      <c r="BW281" s="202"/>
      <c r="BX281" s="267">
        <f t="shared" si="90"/>
        <v>0</v>
      </c>
      <c r="BY281" s="267">
        <f t="shared" si="91"/>
        <v>0</v>
      </c>
      <c r="BZ281" s="203">
        <f t="array" ref="BZ281">[1]Налоги!AR164</f>
        <v>0</v>
      </c>
      <c r="CA281" s="202"/>
      <c r="CB281" s="202"/>
      <c r="CC281" s="203">
        <f t="array" ref="CC281">[1]Налоги!AX164</f>
        <v>0</v>
      </c>
      <c r="CD281" s="202"/>
      <c r="CE281" s="202"/>
      <c r="CF281" s="267">
        <f t="shared" si="92"/>
        <v>0</v>
      </c>
      <c r="CG281" s="267">
        <f t="shared" si="93"/>
        <v>0</v>
      </c>
      <c r="CH281" s="203">
        <f t="array" ref="CH281">[1]Налоги!AS164</f>
        <v>0</v>
      </c>
      <c r="CI281" s="202"/>
      <c r="CJ281" s="202"/>
      <c r="CK281" s="203">
        <f t="array" ref="CK281">[1]Налоги!AY164</f>
        <v>0</v>
      </c>
      <c r="CL281" s="202"/>
      <c r="CM281" s="202"/>
      <c r="CN281" s="267">
        <f t="shared" si="94"/>
        <v>0</v>
      </c>
      <c r="CO281" s="267">
        <f t="shared" si="95"/>
        <v>0</v>
      </c>
      <c r="CP281" s="92"/>
      <c r="CQ281" s="85"/>
      <c r="CR281" s="85"/>
      <c r="CS281" s="85"/>
      <c r="CT281" s="99" t="e">
        <f t="shared" si="96"/>
        <v>#REF!</v>
      </c>
      <c r="CU281" s="99">
        <f t="array" ref="CU281">BD281</f>
        <v>0</v>
      </c>
      <c r="CV281" s="101"/>
      <c r="CW281" s="101"/>
      <c r="CX281" s="101"/>
      <c r="CY281" s="101"/>
      <c r="CZ281" s="101"/>
      <c r="DA281" s="101"/>
      <c r="DB281" s="101"/>
    </row>
    <row r="282" spans="1:107" ht="14.25" customHeight="1" outlineLevel="4" x14ac:dyDescent="0.25">
      <c r="C282" s="2" t="s">
        <v>84</v>
      </c>
      <c r="D282" s="2" t="s">
        <v>85</v>
      </c>
      <c r="E282" s="2" t="s">
        <v>74</v>
      </c>
      <c r="F282" s="2" t="s">
        <v>75</v>
      </c>
      <c r="G282" s="2" t="s">
        <v>400</v>
      </c>
      <c r="H282" s="2" t="s">
        <v>74</v>
      </c>
      <c r="I282" s="2" t="s">
        <v>74</v>
      </c>
      <c r="J282" s="2" t="s">
        <v>74</v>
      </c>
      <c r="K282" s="5" t="s">
        <v>74</v>
      </c>
      <c r="L282" s="2" t="s">
        <v>370</v>
      </c>
      <c r="M282" s="8" t="str">
        <f t="array" ref="M282">Y107</f>
        <v>1ВО::1.1</v>
      </c>
      <c r="Y282" s="2">
        <f>COUNT($Y274:Y281)+1</f>
        <v>9</v>
      </c>
      <c r="AA282" s="107" t="str">
        <f>AA$273&amp;"."&amp;Y282</f>
        <v>3.1.3.3.9</v>
      </c>
      <c r="AB282" s="233" t="s">
        <v>401</v>
      </c>
      <c r="AC282" s="197" t="s">
        <v>114</v>
      </c>
      <c r="AD282" s="136"/>
      <c r="AE282" s="136"/>
      <c r="AF282" s="195"/>
      <c r="AG282" s="202"/>
      <c r="AH282" s="202"/>
      <c r="AI282" s="136">
        <f t="array" ref="AI282">AF282</f>
        <v>0</v>
      </c>
      <c r="AJ282" s="202"/>
      <c r="AK282" s="202"/>
      <c r="AL282" s="202"/>
      <c r="AM282" s="202"/>
      <c r="AN282" s="203">
        <f t="array" ref="AN282">[1]Налоги!AG135</f>
        <v>0</v>
      </c>
      <c r="AO282" s="195"/>
      <c r="AP282" s="202"/>
      <c r="AQ282" s="202"/>
      <c r="AR282" s="136">
        <f t="array" ref="AR282">AO282</f>
        <v>0</v>
      </c>
      <c r="AS282" s="202"/>
      <c r="AT282" s="202"/>
      <c r="AU282" s="203">
        <f t="array" ref="AU282">[1]Налоги!AL135</f>
        <v>0</v>
      </c>
      <c r="AV282" s="195"/>
      <c r="AW282" s="202"/>
      <c r="AX282" s="202"/>
      <c r="AY282" s="136">
        <f t="array" ref="AY282">AV282</f>
        <v>0</v>
      </c>
      <c r="AZ282" s="202"/>
      <c r="BA282" s="202"/>
      <c r="BB282" s="202"/>
      <c r="BC282" s="202"/>
      <c r="BD282" s="203">
        <f t="array" ref="BD282">[1]Налоги!AU135</f>
        <v>0</v>
      </c>
      <c r="BE282" s="202"/>
      <c r="BF282" s="202"/>
      <c r="BG282" s="267">
        <f t="shared" si="86"/>
        <v>0</v>
      </c>
      <c r="BH282" s="267" t="e">
        <f>BD282-#REF!</f>
        <v>#REF!</v>
      </c>
      <c r="BI282" s="267">
        <f t="shared" si="87"/>
        <v>0</v>
      </c>
      <c r="BJ282" s="203">
        <f t="array" ref="BJ282">[1]Налоги!AP135</f>
        <v>0</v>
      </c>
      <c r="BK282" s="202"/>
      <c r="BL282" s="202"/>
      <c r="BM282" s="203">
        <f t="array" ref="BM282">[1]Налоги!AV135</f>
        <v>0</v>
      </c>
      <c r="BN282" s="202"/>
      <c r="BO282" s="202"/>
      <c r="BP282" s="267">
        <f t="shared" si="88"/>
        <v>0</v>
      </c>
      <c r="BQ282" s="267">
        <f t="shared" si="89"/>
        <v>0</v>
      </c>
      <c r="BR282" s="203">
        <f t="array" ref="BR282">[1]Налоги!AQ135</f>
        <v>0</v>
      </c>
      <c r="BS282" s="202"/>
      <c r="BT282" s="202"/>
      <c r="BU282" s="203">
        <f t="array" ref="BU282">[1]Налоги!AW135</f>
        <v>0</v>
      </c>
      <c r="BV282" s="202"/>
      <c r="BW282" s="202"/>
      <c r="BX282" s="267">
        <f t="shared" si="90"/>
        <v>0</v>
      </c>
      <c r="BY282" s="267">
        <f t="shared" si="91"/>
        <v>0</v>
      </c>
      <c r="BZ282" s="203">
        <f t="array" ref="BZ282">[1]Налоги!AR135</f>
        <v>0</v>
      </c>
      <c r="CA282" s="202"/>
      <c r="CB282" s="202"/>
      <c r="CC282" s="203">
        <f t="array" ref="CC282">[1]Налоги!AX135</f>
        <v>0</v>
      </c>
      <c r="CD282" s="202"/>
      <c r="CE282" s="202"/>
      <c r="CF282" s="267">
        <f t="shared" si="92"/>
        <v>0</v>
      </c>
      <c r="CG282" s="267">
        <f t="shared" si="93"/>
        <v>0</v>
      </c>
      <c r="CH282" s="203">
        <f t="array" ref="CH282">[1]Налоги!AS135</f>
        <v>0</v>
      </c>
      <c r="CI282" s="202"/>
      <c r="CJ282" s="202"/>
      <c r="CK282" s="203">
        <f t="array" ref="CK282">[1]Налоги!AY135</f>
        <v>0</v>
      </c>
      <c r="CL282" s="202"/>
      <c r="CM282" s="202"/>
      <c r="CN282" s="267">
        <f t="shared" si="94"/>
        <v>0</v>
      </c>
      <c r="CO282" s="267">
        <f t="shared" si="95"/>
        <v>0</v>
      </c>
      <c r="CP282" s="92"/>
      <c r="CQ282" s="85"/>
      <c r="CR282" s="85"/>
      <c r="CS282" s="85"/>
      <c r="CT282" s="99" t="e">
        <f t="shared" si="96"/>
        <v>#REF!</v>
      </c>
      <c r="CU282" s="99">
        <f t="array" ref="CU282">BD282</f>
        <v>0</v>
      </c>
      <c r="CV282" s="101"/>
      <c r="CW282" s="101"/>
      <c r="CX282" s="101"/>
      <c r="CY282" s="101"/>
      <c r="CZ282" s="101"/>
      <c r="DA282" s="101"/>
      <c r="DB282" s="101"/>
    </row>
    <row r="283" spans="1:107" ht="14.25" customHeight="1" outlineLevel="3" x14ac:dyDescent="0.25">
      <c r="C283" s="2" t="s">
        <v>84</v>
      </c>
      <c r="D283" s="2" t="s">
        <v>85</v>
      </c>
      <c r="E283" s="2" t="s">
        <v>74</v>
      </c>
      <c r="F283" s="2" t="s">
        <v>75</v>
      </c>
      <c r="G283" s="2" t="s">
        <v>402</v>
      </c>
      <c r="H283" s="2" t="s">
        <v>74</v>
      </c>
      <c r="I283" s="2" t="s">
        <v>74</v>
      </c>
      <c r="J283" s="2" t="s">
        <v>74</v>
      </c>
      <c r="K283" s="5" t="s">
        <v>74</v>
      </c>
      <c r="L283" s="2" t="s">
        <v>325</v>
      </c>
      <c r="M283" s="8" t="str">
        <f t="array" ref="M283">Y107</f>
        <v>1ВО::1.1</v>
      </c>
      <c r="AA283" s="206" t="str">
        <f>AA258&amp;".4"</f>
        <v>3.1.3.4</v>
      </c>
      <c r="AB283" s="196" t="s">
        <v>403</v>
      </c>
      <c r="AC283" s="197" t="s">
        <v>114</v>
      </c>
      <c r="AD283" s="173">
        <v>0</v>
      </c>
      <c r="AE283" s="173">
        <v>141.78</v>
      </c>
      <c r="AF283" s="173">
        <v>131.43700000000001</v>
      </c>
      <c r="AG283" s="174"/>
      <c r="AH283" s="174"/>
      <c r="AI283" s="173">
        <f>AI284+AI287+AI288+AI289</f>
        <v>131.43700000000001</v>
      </c>
      <c r="AJ283" s="174"/>
      <c r="AK283" s="174"/>
      <c r="AL283" s="174"/>
      <c r="AM283" s="174"/>
      <c r="AN283" s="173">
        <f>AN284+AN287+AN288+AN289</f>
        <v>18001.666676666668</v>
      </c>
      <c r="AO283" s="173">
        <v>0</v>
      </c>
      <c r="AP283" s="174"/>
      <c r="AQ283" s="174"/>
      <c r="AR283" s="173">
        <f>AR284+AR287+AR288+AR289</f>
        <v>0</v>
      </c>
      <c r="AS283" s="174"/>
      <c r="AT283" s="174"/>
      <c r="AU283" s="173">
        <f>AU284+AU287+AU288+AU289</f>
        <v>0</v>
      </c>
      <c r="AV283" s="173">
        <v>0</v>
      </c>
      <c r="AW283" s="174"/>
      <c r="AX283" s="174"/>
      <c r="AY283" s="173">
        <f>AY284+AY287+AY288+AY289</f>
        <v>0</v>
      </c>
      <c r="AZ283" s="174"/>
      <c r="BA283" s="174"/>
      <c r="BB283" s="174"/>
      <c r="BC283" s="174"/>
      <c r="BD283" s="173">
        <f>BD284+BD287+BD288+BD289</f>
        <v>0</v>
      </c>
      <c r="BE283" s="174"/>
      <c r="BF283" s="174"/>
      <c r="BG283" s="267">
        <f t="shared" si="86"/>
        <v>0</v>
      </c>
      <c r="BH283" s="267" t="e">
        <f>BD283-#REF!</f>
        <v>#REF!</v>
      </c>
      <c r="BI283" s="267">
        <f t="shared" si="87"/>
        <v>0</v>
      </c>
      <c r="BJ283" s="173">
        <f>BJ284+BJ287+BJ288+BJ289</f>
        <v>0</v>
      </c>
      <c r="BK283" s="174"/>
      <c r="BL283" s="174"/>
      <c r="BM283" s="173">
        <f>BM284+BM287+BM288+BM289</f>
        <v>0</v>
      </c>
      <c r="BN283" s="174"/>
      <c r="BO283" s="174"/>
      <c r="BP283" s="267">
        <f t="shared" si="88"/>
        <v>0</v>
      </c>
      <c r="BQ283" s="267">
        <f t="shared" si="89"/>
        <v>0</v>
      </c>
      <c r="BR283" s="173">
        <f>BR284+BR287+BR288+BR289</f>
        <v>0</v>
      </c>
      <c r="BS283" s="174"/>
      <c r="BT283" s="174"/>
      <c r="BU283" s="173">
        <f>BU284+BU287+BU288+BU289</f>
        <v>0</v>
      </c>
      <c r="BV283" s="174"/>
      <c r="BW283" s="174"/>
      <c r="BX283" s="267">
        <f t="shared" si="90"/>
        <v>0</v>
      </c>
      <c r="BY283" s="267">
        <f t="shared" si="91"/>
        <v>0</v>
      </c>
      <c r="BZ283" s="173">
        <f>BZ284+BZ287+BZ288+BZ289</f>
        <v>0</v>
      </c>
      <c r="CA283" s="174"/>
      <c r="CB283" s="174"/>
      <c r="CC283" s="173">
        <f>CC284+CC287+CC288+CC289</f>
        <v>0</v>
      </c>
      <c r="CD283" s="174"/>
      <c r="CE283" s="174"/>
      <c r="CF283" s="267">
        <f t="shared" si="92"/>
        <v>0</v>
      </c>
      <c r="CG283" s="267">
        <f t="shared" si="93"/>
        <v>0</v>
      </c>
      <c r="CH283" s="173">
        <f>CH284+CH287+CH288+CH289</f>
        <v>0</v>
      </c>
      <c r="CI283" s="174"/>
      <c r="CJ283" s="174"/>
      <c r="CK283" s="173">
        <f>CK284+CK287+CK288+CK289</f>
        <v>0</v>
      </c>
      <c r="CL283" s="174"/>
      <c r="CM283" s="174"/>
      <c r="CN283" s="267">
        <f t="shared" si="94"/>
        <v>0</v>
      </c>
      <c r="CO283" s="267">
        <f t="shared" si="95"/>
        <v>0</v>
      </c>
      <c r="CP283" s="92"/>
      <c r="CQ283" s="85"/>
      <c r="CR283" s="85"/>
      <c r="CS283" s="85"/>
      <c r="CT283" s="99" t="e">
        <f t="shared" si="96"/>
        <v>#REF!</v>
      </c>
      <c r="CU283" s="100">
        <f>CU284+CU287+CU288+CU289</f>
        <v>0</v>
      </c>
      <c r="CV283" s="101"/>
      <c r="CW283" s="101"/>
      <c r="CX283" s="101"/>
      <c r="CY283" s="101"/>
      <c r="CZ283" s="101"/>
      <c r="DA283" s="101"/>
      <c r="DB283" s="101"/>
    </row>
    <row r="284" spans="1:107" ht="14.25" customHeight="1" outlineLevel="4" x14ac:dyDescent="0.25">
      <c r="C284" s="2" t="s">
        <v>84</v>
      </c>
      <c r="D284" s="2" t="s">
        <v>85</v>
      </c>
      <c r="E284" s="2" t="s">
        <v>74</v>
      </c>
      <c r="F284" s="2" t="s">
        <v>75</v>
      </c>
      <c r="G284" s="2" t="s">
        <v>404</v>
      </c>
      <c r="H284" s="2" t="s">
        <v>74</v>
      </c>
      <c r="I284" s="2" t="s">
        <v>74</v>
      </c>
      <c r="J284" s="2" t="s">
        <v>74</v>
      </c>
      <c r="K284" s="5" t="s">
        <v>74</v>
      </c>
      <c r="L284" s="2" t="s">
        <v>325</v>
      </c>
      <c r="M284" s="8" t="str">
        <f t="array" ref="M284">Y107</f>
        <v>1ВО::1.1</v>
      </c>
      <c r="Y284" s="2">
        <v>1</v>
      </c>
      <c r="AA284" s="107" t="str">
        <f>AA$283&amp;"."&amp;Y284</f>
        <v>3.1.3.4.1</v>
      </c>
      <c r="AB284" s="233" t="s">
        <v>404</v>
      </c>
      <c r="AC284" s="197" t="s">
        <v>114</v>
      </c>
      <c r="AD284" s="136"/>
      <c r="AE284" s="136"/>
      <c r="AF284" s="195"/>
      <c r="AG284" s="202"/>
      <c r="AH284" s="202"/>
      <c r="AI284" s="136">
        <f t="array" ref="AI284">AF284</f>
        <v>0</v>
      </c>
      <c r="AJ284" s="202"/>
      <c r="AK284" s="202"/>
      <c r="AL284" s="202"/>
      <c r="AM284" s="202"/>
      <c r="AN284" s="203">
        <f>(1/1000)*([1]Аренда!EO94-IF('ВО-2021-2025'!$AC$46="да",[1]Аренда!EO95,0))</f>
        <v>0</v>
      </c>
      <c r="AO284" s="195"/>
      <c r="AP284" s="202"/>
      <c r="AQ284" s="202"/>
      <c r="AR284" s="136">
        <f t="array" ref="AR284">AO284</f>
        <v>0</v>
      </c>
      <c r="AS284" s="202"/>
      <c r="AT284" s="202"/>
      <c r="AU284" s="203">
        <f>(1/1000)*([1]Аренда!FC94-IF('ВО-2021-2025'!$AC$46="да",[1]Аренда!FC95,0))</f>
        <v>0</v>
      </c>
      <c r="AV284" s="195"/>
      <c r="AW284" s="202"/>
      <c r="AX284" s="202"/>
      <c r="AY284" s="136">
        <f t="array" ref="AY284">AV284</f>
        <v>0</v>
      </c>
      <c r="AZ284" s="202"/>
      <c r="BA284" s="202"/>
      <c r="BB284" s="202"/>
      <c r="BC284" s="202"/>
      <c r="BD284" s="203">
        <f>(1/1000)*(([1]Аренда!FO94)-IF('ВО-2021-2025'!$AC$46="да",[1]Аренда!FO95,0))</f>
        <v>0</v>
      </c>
      <c r="BE284" s="202"/>
      <c r="BF284" s="202"/>
      <c r="BG284" s="267">
        <f t="shared" si="86"/>
        <v>0</v>
      </c>
      <c r="BH284" s="267" t="e">
        <f>BD284-#REF!</f>
        <v>#REF!</v>
      </c>
      <c r="BI284" s="267">
        <f t="shared" si="87"/>
        <v>0</v>
      </c>
      <c r="BJ284" s="203">
        <f>(1/1000)*(([1]Аренда!CW94)-IF('ВО-2021-2025'!$AC$46="да",[1]Аренда!CW95,0))</f>
        <v>0</v>
      </c>
      <c r="BK284" s="202"/>
      <c r="BL284" s="202"/>
      <c r="BM284" s="203">
        <f>(1/1000)*(([1]Аренда!GA94)-IF('ВО-2021-2025'!$AC$46="да",[1]Аренда!GA95,0))</f>
        <v>0</v>
      </c>
      <c r="BN284" s="202"/>
      <c r="BO284" s="202"/>
      <c r="BP284" s="267">
        <f t="shared" si="88"/>
        <v>0</v>
      </c>
      <c r="BQ284" s="267">
        <f t="shared" si="89"/>
        <v>0</v>
      </c>
      <c r="BR284" s="203">
        <f>(1/1000)*(([1]Аренда!DI94)-IF('ВО-2021-2025'!$AC$46="да",[1]Аренда!DI95,0))</f>
        <v>0</v>
      </c>
      <c r="BS284" s="202"/>
      <c r="BT284" s="202"/>
      <c r="BU284" s="203">
        <f>(1/1000)*(([1]Аренда!GM94)-IF('ВО-2021-2025'!$AC$46="да",[1]Аренда!GM95,0))</f>
        <v>0</v>
      </c>
      <c r="BV284" s="202"/>
      <c r="BW284" s="202"/>
      <c r="BX284" s="267">
        <f t="shared" si="90"/>
        <v>0</v>
      </c>
      <c r="BY284" s="267">
        <f t="shared" si="91"/>
        <v>0</v>
      </c>
      <c r="BZ284" s="203">
        <f>(1/1000)*(([1]Аренда!DU94)-IF('ВО-2021-2025'!$AC$46="да",[1]Аренда!DU95,0))</f>
        <v>0</v>
      </c>
      <c r="CA284" s="202"/>
      <c r="CB284" s="202"/>
      <c r="CC284" s="203">
        <f>(1/1000)*(([1]Аренда!GY94)-IF('ВО-2021-2025'!$AC$46="да",[1]Аренда!GY95,0))</f>
        <v>0</v>
      </c>
      <c r="CD284" s="202"/>
      <c r="CE284" s="202"/>
      <c r="CF284" s="267">
        <f t="shared" si="92"/>
        <v>0</v>
      </c>
      <c r="CG284" s="267">
        <f t="shared" si="93"/>
        <v>0</v>
      </c>
      <c r="CH284" s="203">
        <f>(1/1000)*(([1]Аренда!EG94)-IF('ВО-2021-2025'!$AC$46="да",[1]Аренда!EG95,0))</f>
        <v>0</v>
      </c>
      <c r="CI284" s="202"/>
      <c r="CJ284" s="202"/>
      <c r="CK284" s="203">
        <f>(1/1000)*(([1]Аренда!HK94)-IF('ВО-2021-2025'!$AC$46="да",[1]Аренда!HK95,0))</f>
        <v>0</v>
      </c>
      <c r="CL284" s="202"/>
      <c r="CM284" s="202"/>
      <c r="CN284" s="267">
        <f t="shared" si="94"/>
        <v>0</v>
      </c>
      <c r="CO284" s="267">
        <f t="shared" si="95"/>
        <v>0</v>
      </c>
      <c r="CP284" s="92"/>
      <c r="CQ284" s="85"/>
      <c r="CR284" s="85"/>
      <c r="CS284" s="85"/>
      <c r="CT284" s="99" t="e">
        <f t="shared" si="96"/>
        <v>#REF!</v>
      </c>
      <c r="CU284" s="99">
        <f t="array" ref="CU284">BD284</f>
        <v>0</v>
      </c>
      <c r="CV284" s="101"/>
      <c r="CW284" s="101"/>
      <c r="CX284" s="101"/>
      <c r="CY284" s="101"/>
      <c r="CZ284" s="101"/>
      <c r="DA284" s="101"/>
      <c r="DB284" s="101"/>
    </row>
    <row r="285" spans="1:107" ht="14.25" customHeight="1" outlineLevel="4" x14ac:dyDescent="0.25">
      <c r="C285" s="235" t="s">
        <v>84</v>
      </c>
      <c r="D285" s="235" t="s">
        <v>85</v>
      </c>
      <c r="E285" s="235" t="s">
        <v>74</v>
      </c>
      <c r="F285" s="235" t="s">
        <v>75</v>
      </c>
      <c r="G285" s="235" t="s">
        <v>405</v>
      </c>
      <c r="H285" s="235" t="s">
        <v>74</v>
      </c>
      <c r="I285" s="235" t="s">
        <v>74</v>
      </c>
      <c r="J285" s="235" t="s">
        <v>74</v>
      </c>
      <c r="K285" s="236" t="s">
        <v>74</v>
      </c>
      <c r="L285" s="235" t="s">
        <v>74</v>
      </c>
      <c r="M285" s="8" t="str">
        <f t="array" ref="M285">Y107</f>
        <v>1ВО::1.1</v>
      </c>
      <c r="AA285" s="107" t="str">
        <f>AA284&amp;".1"</f>
        <v>3.1.3.4.1.1</v>
      </c>
      <c r="AB285" s="237" t="s">
        <v>405</v>
      </c>
      <c r="AC285" s="197" t="s">
        <v>114</v>
      </c>
      <c r="AD285" s="136"/>
      <c r="AE285" s="136"/>
      <c r="AF285" s="195"/>
      <c r="AG285" s="202"/>
      <c r="AH285" s="202"/>
      <c r="AI285" s="136">
        <f t="array" ref="AI285">AF285</f>
        <v>0</v>
      </c>
      <c r="AJ285" s="202"/>
      <c r="AK285" s="202"/>
      <c r="AL285" s="202"/>
      <c r="AM285" s="202"/>
      <c r="AN285" s="136" t="e">
        <f t="array" ref="AN285">#REF!</f>
        <v>#REF!</v>
      </c>
      <c r="AO285" s="195"/>
      <c r="AP285" s="202"/>
      <c r="AQ285" s="202"/>
      <c r="AR285" s="136">
        <f t="array" ref="AR285">AO285</f>
        <v>0</v>
      </c>
      <c r="AS285" s="202"/>
      <c r="AT285" s="202"/>
      <c r="AU285" s="136" t="e">
        <f t="array" ref="AU285">#REF!</f>
        <v>#REF!</v>
      </c>
      <c r="AV285" s="195"/>
      <c r="AW285" s="202"/>
      <c r="AX285" s="202"/>
      <c r="AY285" s="136">
        <f t="array" ref="AY285">AV285</f>
        <v>0</v>
      </c>
      <c r="AZ285" s="202"/>
      <c r="BA285" s="202"/>
      <c r="BB285" s="202"/>
      <c r="BC285" s="202"/>
      <c r="BD285" s="136"/>
      <c r="BE285" s="202"/>
      <c r="BF285" s="202"/>
      <c r="BG285" s="267">
        <f t="shared" si="86"/>
        <v>0</v>
      </c>
      <c r="BH285" s="267" t="e">
        <f>BD285-#REF!</f>
        <v>#REF!</v>
      </c>
      <c r="BI285" s="267">
        <f t="shared" si="87"/>
        <v>0</v>
      </c>
      <c r="BJ285" s="136"/>
      <c r="BK285" s="202"/>
      <c r="BL285" s="202"/>
      <c r="BM285" s="136">
        <f t="array" ref="BM285">BD285</f>
        <v>0</v>
      </c>
      <c r="BN285" s="202"/>
      <c r="BO285" s="202"/>
      <c r="BP285" s="267">
        <f t="shared" si="88"/>
        <v>0</v>
      </c>
      <c r="BQ285" s="267">
        <f t="shared" si="89"/>
        <v>0</v>
      </c>
      <c r="BR285" s="136"/>
      <c r="BS285" s="202"/>
      <c r="BT285" s="202"/>
      <c r="BU285" s="136">
        <f t="array" ref="BU285">BM285</f>
        <v>0</v>
      </c>
      <c r="BV285" s="202"/>
      <c r="BW285" s="202"/>
      <c r="BX285" s="267">
        <f t="shared" si="90"/>
        <v>0</v>
      </c>
      <c r="BY285" s="267">
        <f t="shared" si="91"/>
        <v>0</v>
      </c>
      <c r="BZ285" s="136"/>
      <c r="CA285" s="202"/>
      <c r="CB285" s="202"/>
      <c r="CC285" s="136">
        <f t="array" ref="CC285">BU285</f>
        <v>0</v>
      </c>
      <c r="CD285" s="202"/>
      <c r="CE285" s="202"/>
      <c r="CF285" s="267">
        <f t="shared" si="92"/>
        <v>0</v>
      </c>
      <c r="CG285" s="267">
        <f t="shared" si="93"/>
        <v>0</v>
      </c>
      <c r="CH285" s="136"/>
      <c r="CI285" s="202"/>
      <c r="CJ285" s="202"/>
      <c r="CK285" s="136">
        <f t="array" ref="CK285">CC285</f>
        <v>0</v>
      </c>
      <c r="CL285" s="202"/>
      <c r="CM285" s="202"/>
      <c r="CN285" s="267">
        <f t="shared" si="94"/>
        <v>0</v>
      </c>
      <c r="CO285" s="267">
        <f t="shared" si="95"/>
        <v>0</v>
      </c>
      <c r="CP285" s="92"/>
      <c r="CQ285" s="85"/>
      <c r="CR285" s="85"/>
      <c r="CS285" s="85"/>
      <c r="CT285" s="99" t="e">
        <f t="shared" si="96"/>
        <v>#REF!</v>
      </c>
      <c r="CU285" s="99">
        <f t="array" ref="CU285">BD285</f>
        <v>0</v>
      </c>
      <c r="CV285" s="101"/>
      <c r="CW285" s="101"/>
      <c r="CX285" s="101"/>
      <c r="CY285" s="101"/>
      <c r="CZ285" s="101"/>
      <c r="DA285" s="101"/>
      <c r="DB285" s="101"/>
    </row>
    <row r="286" spans="1:107" ht="14.25" customHeight="1" outlineLevel="4" x14ac:dyDescent="0.25">
      <c r="C286" s="235" t="s">
        <v>84</v>
      </c>
      <c r="D286" s="235" t="s">
        <v>85</v>
      </c>
      <c r="E286" s="235" t="s">
        <v>74</v>
      </c>
      <c r="F286" s="235" t="s">
        <v>75</v>
      </c>
      <c r="G286" s="235" t="s">
        <v>406</v>
      </c>
      <c r="H286" s="235" t="s">
        <v>74</v>
      </c>
      <c r="I286" s="235" t="s">
        <v>74</v>
      </c>
      <c r="J286" s="235" t="s">
        <v>74</v>
      </c>
      <c r="K286" s="236" t="s">
        <v>74</v>
      </c>
      <c r="L286" s="235" t="s">
        <v>74</v>
      </c>
      <c r="M286" s="8" t="str">
        <f t="array" ref="M286">Y107</f>
        <v>1ВО::1.1</v>
      </c>
      <c r="AA286" s="107" t="str">
        <f>AA284&amp;".2"</f>
        <v>3.1.3.4.1.2</v>
      </c>
      <c r="AB286" s="237" t="s">
        <v>406</v>
      </c>
      <c r="AC286" s="197" t="s">
        <v>114</v>
      </c>
      <c r="AD286" s="173">
        <v>0</v>
      </c>
      <c r="AE286" s="173">
        <v>0</v>
      </c>
      <c r="AF286" s="173">
        <v>0</v>
      </c>
      <c r="AG286" s="174"/>
      <c r="AH286" s="174"/>
      <c r="AI286" s="173">
        <f>AI284-AI285</f>
        <v>0</v>
      </c>
      <c r="AJ286" s="174"/>
      <c r="AK286" s="174"/>
      <c r="AL286" s="174"/>
      <c r="AM286" s="174"/>
      <c r="AN286" s="173" t="e">
        <f>AN284-AN285</f>
        <v>#REF!</v>
      </c>
      <c r="AO286" s="173">
        <v>0</v>
      </c>
      <c r="AP286" s="174"/>
      <c r="AQ286" s="174"/>
      <c r="AR286" s="173">
        <f>AR284-AR285</f>
        <v>0</v>
      </c>
      <c r="AS286" s="174"/>
      <c r="AT286" s="174"/>
      <c r="AU286" s="173" t="e">
        <f>AU284-AU285</f>
        <v>#REF!</v>
      </c>
      <c r="AV286" s="173">
        <v>0</v>
      </c>
      <c r="AW286" s="174"/>
      <c r="AX286" s="174"/>
      <c r="AY286" s="173">
        <f>AY284-AY285</f>
        <v>0</v>
      </c>
      <c r="AZ286" s="174"/>
      <c r="BA286" s="174"/>
      <c r="BB286" s="174"/>
      <c r="BC286" s="174"/>
      <c r="BD286" s="173">
        <f>BD284-BD285</f>
        <v>0</v>
      </c>
      <c r="BE286" s="174"/>
      <c r="BF286" s="174"/>
      <c r="BG286" s="267">
        <f t="shared" si="86"/>
        <v>0</v>
      </c>
      <c r="BH286" s="267" t="e">
        <f>BD286-#REF!</f>
        <v>#REF!</v>
      </c>
      <c r="BI286" s="267">
        <f t="shared" si="87"/>
        <v>0</v>
      </c>
      <c r="BJ286" s="173">
        <f>BJ284-BJ285</f>
        <v>0</v>
      </c>
      <c r="BK286" s="174"/>
      <c r="BL286" s="174"/>
      <c r="BM286" s="173">
        <f>BM284-BM285</f>
        <v>0</v>
      </c>
      <c r="BN286" s="174"/>
      <c r="BO286" s="174"/>
      <c r="BP286" s="267">
        <f t="shared" si="88"/>
        <v>0</v>
      </c>
      <c r="BQ286" s="267">
        <f t="shared" si="89"/>
        <v>0</v>
      </c>
      <c r="BR286" s="173">
        <f>BR284-BR285</f>
        <v>0</v>
      </c>
      <c r="BS286" s="174"/>
      <c r="BT286" s="174"/>
      <c r="BU286" s="173">
        <f>BU284-BU285</f>
        <v>0</v>
      </c>
      <c r="BV286" s="174"/>
      <c r="BW286" s="174"/>
      <c r="BX286" s="267">
        <f t="shared" si="90"/>
        <v>0</v>
      </c>
      <c r="BY286" s="267">
        <f t="shared" si="91"/>
        <v>0</v>
      </c>
      <c r="BZ286" s="173">
        <f>BZ284-BZ285</f>
        <v>0</v>
      </c>
      <c r="CA286" s="174"/>
      <c r="CB286" s="174"/>
      <c r="CC286" s="173">
        <f>CC284-CC285</f>
        <v>0</v>
      </c>
      <c r="CD286" s="174"/>
      <c r="CE286" s="174"/>
      <c r="CF286" s="267">
        <f t="shared" si="92"/>
        <v>0</v>
      </c>
      <c r="CG286" s="267">
        <f t="shared" si="93"/>
        <v>0</v>
      </c>
      <c r="CH286" s="173">
        <f>CH284-CH285</f>
        <v>0</v>
      </c>
      <c r="CI286" s="174"/>
      <c r="CJ286" s="174"/>
      <c r="CK286" s="173">
        <f>CK284-CK285</f>
        <v>0</v>
      </c>
      <c r="CL286" s="174"/>
      <c r="CM286" s="174"/>
      <c r="CN286" s="267">
        <f t="shared" si="94"/>
        <v>0</v>
      </c>
      <c r="CO286" s="267">
        <f t="shared" si="95"/>
        <v>0</v>
      </c>
      <c r="CP286" s="92"/>
      <c r="CQ286" s="85"/>
      <c r="CR286" s="85"/>
      <c r="CS286" s="85"/>
      <c r="CT286" s="99" t="e">
        <f t="shared" si="96"/>
        <v>#REF!</v>
      </c>
      <c r="CU286" s="100">
        <f>CU284-CU285</f>
        <v>0</v>
      </c>
      <c r="CV286" s="101"/>
      <c r="CW286" s="101"/>
      <c r="CX286" s="101"/>
      <c r="CY286" s="101"/>
      <c r="CZ286" s="101"/>
      <c r="DA286" s="101"/>
      <c r="DB286" s="101"/>
    </row>
    <row r="287" spans="1:107" ht="14.25" customHeight="1" outlineLevel="4" x14ac:dyDescent="0.25">
      <c r="C287" s="2" t="s">
        <v>84</v>
      </c>
      <c r="D287" s="2" t="s">
        <v>85</v>
      </c>
      <c r="E287" s="2" t="s">
        <v>74</v>
      </c>
      <c r="F287" s="2" t="s">
        <v>75</v>
      </c>
      <c r="G287" s="2" t="s">
        <v>407</v>
      </c>
      <c r="H287" s="2" t="s">
        <v>74</v>
      </c>
      <c r="I287" s="2" t="s">
        <v>74</v>
      </c>
      <c r="J287" s="2" t="s">
        <v>74</v>
      </c>
      <c r="K287" s="5" t="s">
        <v>74</v>
      </c>
      <c r="L287" s="2" t="s">
        <v>325</v>
      </c>
      <c r="M287" s="8" t="str">
        <f t="array" ref="M287">Y107</f>
        <v>1ВО::1.1</v>
      </c>
      <c r="Y287" s="2">
        <f>COUNT($Y284:Y284)+1</f>
        <v>2</v>
      </c>
      <c r="AA287" s="107" t="str">
        <f>AA$283&amp;"."&amp;Y287</f>
        <v>3.1.3.4.2</v>
      </c>
      <c r="AB287" s="233" t="s">
        <v>407</v>
      </c>
      <c r="AC287" s="197" t="s">
        <v>114</v>
      </c>
      <c r="AD287" s="136"/>
      <c r="AE287" s="136"/>
      <c r="AF287" s="195"/>
      <c r="AG287" s="202"/>
      <c r="AH287" s="202"/>
      <c r="AI287" s="136">
        <f t="array" ref="AI287">AF287</f>
        <v>0</v>
      </c>
      <c r="AJ287" s="202"/>
      <c r="AK287" s="202"/>
      <c r="AL287" s="202"/>
      <c r="AM287" s="202"/>
      <c r="AN287" s="203">
        <f>(1/1000)*[1]Аренда!EO108</f>
        <v>0</v>
      </c>
      <c r="AO287" s="195"/>
      <c r="AP287" s="202"/>
      <c r="AQ287" s="202"/>
      <c r="AR287" s="136">
        <f t="array" ref="AR287">AO287</f>
        <v>0</v>
      </c>
      <c r="AS287" s="202"/>
      <c r="AT287" s="202"/>
      <c r="AU287" s="203">
        <f>(1/1000)*([1]Аренда!FC108)</f>
        <v>0</v>
      </c>
      <c r="AV287" s="195"/>
      <c r="AW287" s="202"/>
      <c r="AX287" s="202"/>
      <c r="AY287" s="136">
        <f t="array" ref="AY287">AV287</f>
        <v>0</v>
      </c>
      <c r="AZ287" s="202"/>
      <c r="BA287" s="202"/>
      <c r="BB287" s="202"/>
      <c r="BC287" s="202"/>
      <c r="BD287" s="203">
        <f>(1/1000)*([1]Аренда!FO108)</f>
        <v>0</v>
      </c>
      <c r="BE287" s="202"/>
      <c r="BF287" s="202"/>
      <c r="BG287" s="267">
        <f t="shared" si="86"/>
        <v>0</v>
      </c>
      <c r="BH287" s="267" t="e">
        <f>BD287-#REF!</f>
        <v>#REF!</v>
      </c>
      <c r="BI287" s="267">
        <f t="shared" si="87"/>
        <v>0</v>
      </c>
      <c r="BJ287" s="203">
        <f>(1/1000)*([1]Аренда!CW108)</f>
        <v>0</v>
      </c>
      <c r="BK287" s="202"/>
      <c r="BL287" s="202"/>
      <c r="BM287" s="203">
        <f>(1/1000)*([1]Аренда!GA108)</f>
        <v>0</v>
      </c>
      <c r="BN287" s="202"/>
      <c r="BO287" s="202"/>
      <c r="BP287" s="267">
        <f t="shared" si="88"/>
        <v>0</v>
      </c>
      <c r="BQ287" s="267">
        <f t="shared" si="89"/>
        <v>0</v>
      </c>
      <c r="BR287" s="203">
        <f>(1/1000)*([1]Аренда!DI108)</f>
        <v>0</v>
      </c>
      <c r="BS287" s="202"/>
      <c r="BT287" s="202"/>
      <c r="BU287" s="203">
        <f>(1/1000)*([1]Аренда!GM108)</f>
        <v>0</v>
      </c>
      <c r="BV287" s="202"/>
      <c r="BW287" s="202"/>
      <c r="BX287" s="267">
        <f t="shared" si="90"/>
        <v>0</v>
      </c>
      <c r="BY287" s="267">
        <f t="shared" si="91"/>
        <v>0</v>
      </c>
      <c r="BZ287" s="203">
        <f>(1/1000)*([1]Аренда!DU108)</f>
        <v>0</v>
      </c>
      <c r="CA287" s="202"/>
      <c r="CB287" s="202"/>
      <c r="CC287" s="203">
        <f>(1/1000)*([1]Аренда!GY108)</f>
        <v>0</v>
      </c>
      <c r="CD287" s="202"/>
      <c r="CE287" s="202"/>
      <c r="CF287" s="267">
        <f t="shared" si="92"/>
        <v>0</v>
      </c>
      <c r="CG287" s="267">
        <f t="shared" si="93"/>
        <v>0</v>
      </c>
      <c r="CH287" s="203">
        <f>(1/1000)*([1]Аренда!EG108)</f>
        <v>0</v>
      </c>
      <c r="CI287" s="202"/>
      <c r="CJ287" s="202"/>
      <c r="CK287" s="203">
        <f>(1/1000)*([1]Аренда!HK108)</f>
        <v>0</v>
      </c>
      <c r="CL287" s="202"/>
      <c r="CM287" s="202"/>
      <c r="CN287" s="267">
        <f t="shared" si="94"/>
        <v>0</v>
      </c>
      <c r="CO287" s="267">
        <f t="shared" si="95"/>
        <v>0</v>
      </c>
      <c r="CP287" s="92"/>
      <c r="CQ287" s="85"/>
      <c r="CR287" s="85"/>
      <c r="CS287" s="85"/>
      <c r="CT287" s="99" t="e">
        <f t="shared" si="96"/>
        <v>#REF!</v>
      </c>
      <c r="CU287" s="99">
        <f t="array" ref="CU287">BD287</f>
        <v>0</v>
      </c>
      <c r="CV287" s="101"/>
      <c r="CW287" s="101"/>
      <c r="CX287" s="101"/>
      <c r="CY287" s="101"/>
      <c r="CZ287" s="101"/>
      <c r="DA287" s="101"/>
      <c r="DB287" s="101"/>
    </row>
    <row r="288" spans="1:107" ht="14.25" customHeight="1" outlineLevel="4" x14ac:dyDescent="0.25">
      <c r="C288" s="2" t="s">
        <v>84</v>
      </c>
      <c r="D288" s="2" t="s">
        <v>85</v>
      </c>
      <c r="E288" s="2" t="s">
        <v>74</v>
      </c>
      <c r="F288" s="2" t="s">
        <v>75</v>
      </c>
      <c r="G288" s="2" t="s">
        <v>408</v>
      </c>
      <c r="H288" s="2" t="s">
        <v>74</v>
      </c>
      <c r="I288" s="2" t="s">
        <v>74</v>
      </c>
      <c r="J288" s="2" t="s">
        <v>74</v>
      </c>
      <c r="K288" s="5" t="s">
        <v>74</v>
      </c>
      <c r="L288" s="2" t="s">
        <v>325</v>
      </c>
      <c r="M288" s="8" t="str">
        <f t="array" ref="M288">Y107</f>
        <v>1ВО::1.1</v>
      </c>
      <c r="Y288" s="2">
        <f>COUNT($Y284:Y287)+1</f>
        <v>3</v>
      </c>
      <c r="AA288" s="107" t="str">
        <f>AA$283&amp;"."&amp;Y288</f>
        <v>3.1.3.4.3</v>
      </c>
      <c r="AB288" s="233" t="s">
        <v>408</v>
      </c>
      <c r="AC288" s="197" t="s">
        <v>114</v>
      </c>
      <c r="AD288" s="136"/>
      <c r="AE288" s="136"/>
      <c r="AF288" s="195"/>
      <c r="AG288" s="202"/>
      <c r="AH288" s="202"/>
      <c r="AI288" s="136">
        <f t="array" ref="AI288">AF288</f>
        <v>0</v>
      </c>
      <c r="AJ288" s="202"/>
      <c r="AK288" s="202"/>
      <c r="AL288" s="202"/>
      <c r="AM288" s="202"/>
      <c r="AN288" s="203">
        <f>(1/1000)*[1]Аренда!EO121</f>
        <v>18001.666666666668</v>
      </c>
      <c r="AO288" s="195"/>
      <c r="AP288" s="202"/>
      <c r="AQ288" s="202"/>
      <c r="AR288" s="136">
        <f t="array" ref="AR288">AO288</f>
        <v>0</v>
      </c>
      <c r="AS288" s="202"/>
      <c r="AT288" s="202"/>
      <c r="AU288" s="203">
        <f>(1/1000)*([1]Аренда!FC121)</f>
        <v>0</v>
      </c>
      <c r="AV288" s="195"/>
      <c r="AW288" s="202"/>
      <c r="AX288" s="202"/>
      <c r="AY288" s="136">
        <f t="array" ref="AY288">AV288</f>
        <v>0</v>
      </c>
      <c r="AZ288" s="202"/>
      <c r="BA288" s="202"/>
      <c r="BB288" s="202"/>
      <c r="BC288" s="202"/>
      <c r="BD288" s="203">
        <f>(1/1000)*([1]Аренда!FO121)</f>
        <v>0</v>
      </c>
      <c r="BE288" s="202"/>
      <c r="BF288" s="202"/>
      <c r="BG288" s="267">
        <f t="shared" si="86"/>
        <v>0</v>
      </c>
      <c r="BH288" s="267" t="e">
        <f>BD288-#REF!</f>
        <v>#REF!</v>
      </c>
      <c r="BI288" s="267">
        <f t="shared" si="87"/>
        <v>0</v>
      </c>
      <c r="BJ288" s="203">
        <f>(1/1000)*([1]Аренда!CW121)</f>
        <v>0</v>
      </c>
      <c r="BK288" s="202"/>
      <c r="BL288" s="202"/>
      <c r="BM288" s="203">
        <f>(1/1000)*([1]Аренда!GA121)</f>
        <v>0</v>
      </c>
      <c r="BN288" s="202"/>
      <c r="BO288" s="202"/>
      <c r="BP288" s="267">
        <f t="shared" si="88"/>
        <v>0</v>
      </c>
      <c r="BQ288" s="267">
        <f t="shared" si="89"/>
        <v>0</v>
      </c>
      <c r="BR288" s="203">
        <f>(1/1000)*([1]Аренда!DI121)</f>
        <v>0</v>
      </c>
      <c r="BS288" s="202"/>
      <c r="BT288" s="202"/>
      <c r="BU288" s="203">
        <f>(1/1000)*([1]Аренда!GM121)</f>
        <v>0</v>
      </c>
      <c r="BV288" s="202"/>
      <c r="BW288" s="202"/>
      <c r="BX288" s="267">
        <f t="shared" si="90"/>
        <v>0</v>
      </c>
      <c r="BY288" s="267">
        <f t="shared" si="91"/>
        <v>0</v>
      </c>
      <c r="BZ288" s="203">
        <f>(1/1000)*([1]Аренда!DU121)</f>
        <v>0</v>
      </c>
      <c r="CA288" s="202"/>
      <c r="CB288" s="202"/>
      <c r="CC288" s="203">
        <f>(1/1000)*([1]Аренда!GY121)</f>
        <v>0</v>
      </c>
      <c r="CD288" s="202"/>
      <c r="CE288" s="202"/>
      <c r="CF288" s="267">
        <f t="shared" si="92"/>
        <v>0</v>
      </c>
      <c r="CG288" s="267">
        <f t="shared" si="93"/>
        <v>0</v>
      </c>
      <c r="CH288" s="203">
        <f>(1/1000)*([1]Аренда!EG121)</f>
        <v>0</v>
      </c>
      <c r="CI288" s="202"/>
      <c r="CJ288" s="202"/>
      <c r="CK288" s="203">
        <f>(1/1000)*([1]Аренда!HK121)</f>
        <v>0</v>
      </c>
      <c r="CL288" s="202"/>
      <c r="CM288" s="202"/>
      <c r="CN288" s="267">
        <f t="shared" si="94"/>
        <v>0</v>
      </c>
      <c r="CO288" s="267">
        <f t="shared" si="95"/>
        <v>0</v>
      </c>
      <c r="CP288" s="92" t="s">
        <v>568</v>
      </c>
      <c r="CQ288" s="85"/>
      <c r="CR288" s="85"/>
      <c r="CS288" s="85"/>
      <c r="CT288" s="99" t="e">
        <f t="shared" si="96"/>
        <v>#REF!</v>
      </c>
      <c r="CU288" s="99">
        <f t="array" ref="CU288">BD288</f>
        <v>0</v>
      </c>
      <c r="CV288" s="101"/>
      <c r="CW288" s="101"/>
      <c r="CX288" s="101"/>
      <c r="CY288" s="101"/>
      <c r="CZ288" s="101"/>
      <c r="DA288" s="101"/>
      <c r="DB288" s="101"/>
    </row>
    <row r="289" spans="1:106" ht="14.25" customHeight="1" outlineLevel="4" x14ac:dyDescent="0.25">
      <c r="C289" s="2" t="s">
        <v>84</v>
      </c>
      <c r="D289" s="2" t="s">
        <v>85</v>
      </c>
      <c r="E289" s="2" t="s">
        <v>74</v>
      </c>
      <c r="F289" s="2" t="s">
        <v>75</v>
      </c>
      <c r="G289" s="2" t="s">
        <v>409</v>
      </c>
      <c r="H289" s="2" t="s">
        <v>74</v>
      </c>
      <c r="I289" s="2" t="s">
        <v>74</v>
      </c>
      <c r="J289" s="2" t="s">
        <v>74</v>
      </c>
      <c r="K289" s="5" t="s">
        <v>74</v>
      </c>
      <c r="L289" s="2" t="s">
        <v>325</v>
      </c>
      <c r="M289" s="8" t="str">
        <f t="array" ref="M289">Y107</f>
        <v>1ВО::1.1</v>
      </c>
      <c r="Y289" s="2">
        <f>COUNT($Y284:Y288)+1</f>
        <v>4</v>
      </c>
      <c r="AA289" s="107" t="str">
        <f>AA$283&amp;"."&amp;Y289</f>
        <v>3.1.3.4.4</v>
      </c>
      <c r="AB289" s="233" t="s">
        <v>409</v>
      </c>
      <c r="AC289" s="197" t="s">
        <v>114</v>
      </c>
      <c r="AD289" s="136"/>
      <c r="AE289" s="136">
        <v>141.78</v>
      </c>
      <c r="AF289" s="195">
        <v>131.43700000000001</v>
      </c>
      <c r="AG289" s="202"/>
      <c r="AH289" s="202"/>
      <c r="AI289" s="136">
        <v>131.43700000000001</v>
      </c>
      <c r="AJ289" s="202"/>
      <c r="AK289" s="202"/>
      <c r="AL289" s="202"/>
      <c r="AM289" s="202"/>
      <c r="AN289" s="203">
        <f>(1/1000)*'[1]Земел. уч.'!BA94</f>
        <v>1.0000000000000001E-5</v>
      </c>
      <c r="AO289" s="195"/>
      <c r="AP289" s="202"/>
      <c r="AQ289" s="202"/>
      <c r="AR289" s="136">
        <f t="array" ref="AR289">AO289</f>
        <v>0</v>
      </c>
      <c r="AS289" s="202"/>
      <c r="AT289" s="202"/>
      <c r="AU289" s="203">
        <f>(1/1000)*'[1]Земел. уч.'!BK94</f>
        <v>0</v>
      </c>
      <c r="AV289" s="195"/>
      <c r="AW289" s="202"/>
      <c r="AX289" s="202"/>
      <c r="AY289" s="136">
        <f t="array" ref="AY289">AV289</f>
        <v>0</v>
      </c>
      <c r="AZ289" s="202"/>
      <c r="BA289" s="202"/>
      <c r="BB289" s="202"/>
      <c r="BC289" s="202"/>
      <c r="BD289" s="203">
        <f>(1/1000)*'[1]Земел. уч.'!CC94</f>
        <v>0</v>
      </c>
      <c r="BE289" s="202"/>
      <c r="BF289" s="202"/>
      <c r="BG289" s="267">
        <f t="shared" si="86"/>
        <v>0</v>
      </c>
      <c r="BH289" s="267" t="e">
        <f>BD289-#REF!</f>
        <v>#REF!</v>
      </c>
      <c r="BI289" s="267">
        <f t="shared" si="87"/>
        <v>0</v>
      </c>
      <c r="BJ289" s="203">
        <f>(1/1000)*'[1]Земел. уч.'!BS94</f>
        <v>0</v>
      </c>
      <c r="BK289" s="202"/>
      <c r="BL289" s="202"/>
      <c r="BM289" s="203">
        <f>(1/1000)*'[1]Земел. уч.'!CE94</f>
        <v>0</v>
      </c>
      <c r="BN289" s="202"/>
      <c r="BO289" s="202"/>
      <c r="BP289" s="267">
        <f t="shared" si="88"/>
        <v>0</v>
      </c>
      <c r="BQ289" s="267">
        <f t="shared" si="89"/>
        <v>0</v>
      </c>
      <c r="BR289" s="203">
        <f>(1/1000)*'[1]Земел. уч.'!BU94</f>
        <v>0</v>
      </c>
      <c r="BS289" s="202"/>
      <c r="BT289" s="202"/>
      <c r="BU289" s="203">
        <f>(1/1000)*'[1]Земел. уч.'!CG94</f>
        <v>0</v>
      </c>
      <c r="BV289" s="202"/>
      <c r="BW289" s="202"/>
      <c r="BX289" s="267">
        <f t="shared" si="90"/>
        <v>0</v>
      </c>
      <c r="BY289" s="267">
        <f t="shared" si="91"/>
        <v>0</v>
      </c>
      <c r="BZ289" s="203">
        <f>(1/1000)*'[1]Земел. уч.'!BW94</f>
        <v>0</v>
      </c>
      <c r="CA289" s="202"/>
      <c r="CB289" s="202"/>
      <c r="CC289" s="203">
        <f>(1/1000)*'[1]Земел. уч.'!CI94</f>
        <v>0</v>
      </c>
      <c r="CD289" s="202"/>
      <c r="CE289" s="202"/>
      <c r="CF289" s="267">
        <f t="shared" si="92"/>
        <v>0</v>
      </c>
      <c r="CG289" s="267">
        <f t="shared" si="93"/>
        <v>0</v>
      </c>
      <c r="CH289" s="203">
        <f>(1/1000)*'[1]Земел. уч.'!BY94</f>
        <v>0</v>
      </c>
      <c r="CI289" s="202"/>
      <c r="CJ289" s="202"/>
      <c r="CK289" s="203">
        <f>(1/1000)*'[1]Земел. уч.'!CK94</f>
        <v>0</v>
      </c>
      <c r="CL289" s="202"/>
      <c r="CM289" s="202"/>
      <c r="CN289" s="267">
        <f t="shared" si="94"/>
        <v>0</v>
      </c>
      <c r="CO289" s="267">
        <f t="shared" si="95"/>
        <v>0</v>
      </c>
      <c r="CP289" s="92" t="s">
        <v>562</v>
      </c>
      <c r="CQ289" s="85"/>
      <c r="CR289" s="85"/>
      <c r="CS289" s="85"/>
      <c r="CT289" s="99" t="e">
        <f t="shared" si="96"/>
        <v>#REF!</v>
      </c>
      <c r="CU289" s="99">
        <f t="array" ref="CU289">BD289</f>
        <v>0</v>
      </c>
      <c r="CV289" s="101"/>
      <c r="CW289" s="101"/>
      <c r="CX289" s="101"/>
      <c r="CY289" s="101"/>
      <c r="CZ289" s="101"/>
      <c r="DA289" s="101"/>
      <c r="DB289" s="101"/>
    </row>
    <row r="290" spans="1:106" ht="14.25" customHeight="1" outlineLevel="3" x14ac:dyDescent="0.25">
      <c r="C290" s="2" t="s">
        <v>84</v>
      </c>
      <c r="D290" s="2" t="s">
        <v>85</v>
      </c>
      <c r="E290" s="2" t="s">
        <v>74</v>
      </c>
      <c r="F290" s="2" t="s">
        <v>75</v>
      </c>
      <c r="G290" s="2" t="s">
        <v>410</v>
      </c>
      <c r="H290" s="2" t="s">
        <v>74</v>
      </c>
      <c r="I290" s="2" t="s">
        <v>74</v>
      </c>
      <c r="J290" s="2" t="s">
        <v>74</v>
      </c>
      <c r="K290" s="5" t="s">
        <v>74</v>
      </c>
      <c r="L290" s="2" t="s">
        <v>370</v>
      </c>
      <c r="M290" s="8" t="str">
        <f t="array" ref="M290">Y107</f>
        <v>1ВО::1.1</v>
      </c>
      <c r="Y290" s="2">
        <f>COUNT($Y284:Y289)+1</f>
        <v>5</v>
      </c>
      <c r="AA290" s="206" t="str">
        <f>AA258&amp;".5"</f>
        <v>3.1.3.5</v>
      </c>
      <c r="AB290" s="196" t="s">
        <v>411</v>
      </c>
      <c r="AC290" s="197" t="s">
        <v>114</v>
      </c>
      <c r="AD290" s="136">
        <v>1168.3599999999999</v>
      </c>
      <c r="AE290" s="136">
        <v>284.74799999999999</v>
      </c>
      <c r="AF290" s="195">
        <v>199.47</v>
      </c>
      <c r="AG290" s="202"/>
      <c r="AH290" s="202"/>
      <c r="AI290" s="136">
        <v>199.47</v>
      </c>
      <c r="AJ290" s="202"/>
      <c r="AK290" s="202"/>
      <c r="AL290" s="202"/>
      <c r="AM290" s="202"/>
      <c r="AN290" s="136" t="e">
        <f t="array" ref="AN290">#REF!</f>
        <v>#REF!</v>
      </c>
      <c r="AO290" s="195">
        <v>340.21</v>
      </c>
      <c r="AP290" s="202"/>
      <c r="AQ290" s="202"/>
      <c r="AR290" s="136">
        <v>340.21</v>
      </c>
      <c r="AS290" s="202"/>
      <c r="AT290" s="202"/>
      <c r="AU290" s="136" t="e">
        <f t="array" ref="AU290">#REF!</f>
        <v>#REF!</v>
      </c>
      <c r="AV290" s="195">
        <v>340.21</v>
      </c>
      <c r="AW290" s="202"/>
      <c r="AX290" s="202"/>
      <c r="AY290" s="136">
        <v>340.21</v>
      </c>
      <c r="AZ290" s="202"/>
      <c r="BA290" s="202"/>
      <c r="BB290" s="202"/>
      <c r="BC290" s="202"/>
      <c r="BD290" s="136"/>
      <c r="BE290" s="202"/>
      <c r="BF290" s="202"/>
      <c r="BG290" s="267">
        <f t="shared" si="86"/>
        <v>0</v>
      </c>
      <c r="BH290" s="267" t="e">
        <f>BD290-#REF!</f>
        <v>#REF!</v>
      </c>
      <c r="BI290" s="267">
        <f t="shared" si="87"/>
        <v>-340.21</v>
      </c>
      <c r="BJ290" s="136"/>
      <c r="BK290" s="202"/>
      <c r="BL290" s="202"/>
      <c r="BM290" s="136"/>
      <c r="BN290" s="202"/>
      <c r="BO290" s="202"/>
      <c r="BP290" s="267">
        <f t="shared" si="88"/>
        <v>0</v>
      </c>
      <c r="BQ290" s="267">
        <f t="shared" si="89"/>
        <v>0</v>
      </c>
      <c r="BR290" s="136"/>
      <c r="BS290" s="202"/>
      <c r="BT290" s="202"/>
      <c r="BU290" s="136"/>
      <c r="BV290" s="202"/>
      <c r="BW290" s="202"/>
      <c r="BX290" s="267">
        <f t="shared" si="90"/>
        <v>0</v>
      </c>
      <c r="BY290" s="267">
        <f t="shared" si="91"/>
        <v>0</v>
      </c>
      <c r="BZ290" s="136"/>
      <c r="CA290" s="202"/>
      <c r="CB290" s="202"/>
      <c r="CC290" s="136"/>
      <c r="CD290" s="202"/>
      <c r="CE290" s="202"/>
      <c r="CF290" s="267">
        <f t="shared" si="92"/>
        <v>0</v>
      </c>
      <c r="CG290" s="267">
        <f t="shared" si="93"/>
        <v>0</v>
      </c>
      <c r="CH290" s="136"/>
      <c r="CI290" s="202"/>
      <c r="CJ290" s="202"/>
      <c r="CK290" s="136"/>
      <c r="CL290" s="202"/>
      <c r="CM290" s="202"/>
      <c r="CN290" s="267">
        <f t="shared" si="94"/>
        <v>0</v>
      </c>
      <c r="CO290" s="267">
        <f t="shared" si="95"/>
        <v>0</v>
      </c>
      <c r="CP290" s="92"/>
      <c r="CQ290" s="85"/>
      <c r="CR290" s="85"/>
      <c r="CS290" s="85"/>
      <c r="CT290" s="99" t="e">
        <f t="shared" si="96"/>
        <v>#REF!</v>
      </c>
      <c r="CU290" s="99">
        <f t="array" ref="CU290">BD290</f>
        <v>0</v>
      </c>
      <c r="CV290" s="101"/>
      <c r="CW290" s="101"/>
      <c r="CX290" s="101"/>
      <c r="CY290" s="101"/>
      <c r="CZ290" s="101"/>
      <c r="DA290" s="101"/>
      <c r="DB290" s="101"/>
    </row>
    <row r="291" spans="1:106" ht="14.25" customHeight="1" outlineLevel="3" x14ac:dyDescent="0.25">
      <c r="A291" s="2" t="b">
        <f>AND(PREVIOUS_REGULATION_METHODS="Метод индексации",REGULATION_METHODS="Метод индексации")</f>
        <v>1</v>
      </c>
      <c r="B291" s="8" t="b">
        <f t="array" ref="B291">A291</f>
        <v>1</v>
      </c>
      <c r="C291" s="2" t="s">
        <v>84</v>
      </c>
      <c r="D291" s="2" t="s">
        <v>85</v>
      </c>
      <c r="E291" s="2" t="s">
        <v>74</v>
      </c>
      <c r="F291" s="2" t="s">
        <v>75</v>
      </c>
      <c r="G291" s="2" t="s">
        <v>412</v>
      </c>
      <c r="H291" s="2" t="s">
        <v>74</v>
      </c>
      <c r="I291" s="2" t="s">
        <v>74</v>
      </c>
      <c r="J291" s="2" t="s">
        <v>74</v>
      </c>
      <c r="K291" s="5" t="s">
        <v>74</v>
      </c>
      <c r="L291" s="2" t="s">
        <v>370</v>
      </c>
      <c r="M291" s="8" t="str">
        <f t="array" ref="M291">Y107</f>
        <v>1ВО::1.1</v>
      </c>
      <c r="Y291" s="2">
        <f>COUNT($Y284:Y290)+1</f>
        <v>6</v>
      </c>
      <c r="AA291" s="206" t="str">
        <f>AA258&amp;"."&amp;Y291</f>
        <v>3.1.3.6</v>
      </c>
      <c r="AB291" s="196" t="s">
        <v>412</v>
      </c>
      <c r="AC291" s="197" t="s">
        <v>114</v>
      </c>
      <c r="AD291" s="195"/>
      <c r="AE291" s="195"/>
      <c r="AF291" s="195"/>
      <c r="AG291" s="202"/>
      <c r="AH291" s="202"/>
      <c r="AI291" s="195">
        <f t="array" ref="AI291">AF291</f>
        <v>0</v>
      </c>
      <c r="AJ291" s="202"/>
      <c r="AK291" s="202"/>
      <c r="AL291" s="202"/>
      <c r="AM291" s="202"/>
      <c r="AN291" s="195" t="e">
        <f t="array" ref="AN291">#REF!</f>
        <v>#REF!</v>
      </c>
      <c r="AO291" s="195"/>
      <c r="AP291" s="202"/>
      <c r="AQ291" s="202"/>
      <c r="AR291" s="195">
        <f t="array" ref="AR291">AO291</f>
        <v>0</v>
      </c>
      <c r="AS291" s="202"/>
      <c r="AT291" s="202"/>
      <c r="AU291" s="195" t="e">
        <f t="array" ref="AU291">#REF!</f>
        <v>#REF!</v>
      </c>
      <c r="AV291" s="195"/>
      <c r="AW291" s="202"/>
      <c r="AX291" s="202"/>
      <c r="AY291" s="195">
        <f t="array" ref="AY291">AV291</f>
        <v>0</v>
      </c>
      <c r="AZ291" s="202"/>
      <c r="BA291" s="202"/>
      <c r="BB291" s="202"/>
      <c r="BC291" s="202"/>
      <c r="BD291" s="195"/>
      <c r="BE291" s="202"/>
      <c r="BF291" s="202"/>
      <c r="BG291" s="267">
        <f t="shared" si="86"/>
        <v>0</v>
      </c>
      <c r="BH291" s="267" t="e">
        <f>BD291-#REF!</f>
        <v>#REF!</v>
      </c>
      <c r="BI291" s="267">
        <f t="shared" si="87"/>
        <v>0</v>
      </c>
      <c r="BJ291" s="195"/>
      <c r="BK291" s="202"/>
      <c r="BL291" s="202"/>
      <c r="BM291" s="195"/>
      <c r="BN291" s="202"/>
      <c r="BO291" s="202"/>
      <c r="BP291" s="267">
        <f t="shared" si="88"/>
        <v>0</v>
      </c>
      <c r="BQ291" s="267">
        <f t="shared" si="89"/>
        <v>0</v>
      </c>
      <c r="BR291" s="195"/>
      <c r="BS291" s="202"/>
      <c r="BT291" s="202"/>
      <c r="BU291" s="195"/>
      <c r="BV291" s="202"/>
      <c r="BW291" s="202"/>
      <c r="BX291" s="267">
        <f t="shared" si="90"/>
        <v>0</v>
      </c>
      <c r="BY291" s="267">
        <f t="shared" si="91"/>
        <v>0</v>
      </c>
      <c r="BZ291" s="195"/>
      <c r="CA291" s="202"/>
      <c r="CB291" s="202"/>
      <c r="CC291" s="195"/>
      <c r="CD291" s="202"/>
      <c r="CE291" s="202"/>
      <c r="CF291" s="267">
        <f t="shared" si="92"/>
        <v>0</v>
      </c>
      <c r="CG291" s="267">
        <f t="shared" si="93"/>
        <v>0</v>
      </c>
      <c r="CH291" s="195"/>
      <c r="CI291" s="202"/>
      <c r="CJ291" s="202"/>
      <c r="CK291" s="195"/>
      <c r="CL291" s="202"/>
      <c r="CM291" s="202"/>
      <c r="CN291" s="267">
        <f t="shared" si="94"/>
        <v>0</v>
      </c>
      <c r="CO291" s="267">
        <f t="shared" si="95"/>
        <v>0</v>
      </c>
      <c r="CP291" s="92"/>
      <c r="CQ291" s="90"/>
      <c r="CR291" s="90"/>
      <c r="CS291" s="90"/>
      <c r="CT291" s="227" t="e">
        <f t="shared" si="96"/>
        <v>#REF!</v>
      </c>
      <c r="CU291" s="227">
        <f t="array" ref="CU291">BD291</f>
        <v>0</v>
      </c>
      <c r="CV291" s="92"/>
      <c r="CW291" s="92"/>
      <c r="CX291" s="92"/>
      <c r="CY291" s="92"/>
      <c r="CZ291" s="92"/>
      <c r="DA291" s="92"/>
      <c r="DB291" s="92"/>
    </row>
    <row r="292" spans="1:106" ht="14.25" customHeight="1" outlineLevel="3" x14ac:dyDescent="0.25">
      <c r="A292" s="2" t="b">
        <f>REGULATION_METHODS="Метод индексации"</f>
        <v>1</v>
      </c>
      <c r="B292" s="8" t="b">
        <f t="array" ref="B292">A292</f>
        <v>1</v>
      </c>
      <c r="C292" s="2" t="s">
        <v>84</v>
      </c>
      <c r="D292" s="2" t="s">
        <v>85</v>
      </c>
      <c r="E292" s="2" t="s">
        <v>74</v>
      </c>
      <c r="F292" s="2" t="s">
        <v>75</v>
      </c>
      <c r="G292" s="2" t="s">
        <v>413</v>
      </c>
      <c r="H292" s="2" t="s">
        <v>74</v>
      </c>
      <c r="I292" s="2" t="s">
        <v>74</v>
      </c>
      <c r="J292" s="2" t="s">
        <v>74</v>
      </c>
      <c r="K292" s="5" t="s">
        <v>74</v>
      </c>
      <c r="L292" s="2" t="s">
        <v>370</v>
      </c>
      <c r="M292" s="8" t="str">
        <f t="array" ref="M292">Y107</f>
        <v>1ВО::1.1</v>
      </c>
      <c r="Y292" s="2">
        <f>COUNT($Y284:Y291)+1</f>
        <v>7</v>
      </c>
      <c r="AA292" s="206" t="str">
        <f>AA258&amp;"."&amp;Y292</f>
        <v>3.1.3.7</v>
      </c>
      <c r="AB292" s="196" t="s">
        <v>413</v>
      </c>
      <c r="AC292" s="197" t="s">
        <v>114</v>
      </c>
      <c r="AD292" s="195"/>
      <c r="AE292" s="195"/>
      <c r="AF292" s="195"/>
      <c r="AG292" s="202"/>
      <c r="AH292" s="202"/>
      <c r="AI292" s="195">
        <f t="array" ref="AI292">AF292</f>
        <v>0</v>
      </c>
      <c r="AJ292" s="202"/>
      <c r="AK292" s="202"/>
      <c r="AL292" s="202"/>
      <c r="AM292" s="202"/>
      <c r="AN292" s="195"/>
      <c r="AO292" s="195"/>
      <c r="AP292" s="202"/>
      <c r="AQ292" s="202"/>
      <c r="AR292" s="195">
        <f t="array" ref="AR292">AO292</f>
        <v>0</v>
      </c>
      <c r="AS292" s="202"/>
      <c r="AT292" s="202"/>
      <c r="AU292" s="195" t="e">
        <f t="array" ref="AU292">'ВО-2021-2025'!#REF!</f>
        <v>#REF!</v>
      </c>
      <c r="AV292" s="195"/>
      <c r="AW292" s="202"/>
      <c r="AX292" s="202"/>
      <c r="AY292" s="195">
        <f t="array" ref="AY292">AV292</f>
        <v>0</v>
      </c>
      <c r="AZ292" s="202"/>
      <c r="BA292" s="202"/>
      <c r="BB292" s="202"/>
      <c r="BC292" s="202"/>
      <c r="BD292" s="195"/>
      <c r="BE292" s="202"/>
      <c r="BF292" s="202"/>
      <c r="BG292" s="267">
        <f t="shared" si="86"/>
        <v>0</v>
      </c>
      <c r="BH292" s="267" t="e">
        <f>BD292-#REF!</f>
        <v>#REF!</v>
      </c>
      <c r="BI292" s="267">
        <f t="shared" si="87"/>
        <v>0</v>
      </c>
      <c r="BJ292" s="195"/>
      <c r="BK292" s="202"/>
      <c r="BL292" s="202"/>
      <c r="BM292" s="195"/>
      <c r="BN292" s="202"/>
      <c r="BO292" s="202"/>
      <c r="BP292" s="267">
        <f t="shared" si="88"/>
        <v>0</v>
      </c>
      <c r="BQ292" s="267">
        <f t="shared" si="89"/>
        <v>0</v>
      </c>
      <c r="BR292" s="195"/>
      <c r="BS292" s="202"/>
      <c r="BT292" s="202"/>
      <c r="BU292" s="195"/>
      <c r="BV292" s="202"/>
      <c r="BW292" s="202"/>
      <c r="BX292" s="267">
        <f t="shared" si="90"/>
        <v>0</v>
      </c>
      <c r="BY292" s="267">
        <f t="shared" si="91"/>
        <v>0</v>
      </c>
      <c r="BZ292" s="195"/>
      <c r="CA292" s="202"/>
      <c r="CB292" s="202"/>
      <c r="CC292" s="195"/>
      <c r="CD292" s="202"/>
      <c r="CE292" s="202"/>
      <c r="CF292" s="267">
        <f t="shared" si="92"/>
        <v>0</v>
      </c>
      <c r="CG292" s="267">
        <f t="shared" si="93"/>
        <v>0</v>
      </c>
      <c r="CH292" s="195"/>
      <c r="CI292" s="202"/>
      <c r="CJ292" s="202"/>
      <c r="CK292" s="195"/>
      <c r="CL292" s="202"/>
      <c r="CM292" s="202"/>
      <c r="CN292" s="267">
        <f t="shared" si="94"/>
        <v>0</v>
      </c>
      <c r="CO292" s="267">
        <f t="shared" si="95"/>
        <v>0</v>
      </c>
      <c r="CP292" s="92"/>
      <c r="CQ292" s="90"/>
      <c r="CR292" s="90"/>
      <c r="CS292" s="90"/>
      <c r="CT292" s="227" t="e">
        <f t="shared" si="96"/>
        <v>#REF!</v>
      </c>
      <c r="CU292" s="227">
        <f t="array" ref="CU292">BD292</f>
        <v>0</v>
      </c>
      <c r="CV292" s="92"/>
      <c r="CW292" s="92"/>
      <c r="CX292" s="92"/>
      <c r="CY292" s="92"/>
      <c r="CZ292" s="92"/>
      <c r="DA292" s="92"/>
      <c r="DB292" s="92"/>
    </row>
    <row r="293" spans="1:106" ht="14.25" customHeight="1" outlineLevel="3" x14ac:dyDescent="0.25">
      <c r="A293" s="8" t="b">
        <f>REGULATION_METHODS&lt;&gt;"МЭОР"</f>
        <v>1</v>
      </c>
      <c r="C293" s="2" t="s">
        <v>84</v>
      </c>
      <c r="D293" s="2" t="s">
        <v>85</v>
      </c>
      <c r="E293" s="2" t="s">
        <v>74</v>
      </c>
      <c r="F293" s="2" t="s">
        <v>75</v>
      </c>
      <c r="G293" s="2" t="s">
        <v>414</v>
      </c>
      <c r="H293" s="2" t="s">
        <v>74</v>
      </c>
      <c r="I293" s="2" t="s">
        <v>74</v>
      </c>
      <c r="J293" s="2" t="s">
        <v>74</v>
      </c>
      <c r="K293" s="5" t="s">
        <v>74</v>
      </c>
      <c r="L293" s="2" t="s">
        <v>370</v>
      </c>
      <c r="M293" s="8" t="str">
        <f t="array" ref="M293">Y107</f>
        <v>1ВО::1.1</v>
      </c>
      <c r="Y293" s="2">
        <f>COUNT($Y284:Y292)+1</f>
        <v>8</v>
      </c>
      <c r="AA293" s="206" t="str">
        <f>AA258&amp;"."&amp;Y293</f>
        <v>3.1.3.8</v>
      </c>
      <c r="AB293" s="196" t="s">
        <v>414</v>
      </c>
      <c r="AC293" s="197" t="s">
        <v>114</v>
      </c>
      <c r="AD293" s="136"/>
      <c r="AE293" s="136"/>
      <c r="AF293" s="195"/>
      <c r="AG293" s="202"/>
      <c r="AH293" s="202"/>
      <c r="AI293" s="136">
        <f t="array" ref="AI293">AF293</f>
        <v>0</v>
      </c>
      <c r="AJ293" s="202"/>
      <c r="AK293" s="202"/>
      <c r="AL293" s="202"/>
      <c r="AM293" s="202"/>
      <c r="AN293" s="136" t="e">
        <f t="array" ref="AN293">#REF!</f>
        <v>#REF!</v>
      </c>
      <c r="AO293" s="195"/>
      <c r="AP293" s="202"/>
      <c r="AQ293" s="202"/>
      <c r="AR293" s="136">
        <f t="array" ref="AR293">AO293</f>
        <v>0</v>
      </c>
      <c r="AS293" s="202"/>
      <c r="AT293" s="202"/>
      <c r="AU293" s="136" t="e">
        <f t="array" ref="AU293">#REF!</f>
        <v>#REF!</v>
      </c>
      <c r="AV293" s="195"/>
      <c r="AW293" s="202"/>
      <c r="AX293" s="202"/>
      <c r="AY293" s="136">
        <f t="array" ref="AY293">AV293</f>
        <v>0</v>
      </c>
      <c r="AZ293" s="202"/>
      <c r="BA293" s="202"/>
      <c r="BB293" s="202"/>
      <c r="BC293" s="202"/>
      <c r="BD293" s="136"/>
      <c r="BE293" s="202"/>
      <c r="BF293" s="202"/>
      <c r="BG293" s="267">
        <f t="shared" si="86"/>
        <v>0</v>
      </c>
      <c r="BH293" s="267" t="e">
        <f>BD293-#REF!</f>
        <v>#REF!</v>
      </c>
      <c r="BI293" s="267">
        <f t="shared" si="87"/>
        <v>0</v>
      </c>
      <c r="BJ293" s="136"/>
      <c r="BK293" s="202"/>
      <c r="BL293" s="202"/>
      <c r="BM293" s="136"/>
      <c r="BN293" s="202"/>
      <c r="BO293" s="202"/>
      <c r="BP293" s="267">
        <f t="shared" si="88"/>
        <v>0</v>
      </c>
      <c r="BQ293" s="267">
        <f t="shared" si="89"/>
        <v>0</v>
      </c>
      <c r="BR293" s="136"/>
      <c r="BS293" s="202"/>
      <c r="BT293" s="202"/>
      <c r="BU293" s="136"/>
      <c r="BV293" s="202"/>
      <c r="BW293" s="202"/>
      <c r="BX293" s="267">
        <f t="shared" si="90"/>
        <v>0</v>
      </c>
      <c r="BY293" s="267">
        <f t="shared" si="91"/>
        <v>0</v>
      </c>
      <c r="BZ293" s="136"/>
      <c r="CA293" s="202"/>
      <c r="CB293" s="202"/>
      <c r="CC293" s="136"/>
      <c r="CD293" s="202"/>
      <c r="CE293" s="202"/>
      <c r="CF293" s="267">
        <f t="shared" si="92"/>
        <v>0</v>
      </c>
      <c r="CG293" s="267">
        <f t="shared" si="93"/>
        <v>0</v>
      </c>
      <c r="CH293" s="136"/>
      <c r="CI293" s="202"/>
      <c r="CJ293" s="202"/>
      <c r="CK293" s="136"/>
      <c r="CL293" s="202"/>
      <c r="CM293" s="202"/>
      <c r="CN293" s="267">
        <f t="shared" si="94"/>
        <v>0</v>
      </c>
      <c r="CO293" s="267">
        <f t="shared" si="95"/>
        <v>0</v>
      </c>
      <c r="CP293" s="92"/>
      <c r="CQ293" s="85"/>
      <c r="CR293" s="85"/>
      <c r="CS293" s="85"/>
      <c r="CT293" s="99" t="e">
        <f t="shared" si="96"/>
        <v>#REF!</v>
      </c>
      <c r="CU293" s="99">
        <f t="array" ref="CU293">BD293</f>
        <v>0</v>
      </c>
      <c r="CV293" s="101"/>
      <c r="CW293" s="101"/>
      <c r="CX293" s="101"/>
      <c r="CY293" s="101"/>
      <c r="CZ293" s="101"/>
      <c r="DA293" s="101"/>
      <c r="DB293" s="101"/>
    </row>
    <row r="294" spans="1:106" ht="14.25" customHeight="1" outlineLevel="3" x14ac:dyDescent="0.25">
      <c r="A294" s="2" t="b">
        <f>REGULATION_METHODS="Метод индексации"</f>
        <v>1</v>
      </c>
      <c r="B294" s="8" t="b">
        <f t="array" ref="B294">A294</f>
        <v>1</v>
      </c>
      <c r="C294" s="2" t="s">
        <v>84</v>
      </c>
      <c r="D294" s="2" t="s">
        <v>85</v>
      </c>
      <c r="E294" s="2" t="s">
        <v>74</v>
      </c>
      <c r="F294" s="2" t="s">
        <v>75</v>
      </c>
      <c r="G294" s="2" t="s">
        <v>415</v>
      </c>
      <c r="H294" s="2" t="s">
        <v>74</v>
      </c>
      <c r="I294" s="2" t="s">
        <v>74</v>
      </c>
      <c r="J294" s="2" t="s">
        <v>74</v>
      </c>
      <c r="K294" s="5" t="s">
        <v>74</v>
      </c>
      <c r="L294" s="2" t="s">
        <v>370</v>
      </c>
      <c r="M294" s="8" t="str">
        <f t="array" ref="M294">Y107</f>
        <v>1ВО::1.1</v>
      </c>
      <c r="Y294" s="2">
        <f>COUNT($Y284:Y293)+1</f>
        <v>9</v>
      </c>
      <c r="AA294" s="206" t="str">
        <f>AA258&amp;"."&amp;Y294</f>
        <v>3.1.3.9</v>
      </c>
      <c r="AB294" s="196" t="s">
        <v>416</v>
      </c>
      <c r="AC294" s="197" t="s">
        <v>114</v>
      </c>
      <c r="AD294" s="173">
        <v>3442.12</v>
      </c>
      <c r="AE294" s="173">
        <v>3530.0010000000002</v>
      </c>
      <c r="AF294" s="173">
        <v>0</v>
      </c>
      <c r="AG294" s="174"/>
      <c r="AH294" s="174"/>
      <c r="AI294" s="173">
        <f>AI295+AI296</f>
        <v>0</v>
      </c>
      <c r="AJ294" s="174"/>
      <c r="AK294" s="174"/>
      <c r="AL294" s="174"/>
      <c r="AM294" s="174"/>
      <c r="AN294" s="173" t="e">
        <f>AN295+AN296</f>
        <v>#REF!</v>
      </c>
      <c r="AO294" s="173">
        <v>0</v>
      </c>
      <c r="AP294" s="174"/>
      <c r="AQ294" s="174"/>
      <c r="AR294" s="173">
        <f>AR295+AR296</f>
        <v>0</v>
      </c>
      <c r="AS294" s="174"/>
      <c r="AT294" s="174"/>
      <c r="AU294" s="173" t="e">
        <f>AU295+AU296</f>
        <v>#REF!</v>
      </c>
      <c r="AV294" s="173">
        <v>0</v>
      </c>
      <c r="AW294" s="174"/>
      <c r="AX294" s="174"/>
      <c r="AY294" s="173">
        <f>AY295+AY296</f>
        <v>0</v>
      </c>
      <c r="AZ294" s="174"/>
      <c r="BA294" s="174"/>
      <c r="BB294" s="174"/>
      <c r="BC294" s="174"/>
      <c r="BD294" s="173">
        <f>BD295+BD296</f>
        <v>0</v>
      </c>
      <c r="BE294" s="174"/>
      <c r="BF294" s="174"/>
      <c r="BG294" s="267">
        <f t="shared" si="86"/>
        <v>0</v>
      </c>
      <c r="BH294" s="267" t="e">
        <f>BD294-#REF!</f>
        <v>#REF!</v>
      </c>
      <c r="BI294" s="267">
        <f t="shared" si="87"/>
        <v>0</v>
      </c>
      <c r="BJ294" s="173">
        <f>BJ295+BJ296</f>
        <v>0</v>
      </c>
      <c r="BK294" s="174"/>
      <c r="BL294" s="174"/>
      <c r="BM294" s="173">
        <f>BM295+BM296</f>
        <v>0</v>
      </c>
      <c r="BN294" s="174"/>
      <c r="BO294" s="174"/>
      <c r="BP294" s="267">
        <f t="shared" si="88"/>
        <v>0</v>
      </c>
      <c r="BQ294" s="267">
        <f t="shared" si="89"/>
        <v>0</v>
      </c>
      <c r="BR294" s="173">
        <f>BR295+BR296</f>
        <v>0</v>
      </c>
      <c r="BS294" s="174"/>
      <c r="BT294" s="174"/>
      <c r="BU294" s="173">
        <f>BU295+BU296</f>
        <v>0</v>
      </c>
      <c r="BV294" s="174"/>
      <c r="BW294" s="174"/>
      <c r="BX294" s="267">
        <f t="shared" si="90"/>
        <v>0</v>
      </c>
      <c r="BY294" s="267">
        <f t="shared" si="91"/>
        <v>0</v>
      </c>
      <c r="BZ294" s="173">
        <f>BZ295+BZ296</f>
        <v>0</v>
      </c>
      <c r="CA294" s="174"/>
      <c r="CB294" s="174"/>
      <c r="CC294" s="173">
        <f>CC295+CC296</f>
        <v>0</v>
      </c>
      <c r="CD294" s="174"/>
      <c r="CE294" s="174"/>
      <c r="CF294" s="267">
        <f t="shared" si="92"/>
        <v>0</v>
      </c>
      <c r="CG294" s="267">
        <f t="shared" si="93"/>
        <v>0</v>
      </c>
      <c r="CH294" s="173">
        <f>CH295+CH296</f>
        <v>0</v>
      </c>
      <c r="CI294" s="174"/>
      <c r="CJ294" s="174"/>
      <c r="CK294" s="173">
        <f>CK295+CK296</f>
        <v>0</v>
      </c>
      <c r="CL294" s="174"/>
      <c r="CM294" s="174"/>
      <c r="CN294" s="267">
        <f t="shared" si="94"/>
        <v>0</v>
      </c>
      <c r="CO294" s="267">
        <f t="shared" si="95"/>
        <v>0</v>
      </c>
      <c r="CP294" s="92"/>
      <c r="CQ294" s="90"/>
      <c r="CR294" s="90"/>
      <c r="CS294" s="90"/>
      <c r="CT294" s="227" t="e">
        <f t="shared" si="96"/>
        <v>#REF!</v>
      </c>
      <c r="CU294" s="238">
        <f>CU295+CU296</f>
        <v>0</v>
      </c>
      <c r="CV294" s="92"/>
      <c r="CW294" s="92"/>
      <c r="CX294" s="92"/>
      <c r="CY294" s="92"/>
      <c r="CZ294" s="92"/>
      <c r="DA294" s="92"/>
      <c r="DB294" s="92"/>
    </row>
    <row r="295" spans="1:106" ht="14.25" customHeight="1" outlineLevel="4" x14ac:dyDescent="0.25">
      <c r="A295" s="2" t="b">
        <f t="array" ref="A295">A294</f>
        <v>1</v>
      </c>
      <c r="B295" s="8" t="b">
        <f t="array" ref="B295">A295</f>
        <v>1</v>
      </c>
      <c r="C295" s="2" t="s">
        <v>84</v>
      </c>
      <c r="D295" s="2" t="s">
        <v>85</v>
      </c>
      <c r="E295" s="2" t="s">
        <v>74</v>
      </c>
      <c r="F295" s="2" t="s">
        <v>75</v>
      </c>
      <c r="G295" s="2" t="s">
        <v>417</v>
      </c>
      <c r="H295" s="2" t="s">
        <v>74</v>
      </c>
      <c r="I295" s="2" t="s">
        <v>74</v>
      </c>
      <c r="J295" s="2" t="s">
        <v>74</v>
      </c>
      <c r="K295" s="5" t="s">
        <v>74</v>
      </c>
      <c r="L295" s="2" t="s">
        <v>370</v>
      </c>
      <c r="M295" s="8" t="str">
        <f t="array" ref="M295">Y107</f>
        <v>1ВО::1.1</v>
      </c>
      <c r="AA295" s="206" t="str">
        <f>AA294&amp;".1"</f>
        <v>3.1.3.9.1</v>
      </c>
      <c r="AB295" s="233" t="s">
        <v>418</v>
      </c>
      <c r="AC295" s="197" t="s">
        <v>114</v>
      </c>
      <c r="AD295" s="195"/>
      <c r="AE295" s="195"/>
      <c r="AF295" s="195"/>
      <c r="AG295" s="202"/>
      <c r="AH295" s="202"/>
      <c r="AI295" s="195">
        <f t="array" ref="AI295">AF295</f>
        <v>0</v>
      </c>
      <c r="AJ295" s="202"/>
      <c r="AK295" s="202"/>
      <c r="AL295" s="202"/>
      <c r="AM295" s="202"/>
      <c r="AN295" s="195" t="e">
        <f t="array" ref="AN295">#REF!</f>
        <v>#REF!</v>
      </c>
      <c r="AO295" s="195"/>
      <c r="AP295" s="202"/>
      <c r="AQ295" s="202"/>
      <c r="AR295" s="195">
        <f t="array" ref="AR295">AO295</f>
        <v>0</v>
      </c>
      <c r="AS295" s="202"/>
      <c r="AT295" s="202"/>
      <c r="AU295" s="195" t="e">
        <f t="array" ref="AU295">#REF!</f>
        <v>#REF!</v>
      </c>
      <c r="AV295" s="195"/>
      <c r="AW295" s="202"/>
      <c r="AX295" s="202"/>
      <c r="AY295" s="195">
        <f t="array" ref="AY295">AV295</f>
        <v>0</v>
      </c>
      <c r="AZ295" s="202"/>
      <c r="BA295" s="202"/>
      <c r="BB295" s="202"/>
      <c r="BC295" s="202"/>
      <c r="BD295" s="195"/>
      <c r="BE295" s="202"/>
      <c r="BF295" s="202"/>
      <c r="BG295" s="267">
        <f t="shared" si="86"/>
        <v>0</v>
      </c>
      <c r="BH295" s="267" t="e">
        <f>BD295-#REF!</f>
        <v>#REF!</v>
      </c>
      <c r="BI295" s="267">
        <f t="shared" si="87"/>
        <v>0</v>
      </c>
      <c r="BJ295" s="195"/>
      <c r="BK295" s="202"/>
      <c r="BL295" s="202"/>
      <c r="BM295" s="195"/>
      <c r="BN295" s="202"/>
      <c r="BO295" s="202"/>
      <c r="BP295" s="267">
        <f t="shared" si="88"/>
        <v>0</v>
      </c>
      <c r="BQ295" s="267">
        <f t="shared" si="89"/>
        <v>0</v>
      </c>
      <c r="BR295" s="195"/>
      <c r="BS295" s="202"/>
      <c r="BT295" s="202"/>
      <c r="BU295" s="195"/>
      <c r="BV295" s="202"/>
      <c r="BW295" s="202"/>
      <c r="BX295" s="267">
        <f t="shared" si="90"/>
        <v>0</v>
      </c>
      <c r="BY295" s="267">
        <f t="shared" si="91"/>
        <v>0</v>
      </c>
      <c r="BZ295" s="195"/>
      <c r="CA295" s="202"/>
      <c r="CB295" s="202"/>
      <c r="CC295" s="195"/>
      <c r="CD295" s="202"/>
      <c r="CE295" s="202"/>
      <c r="CF295" s="267">
        <f t="shared" si="92"/>
        <v>0</v>
      </c>
      <c r="CG295" s="267">
        <f t="shared" si="93"/>
        <v>0</v>
      </c>
      <c r="CH295" s="195"/>
      <c r="CI295" s="202"/>
      <c r="CJ295" s="202"/>
      <c r="CK295" s="195"/>
      <c r="CL295" s="202"/>
      <c r="CM295" s="202"/>
      <c r="CN295" s="267">
        <f t="shared" si="94"/>
        <v>0</v>
      </c>
      <c r="CO295" s="267">
        <f t="shared" si="95"/>
        <v>0</v>
      </c>
      <c r="CP295" s="92"/>
      <c r="CQ295" s="90"/>
      <c r="CR295" s="90"/>
      <c r="CS295" s="90"/>
      <c r="CT295" s="227" t="e">
        <f t="shared" si="96"/>
        <v>#REF!</v>
      </c>
      <c r="CU295" s="227">
        <f t="array" ref="CU295">BD295</f>
        <v>0</v>
      </c>
      <c r="CV295" s="92"/>
      <c r="CW295" s="92"/>
      <c r="CX295" s="92"/>
      <c r="CY295" s="92"/>
      <c r="CZ295" s="92"/>
      <c r="DA295" s="92"/>
      <c r="DB295" s="92"/>
    </row>
    <row r="296" spans="1:106" ht="14.25" customHeight="1" outlineLevel="4" x14ac:dyDescent="0.25">
      <c r="A296" s="2" t="b">
        <f t="array" ref="A296">A294</f>
        <v>1</v>
      </c>
      <c r="B296" s="8" t="b">
        <f t="array" ref="B296">A296</f>
        <v>1</v>
      </c>
      <c r="C296" s="2" t="s">
        <v>84</v>
      </c>
      <c r="D296" s="2" t="s">
        <v>85</v>
      </c>
      <c r="E296" s="2" t="s">
        <v>74</v>
      </c>
      <c r="F296" s="2" t="s">
        <v>75</v>
      </c>
      <c r="G296" s="2" t="s">
        <v>419</v>
      </c>
      <c r="H296" s="2" t="s">
        <v>74</v>
      </c>
      <c r="I296" s="2" t="s">
        <v>74</v>
      </c>
      <c r="J296" s="2" t="s">
        <v>74</v>
      </c>
      <c r="K296" s="5" t="s">
        <v>74</v>
      </c>
      <c r="L296" s="2" t="s">
        <v>370</v>
      </c>
      <c r="M296" s="8" t="str">
        <f t="array" ref="M296">Y107</f>
        <v>1ВО::1.1</v>
      </c>
      <c r="AA296" s="206" t="str">
        <f>AA294&amp;".2"</f>
        <v>3.1.3.9.2</v>
      </c>
      <c r="AB296" s="233" t="s">
        <v>420</v>
      </c>
      <c r="AC296" s="197" t="s">
        <v>114</v>
      </c>
      <c r="AD296" s="195">
        <v>3442.12</v>
      </c>
      <c r="AE296" s="195">
        <v>3530.0010000000002</v>
      </c>
      <c r="AF296" s="195"/>
      <c r="AG296" s="202"/>
      <c r="AH296" s="202"/>
      <c r="AI296" s="195">
        <f t="array" ref="AI296">AF296</f>
        <v>0</v>
      </c>
      <c r="AJ296" s="202"/>
      <c r="AK296" s="202"/>
      <c r="AL296" s="202"/>
      <c r="AM296" s="202"/>
      <c r="AN296" s="195" t="e">
        <f t="array" ref="AN296">#REF!</f>
        <v>#REF!</v>
      </c>
      <c r="AO296" s="195"/>
      <c r="AP296" s="202"/>
      <c r="AQ296" s="202"/>
      <c r="AR296" s="195">
        <f t="array" ref="AR296">AO296</f>
        <v>0</v>
      </c>
      <c r="AS296" s="202"/>
      <c r="AT296" s="202"/>
      <c r="AU296" s="195" t="e">
        <f t="array" ref="AU296">#REF!</f>
        <v>#REF!</v>
      </c>
      <c r="AV296" s="195"/>
      <c r="AW296" s="202"/>
      <c r="AX296" s="202"/>
      <c r="AY296" s="195">
        <f t="array" ref="AY296">AV296</f>
        <v>0</v>
      </c>
      <c r="AZ296" s="202"/>
      <c r="BA296" s="202"/>
      <c r="BB296" s="202"/>
      <c r="BC296" s="202"/>
      <c r="BD296" s="195"/>
      <c r="BE296" s="202"/>
      <c r="BF296" s="202"/>
      <c r="BG296" s="267">
        <f t="shared" si="86"/>
        <v>0</v>
      </c>
      <c r="BH296" s="267" t="e">
        <f>BD296-#REF!</f>
        <v>#REF!</v>
      </c>
      <c r="BI296" s="267">
        <f t="shared" si="87"/>
        <v>0</v>
      </c>
      <c r="BJ296" s="195"/>
      <c r="BK296" s="202"/>
      <c r="BL296" s="202"/>
      <c r="BM296" s="195"/>
      <c r="BN296" s="202"/>
      <c r="BO296" s="202"/>
      <c r="BP296" s="267">
        <f t="shared" si="88"/>
        <v>0</v>
      </c>
      <c r="BQ296" s="267">
        <f t="shared" si="89"/>
        <v>0</v>
      </c>
      <c r="BR296" s="195"/>
      <c r="BS296" s="202"/>
      <c r="BT296" s="202"/>
      <c r="BU296" s="195"/>
      <c r="BV296" s="202"/>
      <c r="BW296" s="202"/>
      <c r="BX296" s="267">
        <f t="shared" si="90"/>
        <v>0</v>
      </c>
      <c r="BY296" s="267">
        <f t="shared" si="91"/>
        <v>0</v>
      </c>
      <c r="BZ296" s="195"/>
      <c r="CA296" s="202"/>
      <c r="CB296" s="202"/>
      <c r="CC296" s="195"/>
      <c r="CD296" s="202"/>
      <c r="CE296" s="202"/>
      <c r="CF296" s="267">
        <f t="shared" si="92"/>
        <v>0</v>
      </c>
      <c r="CG296" s="267">
        <f t="shared" si="93"/>
        <v>0</v>
      </c>
      <c r="CH296" s="195"/>
      <c r="CI296" s="202"/>
      <c r="CJ296" s="202"/>
      <c r="CK296" s="195"/>
      <c r="CL296" s="202"/>
      <c r="CM296" s="202"/>
      <c r="CN296" s="267">
        <f t="shared" si="94"/>
        <v>0</v>
      </c>
      <c r="CO296" s="267">
        <f t="shared" si="95"/>
        <v>0</v>
      </c>
      <c r="CP296" s="92"/>
      <c r="CQ296" s="90"/>
      <c r="CR296" s="90"/>
      <c r="CS296" s="90"/>
      <c r="CT296" s="227" t="e">
        <f t="shared" si="96"/>
        <v>#REF!</v>
      </c>
      <c r="CU296" s="227">
        <f t="array" ref="CU296">BD296</f>
        <v>0</v>
      </c>
      <c r="CV296" s="92"/>
      <c r="CW296" s="92"/>
      <c r="CX296" s="92"/>
      <c r="CY296" s="92"/>
      <c r="CZ296" s="92"/>
      <c r="DA296" s="92"/>
      <c r="DB296" s="92"/>
    </row>
    <row r="297" spans="1:106" ht="39" customHeight="1" outlineLevel="3" x14ac:dyDescent="0.25">
      <c r="A297" s="2" t="b">
        <f>REGULATION_METHODS="Метод индексации"</f>
        <v>1</v>
      </c>
      <c r="B297" s="8" t="b">
        <f t="array" ref="B297">A297</f>
        <v>1</v>
      </c>
      <c r="C297" s="2" t="s">
        <v>84</v>
      </c>
      <c r="D297" s="2" t="s">
        <v>85</v>
      </c>
      <c r="E297" s="2" t="s">
        <v>74</v>
      </c>
      <c r="F297" s="2" t="s">
        <v>75</v>
      </c>
      <c r="G297" s="2" t="s">
        <v>421</v>
      </c>
      <c r="H297" s="2" t="s">
        <v>74</v>
      </c>
      <c r="I297" s="2" t="s">
        <v>74</v>
      </c>
      <c r="J297" s="2" t="s">
        <v>74</v>
      </c>
      <c r="K297" s="5" t="s">
        <v>74</v>
      </c>
      <c r="L297" s="2" t="s">
        <v>370</v>
      </c>
      <c r="M297" s="8" t="str">
        <f t="array" ref="M297">Y107</f>
        <v>1ВО::1.1</v>
      </c>
      <c r="Y297" s="2">
        <f>COUNT($Y284:Y296)+1</f>
        <v>10</v>
      </c>
      <c r="AA297" s="206" t="str">
        <f>AA258&amp;"."&amp;Y297</f>
        <v>3.1.3.10</v>
      </c>
      <c r="AB297" s="196" t="s">
        <v>421</v>
      </c>
      <c r="AC297" s="197" t="s">
        <v>114</v>
      </c>
      <c r="AD297" s="195"/>
      <c r="AE297" s="195"/>
      <c r="AF297" s="195"/>
      <c r="AG297" s="202"/>
      <c r="AH297" s="202"/>
      <c r="AI297" s="195">
        <f t="array" ref="AI297">AF297</f>
        <v>0</v>
      </c>
      <c r="AJ297" s="202"/>
      <c r="AK297" s="202"/>
      <c r="AL297" s="202"/>
      <c r="AM297" s="202"/>
      <c r="AN297" s="195" t="e">
        <f t="array" ref="AN297">#REF!</f>
        <v>#REF!</v>
      </c>
      <c r="AO297" s="195"/>
      <c r="AP297" s="202"/>
      <c r="AQ297" s="202"/>
      <c r="AR297" s="195">
        <f t="array" ref="AR297">AO297</f>
        <v>0</v>
      </c>
      <c r="AS297" s="202"/>
      <c r="AT297" s="202"/>
      <c r="AU297" s="195" t="e">
        <f t="array" ref="AU297">#REF!</f>
        <v>#REF!</v>
      </c>
      <c r="AV297" s="195"/>
      <c r="AW297" s="202"/>
      <c r="AX297" s="202"/>
      <c r="AY297" s="195">
        <f t="array" ref="AY297">AV297</f>
        <v>0</v>
      </c>
      <c r="AZ297" s="202"/>
      <c r="BA297" s="202"/>
      <c r="BB297" s="202"/>
      <c r="BC297" s="202"/>
      <c r="BD297" s="195"/>
      <c r="BE297" s="202"/>
      <c r="BF297" s="202"/>
      <c r="BG297" s="267">
        <f t="shared" si="86"/>
        <v>0</v>
      </c>
      <c r="BH297" s="267" t="e">
        <f>BD297-#REF!</f>
        <v>#REF!</v>
      </c>
      <c r="BI297" s="267">
        <f t="shared" si="87"/>
        <v>0</v>
      </c>
      <c r="BJ297" s="195"/>
      <c r="BK297" s="202"/>
      <c r="BL297" s="202"/>
      <c r="BM297" s="195"/>
      <c r="BN297" s="202"/>
      <c r="BO297" s="202"/>
      <c r="BP297" s="267">
        <f t="shared" si="88"/>
        <v>0</v>
      </c>
      <c r="BQ297" s="267">
        <f t="shared" si="89"/>
        <v>0</v>
      </c>
      <c r="BR297" s="195"/>
      <c r="BS297" s="202"/>
      <c r="BT297" s="202"/>
      <c r="BU297" s="195"/>
      <c r="BV297" s="202"/>
      <c r="BW297" s="202"/>
      <c r="BX297" s="267">
        <f t="shared" si="90"/>
        <v>0</v>
      </c>
      <c r="BY297" s="267">
        <f t="shared" si="91"/>
        <v>0</v>
      </c>
      <c r="BZ297" s="195"/>
      <c r="CA297" s="202"/>
      <c r="CB297" s="202"/>
      <c r="CC297" s="195"/>
      <c r="CD297" s="202"/>
      <c r="CE297" s="202"/>
      <c r="CF297" s="267">
        <f t="shared" si="92"/>
        <v>0</v>
      </c>
      <c r="CG297" s="267">
        <f t="shared" si="93"/>
        <v>0</v>
      </c>
      <c r="CH297" s="195"/>
      <c r="CI297" s="202"/>
      <c r="CJ297" s="202"/>
      <c r="CK297" s="195"/>
      <c r="CL297" s="202"/>
      <c r="CM297" s="202"/>
      <c r="CN297" s="267">
        <f t="shared" si="94"/>
        <v>0</v>
      </c>
      <c r="CO297" s="267">
        <f t="shared" si="95"/>
        <v>0</v>
      </c>
      <c r="CP297" s="92"/>
      <c r="CQ297" s="90"/>
      <c r="CR297" s="90"/>
      <c r="CS297" s="90"/>
      <c r="CT297" s="227" t="e">
        <f t="shared" si="96"/>
        <v>#REF!</v>
      </c>
      <c r="CU297" s="227">
        <f t="array" ref="CU297">BD297</f>
        <v>0</v>
      </c>
      <c r="CV297" s="92"/>
      <c r="CW297" s="92"/>
      <c r="CX297" s="92"/>
      <c r="CY297" s="92"/>
      <c r="CZ297" s="92"/>
      <c r="DA297" s="92"/>
      <c r="DB297" s="92"/>
    </row>
    <row r="298" spans="1:106" ht="14.25" customHeight="1" outlineLevel="3" x14ac:dyDescent="0.25">
      <c r="A298" s="2" t="b">
        <f>$AC$50="да"</f>
        <v>1</v>
      </c>
      <c r="B298" s="8" t="b">
        <f t="array" ref="B298">A298</f>
        <v>1</v>
      </c>
      <c r="C298" s="2" t="s">
        <v>84</v>
      </c>
      <c r="D298" s="2" t="s">
        <v>85</v>
      </c>
      <c r="E298" s="2" t="s">
        <v>74</v>
      </c>
      <c r="F298" s="2" t="s">
        <v>75</v>
      </c>
      <c r="G298" s="2" t="s">
        <v>422</v>
      </c>
      <c r="H298" s="2" t="s">
        <v>74</v>
      </c>
      <c r="I298" s="2" t="s">
        <v>74</v>
      </c>
      <c r="J298" s="2" t="s">
        <v>74</v>
      </c>
      <c r="K298" s="5" t="s">
        <v>74</v>
      </c>
      <c r="L298" s="2" t="s">
        <v>370</v>
      </c>
      <c r="M298" s="8" t="str">
        <f t="array" ref="M298">Y107</f>
        <v>1ВО::1.1</v>
      </c>
      <c r="Y298" s="2">
        <f>COUNT($Y284:Y297)+1</f>
        <v>11</v>
      </c>
      <c r="AA298" s="206" t="str">
        <f>AA258&amp;"."&amp;Y298</f>
        <v>3.1.3.11</v>
      </c>
      <c r="AB298" s="196" t="s">
        <v>423</v>
      </c>
      <c r="AC298" s="197" t="s">
        <v>114</v>
      </c>
      <c r="AD298" s="195"/>
      <c r="AE298" s="195"/>
      <c r="AF298" s="195"/>
      <c r="AG298" s="202"/>
      <c r="AH298" s="202"/>
      <c r="AI298" s="195">
        <f t="array" ref="AI298">AF298</f>
        <v>0</v>
      </c>
      <c r="AJ298" s="202"/>
      <c r="AK298" s="202"/>
      <c r="AL298" s="202"/>
      <c r="AM298" s="202"/>
      <c r="AN298" s="203">
        <f t="array" ref="AN298">[1]Адм.расходы!BT$195</f>
        <v>0</v>
      </c>
      <c r="AO298" s="195"/>
      <c r="AP298" s="202"/>
      <c r="AQ298" s="202"/>
      <c r="AR298" s="195">
        <f t="array" ref="AR298">AO298</f>
        <v>0</v>
      </c>
      <c r="AS298" s="202"/>
      <c r="AT298" s="202"/>
      <c r="AU298" s="203">
        <f t="array" ref="AU298">[1]Адм.расходы!BY$195</f>
        <v>0</v>
      </c>
      <c r="AV298" s="195"/>
      <c r="AW298" s="202"/>
      <c r="AX298" s="202"/>
      <c r="AY298" s="195">
        <f t="array" ref="AY298">AV298</f>
        <v>0</v>
      </c>
      <c r="AZ298" s="202"/>
      <c r="BA298" s="202"/>
      <c r="BB298" s="202"/>
      <c r="BC298" s="202"/>
      <c r="BD298" s="203">
        <f t="array" ref="BD298">[1]Адм.расходы!CC$195</f>
        <v>0</v>
      </c>
      <c r="BE298" s="202"/>
      <c r="BF298" s="202"/>
      <c r="BG298" s="267">
        <f t="shared" si="86"/>
        <v>0</v>
      </c>
      <c r="BH298" s="267" t="e">
        <f>BD298-#REF!</f>
        <v>#REF!</v>
      </c>
      <c r="BI298" s="267">
        <f t="shared" si="87"/>
        <v>0</v>
      </c>
      <c r="BJ298" s="203">
        <f t="array" ref="BJ298">[1]Адм.расходы!CD$195</f>
        <v>0</v>
      </c>
      <c r="BK298" s="202"/>
      <c r="BL298" s="202"/>
      <c r="BM298" s="203">
        <f t="array" ref="BM298">[1]Адм.расходы!CE$195</f>
        <v>0</v>
      </c>
      <c r="BN298" s="202"/>
      <c r="BO298" s="202"/>
      <c r="BP298" s="267">
        <f t="shared" si="88"/>
        <v>0</v>
      </c>
      <c r="BQ298" s="267">
        <f t="shared" si="89"/>
        <v>0</v>
      </c>
      <c r="BR298" s="203">
        <f t="array" ref="BR298">[1]Адм.расходы!CF$195</f>
        <v>0</v>
      </c>
      <c r="BS298" s="202"/>
      <c r="BT298" s="202"/>
      <c r="BU298" s="203">
        <f t="array" ref="BU298">[1]Адм.расходы!CG$195</f>
        <v>0</v>
      </c>
      <c r="BV298" s="202"/>
      <c r="BW298" s="202"/>
      <c r="BX298" s="267">
        <f t="shared" si="90"/>
        <v>0</v>
      </c>
      <c r="BY298" s="267">
        <f t="shared" si="91"/>
        <v>0</v>
      </c>
      <c r="BZ298" s="203">
        <f t="array" ref="BZ298">[1]Адм.расходы!CH$195</f>
        <v>0</v>
      </c>
      <c r="CA298" s="202"/>
      <c r="CB298" s="202"/>
      <c r="CC298" s="203">
        <f t="array" ref="CC298">[1]Адм.расходы!CI$195</f>
        <v>0</v>
      </c>
      <c r="CD298" s="202"/>
      <c r="CE298" s="202"/>
      <c r="CF298" s="267">
        <f t="shared" si="92"/>
        <v>0</v>
      </c>
      <c r="CG298" s="267">
        <f t="shared" si="93"/>
        <v>0</v>
      </c>
      <c r="CH298" s="203">
        <f t="array" ref="CH298">[1]Адм.расходы!CJ$195</f>
        <v>0</v>
      </c>
      <c r="CI298" s="202"/>
      <c r="CJ298" s="202"/>
      <c r="CK298" s="203">
        <f t="array" ref="CK298">[1]Адм.расходы!CK$195</f>
        <v>0</v>
      </c>
      <c r="CL298" s="202"/>
      <c r="CM298" s="202"/>
      <c r="CN298" s="267">
        <f t="shared" si="94"/>
        <v>0</v>
      </c>
      <c r="CO298" s="267">
        <f t="shared" si="95"/>
        <v>0</v>
      </c>
      <c r="CP298" s="92"/>
      <c r="CQ298" s="90"/>
      <c r="CR298" s="90"/>
      <c r="CS298" s="90"/>
      <c r="CT298" s="227" t="e">
        <f t="shared" si="96"/>
        <v>#REF!</v>
      </c>
      <c r="CU298" s="227">
        <f t="array" ref="CU298">BD298</f>
        <v>0</v>
      </c>
      <c r="CV298" s="92"/>
      <c r="CW298" s="92"/>
      <c r="CX298" s="92"/>
      <c r="CY298" s="92"/>
      <c r="CZ298" s="92"/>
      <c r="DA298" s="92"/>
      <c r="DB298" s="92"/>
    </row>
    <row r="299" spans="1:106" ht="14.25" customHeight="1" outlineLevel="3" x14ac:dyDescent="0.25">
      <c r="A299" s="2" t="b">
        <f>$AC$49="да"</f>
        <v>1</v>
      </c>
      <c r="B299" s="8" t="b">
        <f t="array" ref="B299">A299</f>
        <v>1</v>
      </c>
      <c r="C299" s="2" t="s">
        <v>84</v>
      </c>
      <c r="D299" s="2" t="s">
        <v>85</v>
      </c>
      <c r="E299" s="2" t="s">
        <v>74</v>
      </c>
      <c r="F299" s="2" t="s">
        <v>75</v>
      </c>
      <c r="G299" s="2" t="s">
        <v>424</v>
      </c>
      <c r="H299" s="2" t="s">
        <v>74</v>
      </c>
      <c r="I299" s="2" t="s">
        <v>74</v>
      </c>
      <c r="J299" s="2" t="s">
        <v>74</v>
      </c>
      <c r="K299" s="5" t="s">
        <v>74</v>
      </c>
      <c r="L299" s="2" t="s">
        <v>370</v>
      </c>
      <c r="M299" s="8" t="str">
        <f t="array" ref="M299">Y107</f>
        <v>1ВО::1.1</v>
      </c>
      <c r="Y299" s="2">
        <f>COUNT($Y284:Y298)+1</f>
        <v>12</v>
      </c>
      <c r="AA299" s="206" t="str">
        <f>AA258&amp;"."&amp;Y299</f>
        <v>3.1.3.12</v>
      </c>
      <c r="AB299" s="196" t="s">
        <v>425</v>
      </c>
      <c r="AC299" s="197" t="s">
        <v>114</v>
      </c>
      <c r="AD299" s="195"/>
      <c r="AE299" s="195"/>
      <c r="AF299" s="195"/>
      <c r="AG299" s="202"/>
      <c r="AH299" s="202"/>
      <c r="AI299" s="195">
        <f t="array" ref="AI299">AF299</f>
        <v>0</v>
      </c>
      <c r="AJ299" s="202"/>
      <c r="AK299" s="202"/>
      <c r="AL299" s="202"/>
      <c r="AM299" s="202"/>
      <c r="AN299" s="203">
        <f t="array" ref="AN299">'[1]Счет 25'!BT$174</f>
        <v>0</v>
      </c>
      <c r="AO299" s="195"/>
      <c r="AP299" s="202"/>
      <c r="AQ299" s="202"/>
      <c r="AR299" s="195">
        <f t="array" ref="AR299">AO299</f>
        <v>0</v>
      </c>
      <c r="AS299" s="202"/>
      <c r="AT299" s="202"/>
      <c r="AU299" s="203">
        <f t="array" ref="AU299">'[1]Счет 25'!BY$174</f>
        <v>0</v>
      </c>
      <c r="AV299" s="195"/>
      <c r="AW299" s="202"/>
      <c r="AX299" s="202"/>
      <c r="AY299" s="195">
        <f t="array" ref="AY299">AV299</f>
        <v>0</v>
      </c>
      <c r="AZ299" s="202"/>
      <c r="BA299" s="202"/>
      <c r="BB299" s="202"/>
      <c r="BC299" s="202"/>
      <c r="BD299" s="203">
        <f t="array" ref="BD299">'[1]Счет 25'!CC$174</f>
        <v>0</v>
      </c>
      <c r="BE299" s="202"/>
      <c r="BF299" s="202"/>
      <c r="BG299" s="267">
        <f t="shared" si="86"/>
        <v>0</v>
      </c>
      <c r="BH299" s="267" t="e">
        <f>BD299-#REF!</f>
        <v>#REF!</v>
      </c>
      <c r="BI299" s="267">
        <f t="shared" si="87"/>
        <v>0</v>
      </c>
      <c r="BJ299" s="203">
        <f t="array" ref="BJ299">'[1]Счет 25'!CD$174</f>
        <v>0</v>
      </c>
      <c r="BK299" s="202"/>
      <c r="BL299" s="202"/>
      <c r="BM299" s="203">
        <f t="array" ref="BM299">'[1]Счет 25'!CE$174</f>
        <v>0</v>
      </c>
      <c r="BN299" s="202"/>
      <c r="BO299" s="202"/>
      <c r="BP299" s="267">
        <f t="shared" si="88"/>
        <v>0</v>
      </c>
      <c r="BQ299" s="267">
        <f t="shared" si="89"/>
        <v>0</v>
      </c>
      <c r="BR299" s="203">
        <f t="array" ref="BR299">'[1]Счет 25'!CF$174</f>
        <v>0</v>
      </c>
      <c r="BS299" s="202"/>
      <c r="BT299" s="202"/>
      <c r="BU299" s="203">
        <f t="array" ref="BU299">'[1]Счет 25'!CG$174</f>
        <v>0</v>
      </c>
      <c r="BV299" s="202"/>
      <c r="BW299" s="202"/>
      <c r="BX299" s="267">
        <f t="shared" si="90"/>
        <v>0</v>
      </c>
      <c r="BY299" s="267">
        <f t="shared" si="91"/>
        <v>0</v>
      </c>
      <c r="BZ299" s="203">
        <f t="array" ref="BZ299">'[1]Счет 25'!CH$174</f>
        <v>0</v>
      </c>
      <c r="CA299" s="202"/>
      <c r="CB299" s="202"/>
      <c r="CC299" s="203">
        <f t="array" ref="CC299">'[1]Счет 25'!CI$174</f>
        <v>0</v>
      </c>
      <c r="CD299" s="202"/>
      <c r="CE299" s="202"/>
      <c r="CF299" s="267">
        <f t="shared" si="92"/>
        <v>0</v>
      </c>
      <c r="CG299" s="267">
        <f t="shared" si="93"/>
        <v>0</v>
      </c>
      <c r="CH299" s="203">
        <f t="array" ref="CH299">'[1]Счет 25'!CJ$174</f>
        <v>0</v>
      </c>
      <c r="CI299" s="202"/>
      <c r="CJ299" s="202"/>
      <c r="CK299" s="203">
        <f t="array" ref="CK299">'[1]Счет 25'!CK$174</f>
        <v>0</v>
      </c>
      <c r="CL299" s="202"/>
      <c r="CM299" s="202"/>
      <c r="CN299" s="267">
        <f t="shared" si="94"/>
        <v>0</v>
      </c>
      <c r="CO299" s="267">
        <f t="shared" si="95"/>
        <v>0</v>
      </c>
      <c r="CP299" s="92"/>
      <c r="CQ299" s="90"/>
      <c r="CR299" s="90"/>
      <c r="CS299" s="90"/>
      <c r="CT299" s="227" t="e">
        <f t="shared" si="96"/>
        <v>#REF!</v>
      </c>
      <c r="CU299" s="227">
        <f t="array" ref="CU299">BD299</f>
        <v>0</v>
      </c>
      <c r="CV299" s="92"/>
      <c r="CW299" s="92"/>
      <c r="CX299" s="92"/>
      <c r="CY299" s="92"/>
      <c r="CZ299" s="92"/>
      <c r="DA299" s="92"/>
      <c r="DB299" s="92"/>
    </row>
    <row r="300" spans="1:106" ht="14.25" customHeight="1" outlineLevel="3" x14ac:dyDescent="0.25">
      <c r="A300" s="2" t="b">
        <f>$AC$48="да"</f>
        <v>1</v>
      </c>
      <c r="B300" s="8" t="b">
        <f t="array" ref="B300">A300</f>
        <v>1</v>
      </c>
      <c r="C300" s="2" t="s">
        <v>84</v>
      </c>
      <c r="D300" s="2" t="s">
        <v>85</v>
      </c>
      <c r="E300" s="2" t="s">
        <v>74</v>
      </c>
      <c r="F300" s="2" t="s">
        <v>75</v>
      </c>
      <c r="G300" s="2" t="s">
        <v>426</v>
      </c>
      <c r="H300" s="2" t="s">
        <v>74</v>
      </c>
      <c r="I300" s="2" t="s">
        <v>74</v>
      </c>
      <c r="J300" s="2" t="s">
        <v>74</v>
      </c>
      <c r="K300" s="5" t="s">
        <v>74</v>
      </c>
      <c r="L300" s="2" t="s">
        <v>370</v>
      </c>
      <c r="M300" s="8" t="str">
        <f t="array" ref="M300">Y107</f>
        <v>1ВО::1.1</v>
      </c>
      <c r="Y300" s="2">
        <f>COUNT($Y284:Y299)+1</f>
        <v>13</v>
      </c>
      <c r="AA300" s="206" t="str">
        <f>AA258&amp;"."&amp;Y300</f>
        <v>3.1.3.13</v>
      </c>
      <c r="AB300" s="196" t="s">
        <v>427</v>
      </c>
      <c r="AC300" s="197" t="s">
        <v>114</v>
      </c>
      <c r="AD300" s="195"/>
      <c r="AE300" s="195"/>
      <c r="AF300" s="195"/>
      <c r="AG300" s="202"/>
      <c r="AH300" s="202"/>
      <c r="AI300" s="195">
        <f t="array" ref="AI300">AF300</f>
        <v>0</v>
      </c>
      <c r="AJ300" s="202"/>
      <c r="AK300" s="202"/>
      <c r="AL300" s="202"/>
      <c r="AM300" s="202"/>
      <c r="AN300" s="203">
        <f t="array" ref="AN300">'[1]Счет 23'!BT$247</f>
        <v>0</v>
      </c>
      <c r="AO300" s="195"/>
      <c r="AP300" s="202"/>
      <c r="AQ300" s="202"/>
      <c r="AR300" s="195">
        <f t="array" ref="AR300">AO300</f>
        <v>0</v>
      </c>
      <c r="AS300" s="202"/>
      <c r="AT300" s="202"/>
      <c r="AU300" s="203">
        <f t="array" ref="AU300">'[1]Счет 23'!BY$247</f>
        <v>0</v>
      </c>
      <c r="AV300" s="195"/>
      <c r="AW300" s="202"/>
      <c r="AX300" s="202"/>
      <c r="AY300" s="195">
        <f t="array" ref="AY300">AV300</f>
        <v>0</v>
      </c>
      <c r="AZ300" s="202"/>
      <c r="BA300" s="202"/>
      <c r="BB300" s="202"/>
      <c r="BC300" s="202"/>
      <c r="BD300" s="203">
        <f t="array" ref="BD300">'[1]Счет 23'!CC$247</f>
        <v>0</v>
      </c>
      <c r="BE300" s="202"/>
      <c r="BF300" s="202"/>
      <c r="BG300" s="267">
        <f t="shared" si="86"/>
        <v>0</v>
      </c>
      <c r="BH300" s="267" t="e">
        <f>BD300-#REF!</f>
        <v>#REF!</v>
      </c>
      <c r="BI300" s="267">
        <f t="shared" si="87"/>
        <v>0</v>
      </c>
      <c r="BJ300" s="203">
        <f t="array" ref="BJ300">'[1]Счет 23'!CD$247</f>
        <v>0</v>
      </c>
      <c r="BK300" s="202"/>
      <c r="BL300" s="202"/>
      <c r="BM300" s="203">
        <f t="array" ref="BM300">'[1]Счет 23'!CE$247</f>
        <v>0</v>
      </c>
      <c r="BN300" s="202"/>
      <c r="BO300" s="202"/>
      <c r="BP300" s="267">
        <f t="shared" si="88"/>
        <v>0</v>
      </c>
      <c r="BQ300" s="267">
        <f t="shared" si="89"/>
        <v>0</v>
      </c>
      <c r="BR300" s="203">
        <f t="array" ref="BR300">'[1]Счет 23'!CF$247</f>
        <v>0</v>
      </c>
      <c r="BS300" s="202"/>
      <c r="BT300" s="202"/>
      <c r="BU300" s="203">
        <f t="array" ref="BU300">'[1]Счет 23'!CG$247</f>
        <v>0</v>
      </c>
      <c r="BV300" s="202"/>
      <c r="BW300" s="202"/>
      <c r="BX300" s="267">
        <f t="shared" si="90"/>
        <v>0</v>
      </c>
      <c r="BY300" s="267">
        <f t="shared" si="91"/>
        <v>0</v>
      </c>
      <c r="BZ300" s="203">
        <f t="array" ref="BZ300">'[1]Счет 23'!CH$247</f>
        <v>0</v>
      </c>
      <c r="CA300" s="202"/>
      <c r="CB300" s="202"/>
      <c r="CC300" s="203">
        <f t="array" ref="CC300">'[1]Счет 23'!CI$247</f>
        <v>0</v>
      </c>
      <c r="CD300" s="202"/>
      <c r="CE300" s="202"/>
      <c r="CF300" s="267">
        <f t="shared" si="92"/>
        <v>0</v>
      </c>
      <c r="CG300" s="267">
        <f t="shared" si="93"/>
        <v>0</v>
      </c>
      <c r="CH300" s="203">
        <f t="array" ref="CH300">'[1]Счет 23'!CJ$247</f>
        <v>0</v>
      </c>
      <c r="CI300" s="202"/>
      <c r="CJ300" s="202"/>
      <c r="CK300" s="203">
        <f t="array" ref="CK300">'[1]Счет 23'!CK$247</f>
        <v>0</v>
      </c>
      <c r="CL300" s="202"/>
      <c r="CM300" s="202"/>
      <c r="CN300" s="267">
        <f t="shared" si="94"/>
        <v>0</v>
      </c>
      <c r="CO300" s="267">
        <f t="shared" si="95"/>
        <v>0</v>
      </c>
      <c r="CP300" s="92"/>
      <c r="CQ300" s="90"/>
      <c r="CR300" s="90"/>
      <c r="CS300" s="90"/>
      <c r="CT300" s="227" t="e">
        <f t="shared" si="96"/>
        <v>#REF!</v>
      </c>
      <c r="CU300" s="227">
        <f t="array" ref="CU300">BD300</f>
        <v>0</v>
      </c>
      <c r="CV300" s="92"/>
      <c r="CW300" s="92"/>
      <c r="CX300" s="92"/>
      <c r="CY300" s="92"/>
      <c r="CZ300" s="92"/>
      <c r="DA300" s="92"/>
      <c r="DB300" s="92"/>
    </row>
    <row r="301" spans="1:106" ht="14.25" customHeight="1" outlineLevel="3" x14ac:dyDescent="0.25">
      <c r="C301" s="2" t="s">
        <v>84</v>
      </c>
      <c r="D301" s="2" t="s">
        <v>85</v>
      </c>
      <c r="E301" s="2" t="s">
        <v>74</v>
      </c>
      <c r="F301" s="2" t="s">
        <v>75</v>
      </c>
      <c r="G301" s="2" t="s">
        <v>428</v>
      </c>
      <c r="H301" s="2" t="s">
        <v>74</v>
      </c>
      <c r="I301" s="2" t="s">
        <v>74</v>
      </c>
      <c r="J301" s="2" t="s">
        <v>74</v>
      </c>
      <c r="K301" s="5" t="s">
        <v>74</v>
      </c>
      <c r="L301" s="2" t="s">
        <v>370</v>
      </c>
      <c r="M301" s="8" t="str">
        <f t="array" ref="M301">Y107</f>
        <v>1ВО::1.1</v>
      </c>
      <c r="Y301" s="2">
        <f>COUNT($Y284:Y300)+1</f>
        <v>14</v>
      </c>
      <c r="AA301" s="206" t="str">
        <f>AA258&amp;"."&amp;Y301</f>
        <v>3.1.3.14</v>
      </c>
      <c r="AB301" s="196" t="s">
        <v>428</v>
      </c>
      <c r="AC301" s="197" t="s">
        <v>114</v>
      </c>
      <c r="AD301" s="173">
        <v>1.0913936421275139E-11</v>
      </c>
      <c r="AE301" s="173">
        <v>-5.4569682106375694E-12</v>
      </c>
      <c r="AF301" s="195">
        <v>11361.1744</v>
      </c>
      <c r="AG301" s="174"/>
      <c r="AH301" s="174"/>
      <c r="AI301" s="136">
        <v>11361.1744</v>
      </c>
      <c r="AJ301" s="174"/>
      <c r="AK301" s="174"/>
      <c r="AL301" s="174"/>
      <c r="AM301" s="174"/>
      <c r="AN301" s="203">
        <f t="array" ref="AN301">'[1]Прочие прямые'!AH94</f>
        <v>0</v>
      </c>
      <c r="AO301" s="195"/>
      <c r="AP301" s="174"/>
      <c r="AQ301" s="174"/>
      <c r="AR301" s="136">
        <f t="array" ref="AR301">AO301</f>
        <v>0</v>
      </c>
      <c r="AS301" s="174"/>
      <c r="AT301" s="174"/>
      <c r="AU301" s="203">
        <f t="array" ref="AU301">'[1]Прочие прямые'!AM94</f>
        <v>0</v>
      </c>
      <c r="AV301" s="195"/>
      <c r="AW301" s="174"/>
      <c r="AX301" s="174"/>
      <c r="AY301" s="136">
        <f t="array" ref="AY301">AV301</f>
        <v>0</v>
      </c>
      <c r="AZ301" s="174"/>
      <c r="BA301" s="174"/>
      <c r="BB301" s="174"/>
      <c r="BC301" s="174"/>
      <c r="BD301" s="203">
        <f t="array" ref="BD301">'[1]Прочие прямые'!AV94</f>
        <v>0</v>
      </c>
      <c r="BE301" s="174"/>
      <c r="BF301" s="174"/>
      <c r="BG301" s="267">
        <f t="shared" si="86"/>
        <v>0</v>
      </c>
      <c r="BH301" s="267" t="e">
        <f>BD301-#REF!</f>
        <v>#REF!</v>
      </c>
      <c r="BI301" s="267">
        <f t="shared" si="87"/>
        <v>0</v>
      </c>
      <c r="BJ301" s="203">
        <f t="array" ref="BJ301">'[1]Прочие прямые'!AQ94</f>
        <v>0</v>
      </c>
      <c r="BK301" s="174"/>
      <c r="BL301" s="174"/>
      <c r="BM301" s="203">
        <f t="array" ref="BM301">'[1]Прочие прямые'!AW94</f>
        <v>0</v>
      </c>
      <c r="BN301" s="174"/>
      <c r="BO301" s="174"/>
      <c r="BP301" s="267">
        <f t="shared" si="88"/>
        <v>0</v>
      </c>
      <c r="BQ301" s="267">
        <f t="shared" si="89"/>
        <v>0</v>
      </c>
      <c r="BR301" s="203">
        <f t="array" ref="BR301">'[1]Прочие прямые'!AR94</f>
        <v>0</v>
      </c>
      <c r="BS301" s="174"/>
      <c r="BT301" s="174"/>
      <c r="BU301" s="203">
        <f t="array" ref="BU301">'[1]Прочие прямые'!AX94</f>
        <v>0</v>
      </c>
      <c r="BV301" s="174"/>
      <c r="BW301" s="174"/>
      <c r="BX301" s="267">
        <f t="shared" si="90"/>
        <v>0</v>
      </c>
      <c r="BY301" s="267">
        <f t="shared" si="91"/>
        <v>0</v>
      </c>
      <c r="BZ301" s="203">
        <f t="array" ref="BZ301">'[1]Прочие прямые'!AS94</f>
        <v>0</v>
      </c>
      <c r="CA301" s="174"/>
      <c r="CB301" s="174"/>
      <c r="CC301" s="203">
        <f t="array" ref="CC301">'[1]Прочие прямые'!AY94</f>
        <v>0</v>
      </c>
      <c r="CD301" s="174"/>
      <c r="CE301" s="174"/>
      <c r="CF301" s="267">
        <f t="shared" si="92"/>
        <v>0</v>
      </c>
      <c r="CG301" s="267">
        <f t="shared" si="93"/>
        <v>0</v>
      </c>
      <c r="CH301" s="203">
        <f t="array" ref="CH301">'[1]Прочие прямые'!AT94</f>
        <v>0</v>
      </c>
      <c r="CI301" s="174"/>
      <c r="CJ301" s="174"/>
      <c r="CK301" s="203">
        <f t="array" ref="CK301">'[1]Прочие прямые'!AZ94</f>
        <v>0</v>
      </c>
      <c r="CL301" s="174"/>
      <c r="CM301" s="174"/>
      <c r="CN301" s="267">
        <f t="shared" si="94"/>
        <v>0</v>
      </c>
      <c r="CO301" s="267">
        <f t="shared" si="95"/>
        <v>0</v>
      </c>
      <c r="CP301" s="92"/>
      <c r="CQ301" s="85"/>
      <c r="CR301" s="85"/>
      <c r="CS301" s="85"/>
      <c r="CT301" s="99" t="e">
        <f t="shared" si="96"/>
        <v>#REF!</v>
      </c>
      <c r="CU301" s="99">
        <f t="array" ref="CU301">BD301</f>
        <v>0</v>
      </c>
      <c r="CV301" s="101"/>
      <c r="CW301" s="101"/>
      <c r="CX301" s="101"/>
      <c r="CY301" s="101"/>
      <c r="CZ301" s="101"/>
      <c r="DA301" s="101"/>
      <c r="DB301" s="101"/>
    </row>
    <row r="302" spans="1:106" ht="34.700000000000003" customHeight="1" outlineLevel="1" x14ac:dyDescent="0.25">
      <c r="C302" s="2" t="s">
        <v>84</v>
      </c>
      <c r="D302" s="2" t="s">
        <v>85</v>
      </c>
      <c r="E302" s="2" t="s">
        <v>74</v>
      </c>
      <c r="F302" s="2" t="s">
        <v>75</v>
      </c>
      <c r="G302" s="2" t="s">
        <v>429</v>
      </c>
      <c r="H302" s="2" t="s">
        <v>74</v>
      </c>
      <c r="I302" s="2" t="s">
        <v>74</v>
      </c>
      <c r="J302" s="2" t="s">
        <v>74</v>
      </c>
      <c r="K302" s="5" t="s">
        <v>74</v>
      </c>
      <c r="L302" s="2" t="s">
        <v>136</v>
      </c>
      <c r="M302" s="8" t="str">
        <f t="array" ref="M302">Y107</f>
        <v>1ВО::1.1</v>
      </c>
      <c r="AA302" s="191" t="str">
        <f>AA156&amp;".2"</f>
        <v>3.2</v>
      </c>
      <c r="AB302" s="239" t="s">
        <v>429</v>
      </c>
      <c r="AC302" s="191" t="s">
        <v>114</v>
      </c>
      <c r="AD302" s="136">
        <v>114294.35</v>
      </c>
      <c r="AE302" s="136">
        <v>145432.94</v>
      </c>
      <c r="AF302" s="195">
        <v>228373.31</v>
      </c>
      <c r="AG302" s="202"/>
      <c r="AH302" s="202"/>
      <c r="AI302" s="136">
        <v>228373.31</v>
      </c>
      <c r="AJ302" s="202"/>
      <c r="AK302" s="202"/>
      <c r="AL302" s="202"/>
      <c r="AM302" s="202"/>
      <c r="AN302" s="173">
        <f>AN303+AN305+AN306+AN307+AN308</f>
        <v>251899.77835000004</v>
      </c>
      <c r="AO302" s="195">
        <v>12519.575000000001</v>
      </c>
      <c r="AP302" s="202"/>
      <c r="AQ302" s="202"/>
      <c r="AR302" s="136">
        <v>12519.575000000001</v>
      </c>
      <c r="AS302" s="202"/>
      <c r="AT302" s="202"/>
      <c r="AU302" s="173">
        <f>AU303+AU305+AU306+AU307+AU308</f>
        <v>0</v>
      </c>
      <c r="AV302" s="195">
        <v>12519.58</v>
      </c>
      <c r="AW302" s="202"/>
      <c r="AX302" s="202"/>
      <c r="AY302" s="136">
        <v>12519.58</v>
      </c>
      <c r="AZ302" s="202"/>
      <c r="BA302" s="202"/>
      <c r="BB302" s="202"/>
      <c r="BC302" s="202"/>
      <c r="BD302" s="173">
        <f>BD303+BD305+BD306+BD307+BD308</f>
        <v>0</v>
      </c>
      <c r="BE302" s="202"/>
      <c r="BF302" s="202"/>
      <c r="BG302" s="267">
        <f t="shared" si="86"/>
        <v>0</v>
      </c>
      <c r="BH302" s="267" t="e">
        <f>BD302-#REF!</f>
        <v>#REF!</v>
      </c>
      <c r="BI302" s="267">
        <f t="shared" si="87"/>
        <v>-12519.58</v>
      </c>
      <c r="BJ302" s="173">
        <f>BJ303+BJ305+BJ306+BJ307+BJ308</f>
        <v>102948.00385441988</v>
      </c>
      <c r="BK302" s="202"/>
      <c r="BL302" s="202"/>
      <c r="BM302" s="173">
        <f>BM303+BM305+BM306+BM307+BM308</f>
        <v>0</v>
      </c>
      <c r="BN302" s="202"/>
      <c r="BO302" s="202"/>
      <c r="BP302" s="267">
        <f t="shared" si="88"/>
        <v>0</v>
      </c>
      <c r="BQ302" s="267">
        <f t="shared" si="89"/>
        <v>-102948.00385441988</v>
      </c>
      <c r="BR302" s="173">
        <f>BR303+BR305+BR306+BR307+BR308</f>
        <v>102772.40796441988</v>
      </c>
      <c r="BS302" s="202"/>
      <c r="BT302" s="202"/>
      <c r="BU302" s="173">
        <f>BU303+BU305+BU306+BU307+BU308</f>
        <v>0</v>
      </c>
      <c r="BV302" s="202"/>
      <c r="BW302" s="202"/>
      <c r="BX302" s="267">
        <f t="shared" si="90"/>
        <v>0</v>
      </c>
      <c r="BY302" s="267">
        <f t="shared" si="91"/>
        <v>-102772.40796441988</v>
      </c>
      <c r="BZ302" s="173">
        <f>BZ303+BZ305+BZ306+BZ307+BZ308</f>
        <v>102772.40796441988</v>
      </c>
      <c r="CA302" s="202"/>
      <c r="CB302" s="202"/>
      <c r="CC302" s="173">
        <f>CC303+CC305+CC306+CC307+CC308</f>
        <v>0</v>
      </c>
      <c r="CD302" s="202"/>
      <c r="CE302" s="202"/>
      <c r="CF302" s="267">
        <f t="shared" si="92"/>
        <v>0</v>
      </c>
      <c r="CG302" s="267">
        <f t="shared" si="93"/>
        <v>-102772.40796441988</v>
      </c>
      <c r="CH302" s="173">
        <f>CH303+CH305+CH306+CH307+CH308</f>
        <v>102772.40796441988</v>
      </c>
      <c r="CI302" s="202"/>
      <c r="CJ302" s="202"/>
      <c r="CK302" s="173">
        <f>CK303+CK305+CK306+CK307+CK308</f>
        <v>0</v>
      </c>
      <c r="CL302" s="202"/>
      <c r="CM302" s="202"/>
      <c r="CN302" s="267">
        <f t="shared" si="94"/>
        <v>0</v>
      </c>
      <c r="CO302" s="267">
        <f t="shared" si="95"/>
        <v>-102772.40796441988</v>
      </c>
      <c r="CP302" s="92" t="s">
        <v>569</v>
      </c>
      <c r="CQ302" s="85"/>
      <c r="CR302" s="85"/>
      <c r="CS302" s="85"/>
      <c r="CT302" s="99" t="e">
        <f t="shared" si="96"/>
        <v>#REF!</v>
      </c>
      <c r="CU302" s="100">
        <f>CU303+CU305+CU306+CU307+CU308</f>
        <v>0</v>
      </c>
      <c r="CV302" s="101"/>
      <c r="CW302" s="101"/>
      <c r="CX302" s="101"/>
      <c r="CY302" s="101"/>
      <c r="CZ302" s="101"/>
      <c r="DA302" s="101"/>
      <c r="DB302" s="101"/>
    </row>
    <row r="303" spans="1:106" ht="14.25" customHeight="1" outlineLevel="2" x14ac:dyDescent="0.25">
      <c r="C303" s="2" t="s">
        <v>84</v>
      </c>
      <c r="D303" s="2" t="s">
        <v>85</v>
      </c>
      <c r="E303" s="2" t="s">
        <v>74</v>
      </c>
      <c r="F303" s="2" t="s">
        <v>75</v>
      </c>
      <c r="G303" s="2" t="s">
        <v>430</v>
      </c>
      <c r="H303" s="2" t="s">
        <v>74</v>
      </c>
      <c r="I303" s="2" t="s">
        <v>74</v>
      </c>
      <c r="J303" s="2" t="s">
        <v>74</v>
      </c>
      <c r="K303" s="5" t="s">
        <v>74</v>
      </c>
      <c r="L303" s="2" t="s">
        <v>325</v>
      </c>
      <c r="M303" s="8" t="str">
        <f t="array" ref="M303">Y107</f>
        <v>1ВО::1.1</v>
      </c>
      <c r="Y303" s="2">
        <v>1</v>
      </c>
      <c r="AA303" s="107" t="str">
        <f>AA$302&amp;"."&amp;Y303</f>
        <v>3.2.1</v>
      </c>
      <c r="AB303" s="240" t="s">
        <v>195</v>
      </c>
      <c r="AC303" s="197" t="s">
        <v>114</v>
      </c>
      <c r="AD303" s="173">
        <v>114294.35</v>
      </c>
      <c r="AE303" s="173">
        <v>145432.94</v>
      </c>
      <c r="AF303" s="173">
        <v>228373.31</v>
      </c>
      <c r="AG303" s="174"/>
      <c r="AH303" s="174"/>
      <c r="AI303" s="173">
        <f>AI302-AI305-AI306-AI307-AI308</f>
        <v>228373.31</v>
      </c>
      <c r="AJ303" s="174"/>
      <c r="AK303" s="174"/>
      <c r="AL303" s="174"/>
      <c r="AM303" s="174"/>
      <c r="AN303" s="203">
        <f>(1/1000)*[1]Амортизация!$DP$93</f>
        <v>251899.77835000004</v>
      </c>
      <c r="AO303" s="173">
        <v>12519.575000000001</v>
      </c>
      <c r="AP303" s="174"/>
      <c r="AQ303" s="174"/>
      <c r="AR303" s="173">
        <f>AR302-AR305-AR306-AR307-AR308</f>
        <v>12519.575000000001</v>
      </c>
      <c r="AS303" s="174"/>
      <c r="AT303" s="174"/>
      <c r="AU303" s="203">
        <f>(1/1000)*[1]Амортизация!$DU$93</f>
        <v>0</v>
      </c>
      <c r="AV303" s="173">
        <v>12519.58</v>
      </c>
      <c r="AW303" s="174"/>
      <c r="AX303" s="174"/>
      <c r="AY303" s="173">
        <f>AY302-AY305-AY306-AY307-AY308</f>
        <v>12519.58</v>
      </c>
      <c r="AZ303" s="174"/>
      <c r="BA303" s="174"/>
      <c r="BB303" s="174"/>
      <c r="BC303" s="174"/>
      <c r="BD303" s="203">
        <f>(1/1000)*[1]Амортизация!$ED$93</f>
        <v>0</v>
      </c>
      <c r="BE303" s="174"/>
      <c r="BF303" s="174"/>
      <c r="BG303" s="267">
        <f t="shared" si="86"/>
        <v>0</v>
      </c>
      <c r="BH303" s="267" t="e">
        <f>BD303-#REF!</f>
        <v>#REF!</v>
      </c>
      <c r="BI303" s="267">
        <f t="shared" si="87"/>
        <v>-12519.58</v>
      </c>
      <c r="BJ303" s="203">
        <f>(1/1000)*[1]Амортизация!$BZ$93</f>
        <v>102948.00385441988</v>
      </c>
      <c r="BK303" s="174"/>
      <c r="BL303" s="174"/>
      <c r="BM303" s="203">
        <f>(1/1000)*[1]Амортизация!$EL$93</f>
        <v>0</v>
      </c>
      <c r="BN303" s="174"/>
      <c r="BO303" s="174"/>
      <c r="BP303" s="267">
        <f t="shared" si="88"/>
        <v>0</v>
      </c>
      <c r="BQ303" s="267">
        <f t="shared" si="89"/>
        <v>-102948.00385441988</v>
      </c>
      <c r="BR303" s="203">
        <f>(1/1000)*[1]Амортизация!$CH$93</f>
        <v>102772.40796441988</v>
      </c>
      <c r="BS303" s="174"/>
      <c r="BT303" s="174"/>
      <c r="BU303" s="203">
        <f>(1/1000)*[1]Амортизация!$ET$93</f>
        <v>0</v>
      </c>
      <c r="BV303" s="174"/>
      <c r="BW303" s="174"/>
      <c r="BX303" s="267">
        <f t="shared" si="90"/>
        <v>0</v>
      </c>
      <c r="BY303" s="267">
        <f t="shared" si="91"/>
        <v>-102772.40796441988</v>
      </c>
      <c r="BZ303" s="203">
        <f>(1/1000)*[1]Амортизация!$CP$93</f>
        <v>102772.40796441988</v>
      </c>
      <c r="CA303" s="174"/>
      <c r="CB303" s="174"/>
      <c r="CC303" s="203">
        <f>(1/1000)*[1]Амортизация!$FB$93</f>
        <v>0</v>
      </c>
      <c r="CD303" s="174"/>
      <c r="CE303" s="174"/>
      <c r="CF303" s="267">
        <f t="shared" si="92"/>
        <v>0</v>
      </c>
      <c r="CG303" s="267">
        <f t="shared" si="93"/>
        <v>-102772.40796441988</v>
      </c>
      <c r="CH303" s="203">
        <f>(1/1000)*[1]Амортизация!$CX$93</f>
        <v>102772.40796441988</v>
      </c>
      <c r="CI303" s="174"/>
      <c r="CJ303" s="174"/>
      <c r="CK303" s="203">
        <f>(1/1000)*[1]Амортизация!$FJ$93</f>
        <v>0</v>
      </c>
      <c r="CL303" s="174"/>
      <c r="CM303" s="174"/>
      <c r="CN303" s="267">
        <f t="shared" si="94"/>
        <v>0</v>
      </c>
      <c r="CO303" s="267">
        <f t="shared" si="95"/>
        <v>-102772.40796441988</v>
      </c>
      <c r="CP303" s="92"/>
      <c r="CQ303" s="85"/>
      <c r="CR303" s="85"/>
      <c r="CS303" s="85"/>
      <c r="CT303" s="99" t="e">
        <f t="shared" si="96"/>
        <v>#REF!</v>
      </c>
      <c r="CU303" s="99">
        <f t="array" ref="CU303">BD303</f>
        <v>0</v>
      </c>
      <c r="CV303" s="101"/>
      <c r="CW303" s="101"/>
      <c r="CX303" s="101"/>
      <c r="CY303" s="101"/>
      <c r="CZ303" s="101"/>
      <c r="DA303" s="101"/>
      <c r="DB303" s="101"/>
    </row>
    <row r="304" spans="1:106" ht="14.25" customHeight="1" outlineLevel="2" x14ac:dyDescent="0.25">
      <c r="C304" s="3" t="s">
        <v>84</v>
      </c>
      <c r="D304" s="3" t="s">
        <v>85</v>
      </c>
      <c r="E304" s="3" t="s">
        <v>74</v>
      </c>
      <c r="F304" s="3" t="s">
        <v>75</v>
      </c>
      <c r="G304" s="3" t="s">
        <v>431</v>
      </c>
      <c r="H304" s="3" t="s">
        <v>74</v>
      </c>
      <c r="I304" s="3" t="s">
        <v>74</v>
      </c>
      <c r="J304" s="3" t="s">
        <v>74</v>
      </c>
      <c r="K304" s="241" t="s">
        <v>74</v>
      </c>
      <c r="AA304" s="107" t="str">
        <f>AA$303&amp;".1"</f>
        <v>3.2.1.1</v>
      </c>
      <c r="AB304" s="242" t="s">
        <v>432</v>
      </c>
      <c r="AC304" s="197" t="s">
        <v>114</v>
      </c>
      <c r="AD304" s="136"/>
      <c r="AE304" s="136"/>
      <c r="AF304" s="195"/>
      <c r="AG304" s="202"/>
      <c r="AH304" s="202"/>
      <c r="AI304" s="136">
        <f t="array" ref="AI304">AF304</f>
        <v>0</v>
      </c>
      <c r="AJ304" s="202"/>
      <c r="AK304" s="202"/>
      <c r="AL304" s="202"/>
      <c r="AM304" s="202"/>
      <c r="AN304" s="136" t="e">
        <f t="array" ref="AN304">#REF!</f>
        <v>#REF!</v>
      </c>
      <c r="AO304" s="195"/>
      <c r="AP304" s="202"/>
      <c r="AQ304" s="202"/>
      <c r="AR304" s="136">
        <f t="array" ref="AR304">AO304</f>
        <v>0</v>
      </c>
      <c r="AS304" s="202"/>
      <c r="AT304" s="202"/>
      <c r="AU304" s="136" t="e">
        <f t="array" ref="AU304">#REF!</f>
        <v>#REF!</v>
      </c>
      <c r="AV304" s="195"/>
      <c r="AW304" s="202"/>
      <c r="AX304" s="202"/>
      <c r="AY304" s="136">
        <f t="array" ref="AY304">AV304</f>
        <v>0</v>
      </c>
      <c r="AZ304" s="202"/>
      <c r="BA304" s="202"/>
      <c r="BB304" s="202"/>
      <c r="BC304" s="202"/>
      <c r="BD304" s="136"/>
      <c r="BE304" s="202"/>
      <c r="BF304" s="202"/>
      <c r="BG304" s="267">
        <f t="shared" si="86"/>
        <v>0</v>
      </c>
      <c r="BH304" s="267" t="e">
        <f>BD304-#REF!</f>
        <v>#REF!</v>
      </c>
      <c r="BI304" s="267">
        <f t="shared" si="87"/>
        <v>0</v>
      </c>
      <c r="BJ304" s="136"/>
      <c r="BK304" s="202"/>
      <c r="BL304" s="202"/>
      <c r="BM304" s="136"/>
      <c r="BN304" s="202"/>
      <c r="BO304" s="202"/>
      <c r="BP304" s="267">
        <f t="shared" si="88"/>
        <v>0</v>
      </c>
      <c r="BQ304" s="267">
        <f t="shared" si="89"/>
        <v>0</v>
      </c>
      <c r="BR304" s="136"/>
      <c r="BS304" s="202"/>
      <c r="BT304" s="202"/>
      <c r="BU304" s="136"/>
      <c r="BV304" s="202"/>
      <c r="BW304" s="202"/>
      <c r="BX304" s="267">
        <f t="shared" si="90"/>
        <v>0</v>
      </c>
      <c r="BY304" s="267">
        <f t="shared" si="91"/>
        <v>0</v>
      </c>
      <c r="BZ304" s="136"/>
      <c r="CA304" s="202"/>
      <c r="CB304" s="202"/>
      <c r="CC304" s="136"/>
      <c r="CD304" s="202"/>
      <c r="CE304" s="202"/>
      <c r="CF304" s="267">
        <f t="shared" si="92"/>
        <v>0</v>
      </c>
      <c r="CG304" s="267">
        <f t="shared" si="93"/>
        <v>0</v>
      </c>
      <c r="CH304" s="136"/>
      <c r="CI304" s="202"/>
      <c r="CJ304" s="202"/>
      <c r="CK304" s="136"/>
      <c r="CL304" s="202"/>
      <c r="CM304" s="202"/>
      <c r="CN304" s="267">
        <f t="shared" si="94"/>
        <v>0</v>
      </c>
      <c r="CO304" s="267">
        <f t="shared" si="95"/>
        <v>0</v>
      </c>
      <c r="CP304" s="92"/>
      <c r="CQ304" s="85"/>
      <c r="CR304" s="85"/>
      <c r="CS304" s="85"/>
      <c r="CT304" s="99" t="e">
        <f t="shared" si="96"/>
        <v>#REF!</v>
      </c>
      <c r="CU304" s="99">
        <f t="array" ref="CU304">BD304</f>
        <v>0</v>
      </c>
      <c r="CV304" s="101"/>
      <c r="CW304" s="101"/>
      <c r="CX304" s="101"/>
      <c r="CY304" s="101"/>
      <c r="CZ304" s="101"/>
      <c r="DA304" s="101"/>
      <c r="DB304" s="101"/>
    </row>
    <row r="305" spans="1:107" ht="14.25" customHeight="1" outlineLevel="2" x14ac:dyDescent="0.25">
      <c r="A305" s="2" t="b">
        <f>$AC$50="да"</f>
        <v>1</v>
      </c>
      <c r="B305" s="8" t="b">
        <f t="array" ref="B305">A305</f>
        <v>1</v>
      </c>
      <c r="C305" s="2" t="s">
        <v>84</v>
      </c>
      <c r="D305" s="2" t="s">
        <v>85</v>
      </c>
      <c r="E305" s="2" t="s">
        <v>74</v>
      </c>
      <c r="F305" s="2" t="s">
        <v>75</v>
      </c>
      <c r="G305" s="2" t="s">
        <v>433</v>
      </c>
      <c r="H305" s="2" t="s">
        <v>74</v>
      </c>
      <c r="I305" s="2" t="s">
        <v>74</v>
      </c>
      <c r="J305" s="2" t="s">
        <v>74</v>
      </c>
      <c r="K305" s="5" t="s">
        <v>74</v>
      </c>
      <c r="L305" s="2" t="s">
        <v>365</v>
      </c>
      <c r="M305" s="8" t="str">
        <f t="array" ref="M305">Y107</f>
        <v>1ВО::1.1</v>
      </c>
      <c r="Y305" s="2">
        <f>COUNT($Y303:Y303)+1</f>
        <v>2</v>
      </c>
      <c r="AA305" s="107" t="str">
        <f>AA$302&amp;"."&amp;Y305</f>
        <v>3.2.2</v>
      </c>
      <c r="AB305" s="240" t="s">
        <v>423</v>
      </c>
      <c r="AC305" s="197" t="s">
        <v>114</v>
      </c>
      <c r="AD305" s="195"/>
      <c r="AE305" s="195"/>
      <c r="AF305" s="195"/>
      <c r="AG305" s="202"/>
      <c r="AH305" s="202"/>
      <c r="AI305" s="195">
        <f t="array" ref="AI305">AF305</f>
        <v>0</v>
      </c>
      <c r="AJ305" s="202"/>
      <c r="AK305" s="202"/>
      <c r="AL305" s="202"/>
      <c r="AM305" s="202"/>
      <c r="AN305" s="203">
        <f t="array" ref="AN305">IF($AC$50="да",[1]Адм.расходы!BT196,0)</f>
        <v>0</v>
      </c>
      <c r="AO305" s="195"/>
      <c r="AP305" s="202"/>
      <c r="AQ305" s="202"/>
      <c r="AR305" s="195">
        <f t="array" ref="AR305">AO305</f>
        <v>0</v>
      </c>
      <c r="AS305" s="202"/>
      <c r="AT305" s="202"/>
      <c r="AU305" s="203">
        <f t="array" ref="AU305">IF($AC$50="да",[1]Адм.расходы!BY196,0)</f>
        <v>0</v>
      </c>
      <c r="AV305" s="195"/>
      <c r="AW305" s="202"/>
      <c r="AX305" s="202"/>
      <c r="AY305" s="195">
        <f t="array" ref="AY305">AV305</f>
        <v>0</v>
      </c>
      <c r="AZ305" s="202"/>
      <c r="BA305" s="202"/>
      <c r="BB305" s="202"/>
      <c r="BC305" s="202"/>
      <c r="BD305" s="203">
        <f t="array" ref="BD305">IF($AC$50="да",[1]Адм.расходы!CC196,0)</f>
        <v>0</v>
      </c>
      <c r="BE305" s="202"/>
      <c r="BF305" s="202"/>
      <c r="BG305" s="267">
        <f t="shared" si="86"/>
        <v>0</v>
      </c>
      <c r="BH305" s="267" t="e">
        <f>BD305-#REF!</f>
        <v>#REF!</v>
      </c>
      <c r="BI305" s="267">
        <f t="shared" si="87"/>
        <v>0</v>
      </c>
      <c r="BJ305" s="203">
        <f t="array" ref="BJ305">IF($AC$50="да",[1]Адм.расходы!CD196,0)</f>
        <v>0</v>
      </c>
      <c r="BK305" s="202"/>
      <c r="BL305" s="202"/>
      <c r="BM305" s="203">
        <f t="array" ref="BM305">IF($AC$50="да",[1]Адм.расходы!CE196,0)</f>
        <v>0</v>
      </c>
      <c r="BN305" s="202"/>
      <c r="BO305" s="202"/>
      <c r="BP305" s="267">
        <f t="shared" si="88"/>
        <v>0</v>
      </c>
      <c r="BQ305" s="267">
        <f t="shared" si="89"/>
        <v>0</v>
      </c>
      <c r="BR305" s="203">
        <f t="array" ref="BR305">IF($AC$50="да",[1]Адм.расходы!CF196,0)</f>
        <v>0</v>
      </c>
      <c r="BS305" s="202"/>
      <c r="BT305" s="202"/>
      <c r="BU305" s="203">
        <f t="array" ref="BU305">IF($AC$50="да",[1]Адм.расходы!CG196,0)</f>
        <v>0</v>
      </c>
      <c r="BV305" s="202"/>
      <c r="BW305" s="202"/>
      <c r="BX305" s="267">
        <f t="shared" si="90"/>
        <v>0</v>
      </c>
      <c r="BY305" s="267">
        <f t="shared" si="91"/>
        <v>0</v>
      </c>
      <c r="BZ305" s="203">
        <f t="array" ref="BZ305">IF($AC$50="да",[1]Адм.расходы!CH196,0)</f>
        <v>0</v>
      </c>
      <c r="CA305" s="202"/>
      <c r="CB305" s="202"/>
      <c r="CC305" s="203">
        <f t="array" ref="CC305">IF($AC$50="да",[1]Адм.расходы!CI196,0)</f>
        <v>0</v>
      </c>
      <c r="CD305" s="202"/>
      <c r="CE305" s="202"/>
      <c r="CF305" s="267">
        <f t="shared" si="92"/>
        <v>0</v>
      </c>
      <c r="CG305" s="267">
        <f t="shared" si="93"/>
        <v>0</v>
      </c>
      <c r="CH305" s="203">
        <f t="array" ref="CH305">IF($AC$50="да",[1]Адм.расходы!CJ196,0)</f>
        <v>0</v>
      </c>
      <c r="CI305" s="202"/>
      <c r="CJ305" s="202"/>
      <c r="CK305" s="203">
        <f t="array" ref="CK305">IF($AC$50="да",[1]Адм.расходы!CK196,0)</f>
        <v>0</v>
      </c>
      <c r="CL305" s="202"/>
      <c r="CM305" s="202"/>
      <c r="CN305" s="267">
        <f t="shared" si="94"/>
        <v>0</v>
      </c>
      <c r="CO305" s="267">
        <f t="shared" si="95"/>
        <v>0</v>
      </c>
      <c r="CP305" s="92"/>
      <c r="CQ305" s="90"/>
      <c r="CR305" s="90"/>
      <c r="CS305" s="90"/>
      <c r="CT305" s="227" t="e">
        <f t="shared" si="96"/>
        <v>#REF!</v>
      </c>
      <c r="CU305" s="227">
        <f t="array" ref="CU305">BD305</f>
        <v>0</v>
      </c>
      <c r="CV305" s="92"/>
      <c r="CW305" s="92"/>
      <c r="CX305" s="92"/>
      <c r="CY305" s="92"/>
      <c r="CZ305" s="92"/>
      <c r="DA305" s="92"/>
      <c r="DB305" s="92"/>
    </row>
    <row r="306" spans="1:107" ht="14.25" customHeight="1" outlineLevel="2" x14ac:dyDescent="0.25">
      <c r="A306" s="2" t="b">
        <f>$AC$49="да"</f>
        <v>1</v>
      </c>
      <c r="B306" s="8" t="b">
        <f t="array" ref="B306">A306</f>
        <v>1</v>
      </c>
      <c r="C306" s="2" t="s">
        <v>84</v>
      </c>
      <c r="D306" s="2" t="s">
        <v>85</v>
      </c>
      <c r="E306" s="2" t="s">
        <v>74</v>
      </c>
      <c r="F306" s="2" t="s">
        <v>75</v>
      </c>
      <c r="G306" s="2" t="s">
        <v>434</v>
      </c>
      <c r="H306" s="2" t="s">
        <v>74</v>
      </c>
      <c r="I306" s="2" t="s">
        <v>74</v>
      </c>
      <c r="J306" s="2" t="s">
        <v>74</v>
      </c>
      <c r="K306" s="5" t="s">
        <v>74</v>
      </c>
      <c r="L306" s="2" t="s">
        <v>228</v>
      </c>
      <c r="M306" s="8" t="str">
        <f t="array" ref="M306">Y107</f>
        <v>1ВО::1.1</v>
      </c>
      <c r="Y306" s="2">
        <f>COUNT($Y303:Y305)+1</f>
        <v>3</v>
      </c>
      <c r="AA306" s="107" t="str">
        <f>AA$302&amp;"."&amp;Y306</f>
        <v>3.2.3</v>
      </c>
      <c r="AB306" s="240" t="s">
        <v>435</v>
      </c>
      <c r="AC306" s="197" t="s">
        <v>114</v>
      </c>
      <c r="AD306" s="195"/>
      <c r="AE306" s="195"/>
      <c r="AF306" s="195"/>
      <c r="AG306" s="202"/>
      <c r="AH306" s="202"/>
      <c r="AI306" s="195">
        <f t="array" ref="AI306">AF306</f>
        <v>0</v>
      </c>
      <c r="AJ306" s="202"/>
      <c r="AK306" s="202"/>
      <c r="AL306" s="202"/>
      <c r="AM306" s="202"/>
      <c r="AN306" s="203">
        <f t="array" ref="AN306">IF($AC$49="да",'[1]Счет 25'!BT175,0)</f>
        <v>0</v>
      </c>
      <c r="AO306" s="195"/>
      <c r="AP306" s="202"/>
      <c r="AQ306" s="202"/>
      <c r="AR306" s="195">
        <f t="array" ref="AR306">AO306</f>
        <v>0</v>
      </c>
      <c r="AS306" s="202"/>
      <c r="AT306" s="202"/>
      <c r="AU306" s="203">
        <f t="array" ref="AU306">IF($AC$49="да",'[1]Счет 25'!BY175,0)</f>
        <v>0</v>
      </c>
      <c r="AV306" s="195"/>
      <c r="AW306" s="202"/>
      <c r="AX306" s="202"/>
      <c r="AY306" s="195">
        <f t="array" ref="AY306">AV306</f>
        <v>0</v>
      </c>
      <c r="AZ306" s="202"/>
      <c r="BA306" s="202"/>
      <c r="BB306" s="202"/>
      <c r="BC306" s="202"/>
      <c r="BD306" s="203">
        <f t="array" ref="BD306">IF($AC$49="да",'[1]Счет 25'!CC175,0)</f>
        <v>0</v>
      </c>
      <c r="BE306" s="202"/>
      <c r="BF306" s="202"/>
      <c r="BG306" s="267">
        <f t="shared" si="86"/>
        <v>0</v>
      </c>
      <c r="BH306" s="267" t="e">
        <f>BD306-#REF!</f>
        <v>#REF!</v>
      </c>
      <c r="BI306" s="267">
        <f t="shared" si="87"/>
        <v>0</v>
      </c>
      <c r="BJ306" s="203">
        <f t="array" ref="BJ306">IF($AC$49="да",'[1]Счет 25'!CD175,0)</f>
        <v>0</v>
      </c>
      <c r="BK306" s="202"/>
      <c r="BL306" s="202"/>
      <c r="BM306" s="203">
        <f t="array" ref="BM306">IF($AC$49="да",'[1]Счет 25'!CE175,0)</f>
        <v>0</v>
      </c>
      <c r="BN306" s="202"/>
      <c r="BO306" s="202"/>
      <c r="BP306" s="267">
        <f t="shared" si="88"/>
        <v>0</v>
      </c>
      <c r="BQ306" s="267">
        <f t="shared" si="89"/>
        <v>0</v>
      </c>
      <c r="BR306" s="203">
        <f t="array" ref="BR306">IF($AC$49="да",'[1]Счет 25'!CF175,0)</f>
        <v>0</v>
      </c>
      <c r="BS306" s="202"/>
      <c r="BT306" s="202"/>
      <c r="BU306" s="203">
        <f t="array" ref="BU306">IF($AC$49="да",'[1]Счет 25'!CG175,0)</f>
        <v>0</v>
      </c>
      <c r="BV306" s="202"/>
      <c r="BW306" s="202"/>
      <c r="BX306" s="267">
        <f t="shared" si="90"/>
        <v>0</v>
      </c>
      <c r="BY306" s="267">
        <f t="shared" si="91"/>
        <v>0</v>
      </c>
      <c r="BZ306" s="203">
        <f t="array" ref="BZ306">IF($AC$49="да",'[1]Счет 25'!CH175,0)</f>
        <v>0</v>
      </c>
      <c r="CA306" s="202"/>
      <c r="CB306" s="202"/>
      <c r="CC306" s="203">
        <f t="array" ref="CC306">IF($AC$49="да",'[1]Счет 25'!CI175,0)</f>
        <v>0</v>
      </c>
      <c r="CD306" s="202"/>
      <c r="CE306" s="202"/>
      <c r="CF306" s="267">
        <f t="shared" si="92"/>
        <v>0</v>
      </c>
      <c r="CG306" s="267">
        <f t="shared" si="93"/>
        <v>0</v>
      </c>
      <c r="CH306" s="203">
        <f t="array" ref="CH306">IF($AC$49="да",'[1]Счет 25'!CJ175,0)</f>
        <v>0</v>
      </c>
      <c r="CI306" s="202"/>
      <c r="CJ306" s="202"/>
      <c r="CK306" s="203">
        <f t="array" ref="CK306">IF($AC$49="да",'[1]Счет 25'!CK175,0)</f>
        <v>0</v>
      </c>
      <c r="CL306" s="202"/>
      <c r="CM306" s="202"/>
      <c r="CN306" s="267">
        <f t="shared" si="94"/>
        <v>0</v>
      </c>
      <c r="CO306" s="267">
        <f t="shared" si="95"/>
        <v>0</v>
      </c>
      <c r="CP306" s="92"/>
      <c r="CQ306" s="90"/>
      <c r="CR306" s="90"/>
      <c r="CS306" s="90"/>
      <c r="CT306" s="227" t="e">
        <f t="shared" si="96"/>
        <v>#REF!</v>
      </c>
      <c r="CU306" s="227">
        <f t="array" ref="CU306">BD306</f>
        <v>0</v>
      </c>
      <c r="CV306" s="92"/>
      <c r="CW306" s="92"/>
      <c r="CX306" s="92"/>
      <c r="CY306" s="92"/>
      <c r="CZ306" s="92"/>
      <c r="DA306" s="92"/>
      <c r="DB306" s="92"/>
    </row>
    <row r="307" spans="1:107" ht="14.25" customHeight="1" outlineLevel="2" x14ac:dyDescent="0.25">
      <c r="A307" s="2" t="b">
        <f>$AC$48="да"</f>
        <v>1</v>
      </c>
      <c r="B307" s="8" t="b">
        <f t="array" ref="B307">A307</f>
        <v>1</v>
      </c>
      <c r="C307" s="2" t="s">
        <v>84</v>
      </c>
      <c r="D307" s="2" t="s">
        <v>85</v>
      </c>
      <c r="E307" s="2" t="s">
        <v>74</v>
      </c>
      <c r="F307" s="2" t="s">
        <v>75</v>
      </c>
      <c r="G307" s="2" t="s">
        <v>436</v>
      </c>
      <c r="H307" s="2" t="s">
        <v>74</v>
      </c>
      <c r="I307" s="2" t="s">
        <v>74</v>
      </c>
      <c r="J307" s="2" t="s">
        <v>74</v>
      </c>
      <c r="K307" s="5" t="s">
        <v>74</v>
      </c>
      <c r="L307" s="2" t="s">
        <v>360</v>
      </c>
      <c r="M307" s="8" t="str">
        <f t="array" ref="M307">Y107</f>
        <v>1ВО::1.1</v>
      </c>
      <c r="Y307" s="2">
        <f>COUNT($Y303:Y306)+1</f>
        <v>4</v>
      </c>
      <c r="AA307" s="107" t="str">
        <f>AA$302&amp;"."&amp;Y307</f>
        <v>3.2.4</v>
      </c>
      <c r="AB307" s="240" t="s">
        <v>427</v>
      </c>
      <c r="AC307" s="197" t="s">
        <v>114</v>
      </c>
      <c r="AD307" s="195"/>
      <c r="AE307" s="195"/>
      <c r="AF307" s="195"/>
      <c r="AG307" s="202"/>
      <c r="AH307" s="202"/>
      <c r="AI307" s="195">
        <f t="array" ref="AI307">AF307</f>
        <v>0</v>
      </c>
      <c r="AJ307" s="202"/>
      <c r="AK307" s="202"/>
      <c r="AL307" s="202"/>
      <c r="AM307" s="202"/>
      <c r="AN307" s="203">
        <f t="array" ref="AN307">IF($AC$48="да",'[1]Счет 23'!BT248,0)</f>
        <v>0</v>
      </c>
      <c r="AO307" s="195"/>
      <c r="AP307" s="202"/>
      <c r="AQ307" s="202"/>
      <c r="AR307" s="195">
        <f t="array" ref="AR307">AO307</f>
        <v>0</v>
      </c>
      <c r="AS307" s="202"/>
      <c r="AT307" s="202"/>
      <c r="AU307" s="203">
        <f t="array" ref="AU307">IF($AC$48="да",'[1]Счет 23'!BY248,0)</f>
        <v>0</v>
      </c>
      <c r="AV307" s="195"/>
      <c r="AW307" s="202"/>
      <c r="AX307" s="202"/>
      <c r="AY307" s="195">
        <f t="array" ref="AY307">AV307</f>
        <v>0</v>
      </c>
      <c r="AZ307" s="202"/>
      <c r="BA307" s="202"/>
      <c r="BB307" s="202"/>
      <c r="BC307" s="202"/>
      <c r="BD307" s="203">
        <f t="array" ref="BD307">IF($AC$48="да",'[1]Счет 23'!CC248,0)</f>
        <v>0</v>
      </c>
      <c r="BE307" s="202"/>
      <c r="BF307" s="202"/>
      <c r="BG307" s="267">
        <f t="shared" si="86"/>
        <v>0</v>
      </c>
      <c r="BH307" s="267" t="e">
        <f>BD307-#REF!</f>
        <v>#REF!</v>
      </c>
      <c r="BI307" s="267">
        <f t="shared" si="87"/>
        <v>0</v>
      </c>
      <c r="BJ307" s="203">
        <f t="array" ref="BJ307">IF($AC$48="да",'[1]Счет 23'!CD248,0)</f>
        <v>0</v>
      </c>
      <c r="BK307" s="202"/>
      <c r="BL307" s="202"/>
      <c r="BM307" s="203">
        <f t="array" ref="BM307">IF($AC$48="да",'[1]Счет 23'!CE248,0)</f>
        <v>0</v>
      </c>
      <c r="BN307" s="202"/>
      <c r="BO307" s="202"/>
      <c r="BP307" s="267">
        <f t="shared" si="88"/>
        <v>0</v>
      </c>
      <c r="BQ307" s="267">
        <f t="shared" si="89"/>
        <v>0</v>
      </c>
      <c r="BR307" s="203">
        <f t="array" ref="BR307">IF($AC$48="да",'[1]Счет 23'!CF248,0)</f>
        <v>0</v>
      </c>
      <c r="BS307" s="202"/>
      <c r="BT307" s="202"/>
      <c r="BU307" s="203">
        <f t="array" ref="BU307">IF($AC$48="да",'[1]Счет 23'!CG248,0)</f>
        <v>0</v>
      </c>
      <c r="BV307" s="202"/>
      <c r="BW307" s="202"/>
      <c r="BX307" s="267">
        <f t="shared" si="90"/>
        <v>0</v>
      </c>
      <c r="BY307" s="267">
        <f t="shared" si="91"/>
        <v>0</v>
      </c>
      <c r="BZ307" s="203">
        <f t="array" ref="BZ307">IF($AC$48="да",'[1]Счет 23'!CH248,0)</f>
        <v>0</v>
      </c>
      <c r="CA307" s="202"/>
      <c r="CB307" s="202"/>
      <c r="CC307" s="203">
        <f t="array" ref="CC307">IF($AC$48="да",'[1]Счет 23'!CI248,0)</f>
        <v>0</v>
      </c>
      <c r="CD307" s="202"/>
      <c r="CE307" s="202"/>
      <c r="CF307" s="267">
        <f t="shared" si="92"/>
        <v>0</v>
      </c>
      <c r="CG307" s="267">
        <f t="shared" si="93"/>
        <v>0</v>
      </c>
      <c r="CH307" s="203">
        <f t="array" ref="CH307">IF($AC$48="да",'[1]Счет 23'!CJ248,0)</f>
        <v>0</v>
      </c>
      <c r="CI307" s="202"/>
      <c r="CJ307" s="202"/>
      <c r="CK307" s="203">
        <f t="array" ref="CK307">IF($AC$48="да",'[1]Счет 23'!CK248,0)</f>
        <v>0</v>
      </c>
      <c r="CL307" s="202"/>
      <c r="CM307" s="202"/>
      <c r="CN307" s="267">
        <f t="shared" si="94"/>
        <v>0</v>
      </c>
      <c r="CO307" s="267">
        <f t="shared" si="95"/>
        <v>0</v>
      </c>
      <c r="CP307" s="92"/>
      <c r="CQ307" s="90"/>
      <c r="CR307" s="90"/>
      <c r="CS307" s="90"/>
      <c r="CT307" s="227" t="e">
        <f t="shared" si="96"/>
        <v>#REF!</v>
      </c>
      <c r="CU307" s="227">
        <f t="array" ref="CU307">BD307</f>
        <v>0</v>
      </c>
      <c r="CV307" s="92"/>
      <c r="CW307" s="92"/>
      <c r="CX307" s="92"/>
      <c r="CY307" s="92"/>
      <c r="CZ307" s="92"/>
      <c r="DA307" s="92"/>
      <c r="DB307" s="92"/>
    </row>
    <row r="308" spans="1:107" ht="14.25" hidden="1" customHeight="1" outlineLevel="2" x14ac:dyDescent="0.25">
      <c r="A308" s="2" t="b">
        <f>$AC$47="да"</f>
        <v>0</v>
      </c>
      <c r="B308" s="8" t="b">
        <f t="array" ref="B308">A308</f>
        <v>0</v>
      </c>
      <c r="C308" s="2" t="s">
        <v>84</v>
      </c>
      <c r="D308" s="2" t="s">
        <v>85</v>
      </c>
      <c r="E308" s="2" t="s">
        <v>74</v>
      </c>
      <c r="F308" s="2" t="s">
        <v>75</v>
      </c>
      <c r="G308" s="2" t="s">
        <v>437</v>
      </c>
      <c r="H308" s="2" t="s">
        <v>74</v>
      </c>
      <c r="I308" s="2" t="s">
        <v>74</v>
      </c>
      <c r="J308" s="2" t="s">
        <v>74</v>
      </c>
      <c r="K308" s="5" t="s">
        <v>74</v>
      </c>
      <c r="L308" s="2" t="s">
        <v>438</v>
      </c>
      <c r="M308" s="8" t="str">
        <f t="array" ref="M308">Y107</f>
        <v>1ВО::1.1</v>
      </c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2">
        <f>COUNT($Y303:Y307)+1</f>
        <v>5</v>
      </c>
      <c r="Z308" s="15"/>
      <c r="AA308" s="167"/>
      <c r="AB308" s="240"/>
      <c r="AC308" s="211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12"/>
      <c r="AO308" s="202"/>
      <c r="AP308" s="202"/>
      <c r="AQ308" s="202"/>
      <c r="AR308" s="202"/>
      <c r="AS308" s="202"/>
      <c r="AT308" s="202"/>
      <c r="AU308" s="212"/>
      <c r="AV308" s="202"/>
      <c r="AW308" s="202"/>
      <c r="AX308" s="202"/>
      <c r="AY308" s="202"/>
      <c r="AZ308" s="202"/>
      <c r="BA308" s="202"/>
      <c r="BB308" s="202"/>
      <c r="BC308" s="202"/>
      <c r="BD308" s="212"/>
      <c r="BE308" s="202"/>
      <c r="BF308" s="202"/>
      <c r="BG308" s="275"/>
      <c r="BH308" s="275"/>
      <c r="BI308" s="275"/>
      <c r="BJ308" s="212"/>
      <c r="BK308" s="202"/>
      <c r="BL308" s="202"/>
      <c r="BM308" s="212"/>
      <c r="BN308" s="202"/>
      <c r="BO308" s="202"/>
      <c r="BP308" s="275"/>
      <c r="BQ308" s="275"/>
      <c r="BR308" s="212"/>
      <c r="BS308" s="202"/>
      <c r="BT308" s="202"/>
      <c r="BU308" s="212"/>
      <c r="BV308" s="202"/>
      <c r="BW308" s="202"/>
      <c r="BX308" s="275"/>
      <c r="BY308" s="275"/>
      <c r="BZ308" s="212"/>
      <c r="CA308" s="202"/>
      <c r="CB308" s="202"/>
      <c r="CC308" s="212"/>
      <c r="CD308" s="202"/>
      <c r="CE308" s="202"/>
      <c r="CF308" s="275"/>
      <c r="CG308" s="275"/>
      <c r="CH308" s="212"/>
      <c r="CI308" s="202"/>
      <c r="CJ308" s="202"/>
      <c r="CK308" s="212"/>
      <c r="CL308" s="202"/>
      <c r="CM308" s="202"/>
      <c r="CN308" s="275"/>
      <c r="CO308" s="275"/>
      <c r="CP308" s="68"/>
      <c r="CQ308" s="62"/>
      <c r="CR308" s="62"/>
      <c r="CS308" s="62"/>
      <c r="CT308" s="170"/>
      <c r="CU308" s="170"/>
      <c r="CV308" s="68"/>
      <c r="CW308" s="68"/>
      <c r="CX308" s="68"/>
      <c r="CY308" s="68"/>
      <c r="CZ308" s="68"/>
      <c r="DA308" s="68"/>
      <c r="DB308" s="68"/>
      <c r="DC308" s="15"/>
    </row>
    <row r="309" spans="1:107" ht="14.25" customHeight="1" outlineLevel="1" x14ac:dyDescent="0.25">
      <c r="C309" s="2" t="s">
        <v>84</v>
      </c>
      <c r="D309" s="2" t="s">
        <v>85</v>
      </c>
      <c r="E309" s="2" t="s">
        <v>74</v>
      </c>
      <c r="F309" s="2" t="s">
        <v>75</v>
      </c>
      <c r="G309" s="2" t="s">
        <v>439</v>
      </c>
      <c r="H309" s="2" t="s">
        <v>74</v>
      </c>
      <c r="I309" s="2" t="s">
        <v>74</v>
      </c>
      <c r="J309" s="2" t="s">
        <v>74</v>
      </c>
      <c r="K309" s="5" t="s">
        <v>74</v>
      </c>
      <c r="L309" s="2" t="s">
        <v>136</v>
      </c>
      <c r="M309" s="8" t="str">
        <f t="array" ref="M309">Y107</f>
        <v>1ВО::1.1</v>
      </c>
      <c r="AA309" s="191" t="str">
        <f>AA156&amp;".3"</f>
        <v>3.3</v>
      </c>
      <c r="AB309" s="190" t="s">
        <v>439</v>
      </c>
      <c r="AC309" s="191" t="s">
        <v>114</v>
      </c>
      <c r="AD309" s="173">
        <v>1896.2</v>
      </c>
      <c r="AE309" s="173">
        <v>2074.0661110014998</v>
      </c>
      <c r="AF309" s="173">
        <v>5342.5667312400001</v>
      </c>
      <c r="AG309" s="174"/>
      <c r="AH309" s="174"/>
      <c r="AI309" s="173">
        <f>AI310+AI313+AI314+AI315</f>
        <v>5342.5667312400001</v>
      </c>
      <c r="AJ309" s="174"/>
      <c r="AK309" s="174"/>
      <c r="AL309" s="174"/>
      <c r="AM309" s="174"/>
      <c r="AN309" s="173" t="e">
        <f>AN310+AN313+AN314+AN315</f>
        <v>#REF!</v>
      </c>
      <c r="AO309" s="173">
        <v>6784.91</v>
      </c>
      <c r="AP309" s="174"/>
      <c r="AQ309" s="174"/>
      <c r="AR309" s="173">
        <f>AR310+AR313+AR314+AR315</f>
        <v>6784.91</v>
      </c>
      <c r="AS309" s="174"/>
      <c r="AT309" s="174"/>
      <c r="AU309" s="173" t="e">
        <f>AU310+AU313+AU314+AU315</f>
        <v>#REF!</v>
      </c>
      <c r="AV309" s="173">
        <v>7056.29</v>
      </c>
      <c r="AW309" s="174"/>
      <c r="AX309" s="174"/>
      <c r="AY309" s="173">
        <f>AY310+AY313+AY314+AY315</f>
        <v>7056.29</v>
      </c>
      <c r="AZ309" s="174"/>
      <c r="BA309" s="174"/>
      <c r="BB309" s="174"/>
      <c r="BC309" s="174"/>
      <c r="BD309" s="173">
        <f>BD310+BD313+BD314+BD315</f>
        <v>0</v>
      </c>
      <c r="BE309" s="174"/>
      <c r="BF309" s="174"/>
      <c r="BG309" s="267">
        <f t="shared" ref="BG309:BG314" si="97">IF(AR309=0,0,BD309/AR309)*100</f>
        <v>0</v>
      </c>
      <c r="BH309" s="267" t="e">
        <f>BD309-#REF!</f>
        <v>#REF!</v>
      </c>
      <c r="BI309" s="267">
        <f t="shared" ref="BI309:BI314" si="98">BD309-AY309</f>
        <v>-7056.29</v>
      </c>
      <c r="BJ309" s="173">
        <f>BJ310+BJ313+BJ314+BJ315</f>
        <v>0</v>
      </c>
      <c r="BK309" s="174"/>
      <c r="BL309" s="174"/>
      <c r="BM309" s="173">
        <f>BM310+BM313+BM314+BM315</f>
        <v>0</v>
      </c>
      <c r="BN309" s="174"/>
      <c r="BO309" s="174"/>
      <c r="BP309" s="267">
        <f t="shared" ref="BP309:BP314" si="99">IF(BD309=0,0,BM309/BD309)*100</f>
        <v>0</v>
      </c>
      <c r="BQ309" s="267">
        <f t="shared" ref="BQ309:BQ314" si="100">BM309-BJ309</f>
        <v>0</v>
      </c>
      <c r="BR309" s="173">
        <f>BR310+BR313+BR314+BR315</f>
        <v>0</v>
      </c>
      <c r="BS309" s="174"/>
      <c r="BT309" s="174"/>
      <c r="BU309" s="173">
        <f>BU310+BU313+BU314+BU315</f>
        <v>0</v>
      </c>
      <c r="BV309" s="174"/>
      <c r="BW309" s="174"/>
      <c r="BX309" s="267">
        <f t="shared" ref="BX309:BX314" si="101">IF(BM309=0,0,BU309/BM309)*100</f>
        <v>0</v>
      </c>
      <c r="BY309" s="267">
        <f t="shared" ref="BY309:BY314" si="102">BU309-BR309</f>
        <v>0</v>
      </c>
      <c r="BZ309" s="173">
        <f>BZ310+BZ313+BZ314+BZ315</f>
        <v>0</v>
      </c>
      <c r="CA309" s="174"/>
      <c r="CB309" s="174"/>
      <c r="CC309" s="173">
        <f>CC310+CC313+CC314+CC315</f>
        <v>0</v>
      </c>
      <c r="CD309" s="174"/>
      <c r="CE309" s="174"/>
      <c r="CF309" s="267">
        <f t="shared" ref="CF309:CF314" si="103">IF(BU309=0,0,CC309/BU309)*100</f>
        <v>0</v>
      </c>
      <c r="CG309" s="267">
        <f t="shared" ref="CG309:CG314" si="104">CC309-BZ309</f>
        <v>0</v>
      </c>
      <c r="CH309" s="173">
        <f>CH310+CH313+CH314+CH315</f>
        <v>0</v>
      </c>
      <c r="CI309" s="174"/>
      <c r="CJ309" s="174"/>
      <c r="CK309" s="173">
        <f>CK310+CK313+CK314+CK315</f>
        <v>0</v>
      </c>
      <c r="CL309" s="174"/>
      <c r="CM309" s="174"/>
      <c r="CN309" s="267">
        <f t="shared" ref="CN309:CN314" si="105">IF(CC309=0,0,CK309/CC309)*100</f>
        <v>0</v>
      </c>
      <c r="CO309" s="267">
        <f t="shared" ref="CO309:CO314" si="106">CK309-CH309</f>
        <v>0</v>
      </c>
      <c r="CP309" s="92"/>
      <c r="CQ309" s="85"/>
      <c r="CR309" s="85"/>
      <c r="CS309" s="85"/>
      <c r="CT309" s="99" t="e">
        <f t="shared" ref="CT309:CT314" si="107">SUM(AD309:CO309)</f>
        <v>#REF!</v>
      </c>
      <c r="CU309" s="100">
        <f>CU310+CU313+CU314+CU315</f>
        <v>0</v>
      </c>
      <c r="CV309" s="101"/>
      <c r="CW309" s="101"/>
      <c r="CX309" s="101"/>
      <c r="CY309" s="101"/>
      <c r="CZ309" s="101"/>
      <c r="DA309" s="101"/>
      <c r="DB309" s="101"/>
    </row>
    <row r="310" spans="1:107" ht="42" customHeight="1" outlineLevel="3" x14ac:dyDescent="0.25">
      <c r="C310" s="2" t="s">
        <v>84</v>
      </c>
      <c r="D310" s="2" t="s">
        <v>85</v>
      </c>
      <c r="E310" s="2" t="s">
        <v>74</v>
      </c>
      <c r="F310" s="2" t="s">
        <v>75</v>
      </c>
      <c r="G310" s="2" t="s">
        <v>440</v>
      </c>
      <c r="H310" s="2" t="s">
        <v>74</v>
      </c>
      <c r="I310" s="2" t="s">
        <v>74</v>
      </c>
      <c r="J310" s="2" t="s">
        <v>74</v>
      </c>
      <c r="K310" s="5" t="s">
        <v>74</v>
      </c>
      <c r="L310" s="2" t="s">
        <v>136</v>
      </c>
      <c r="M310" s="8" t="str">
        <f t="array" ref="M310">Y107</f>
        <v>1ВО::1.1</v>
      </c>
      <c r="AA310" s="107" t="str">
        <f>AA309&amp;".1"</f>
        <v>3.3.1</v>
      </c>
      <c r="AB310" s="240" t="s">
        <v>440</v>
      </c>
      <c r="AC310" s="197" t="s">
        <v>114</v>
      </c>
      <c r="AD310" s="173">
        <v>0</v>
      </c>
      <c r="AE310" s="173">
        <v>0</v>
      </c>
      <c r="AF310" s="173">
        <v>0</v>
      </c>
      <c r="AG310" s="174"/>
      <c r="AH310" s="174"/>
      <c r="AI310" s="173">
        <f>AI311+AI312</f>
        <v>0</v>
      </c>
      <c r="AJ310" s="174"/>
      <c r="AK310" s="174"/>
      <c r="AL310" s="174"/>
      <c r="AM310" s="174"/>
      <c r="AN310" s="173" t="e">
        <f>AN311+AN312</f>
        <v>#REF!</v>
      </c>
      <c r="AO310" s="173">
        <v>0</v>
      </c>
      <c r="AP310" s="174"/>
      <c r="AQ310" s="174"/>
      <c r="AR310" s="173">
        <f>AR311+AR312</f>
        <v>0</v>
      </c>
      <c r="AS310" s="174"/>
      <c r="AT310" s="174"/>
      <c r="AU310" s="173" t="e">
        <f>AU311+AU312</f>
        <v>#REF!</v>
      </c>
      <c r="AV310" s="173">
        <v>0</v>
      </c>
      <c r="AW310" s="174"/>
      <c r="AX310" s="174"/>
      <c r="AY310" s="173">
        <f>AY311+AY312</f>
        <v>0</v>
      </c>
      <c r="AZ310" s="174"/>
      <c r="BA310" s="174"/>
      <c r="BB310" s="174"/>
      <c r="BC310" s="174"/>
      <c r="BD310" s="173">
        <f>BD311+BD312</f>
        <v>0</v>
      </c>
      <c r="BE310" s="174"/>
      <c r="BF310" s="174"/>
      <c r="BG310" s="267">
        <f t="shared" si="97"/>
        <v>0</v>
      </c>
      <c r="BH310" s="267" t="e">
        <f>BD310-#REF!</f>
        <v>#REF!</v>
      </c>
      <c r="BI310" s="267">
        <f t="shared" si="98"/>
        <v>0</v>
      </c>
      <c r="BJ310" s="173">
        <f>BJ311+BJ312</f>
        <v>0</v>
      </c>
      <c r="BK310" s="174"/>
      <c r="BL310" s="174"/>
      <c r="BM310" s="173">
        <f>BM311+BM312</f>
        <v>0</v>
      </c>
      <c r="BN310" s="174"/>
      <c r="BO310" s="174"/>
      <c r="BP310" s="267">
        <f t="shared" si="99"/>
        <v>0</v>
      </c>
      <c r="BQ310" s="267">
        <f t="shared" si="100"/>
        <v>0</v>
      </c>
      <c r="BR310" s="173">
        <f>BR311+BR312</f>
        <v>0</v>
      </c>
      <c r="BS310" s="174"/>
      <c r="BT310" s="174"/>
      <c r="BU310" s="173">
        <f>BU311+BU312</f>
        <v>0</v>
      </c>
      <c r="BV310" s="174"/>
      <c r="BW310" s="174"/>
      <c r="BX310" s="267">
        <f t="shared" si="101"/>
        <v>0</v>
      </c>
      <c r="BY310" s="267">
        <f t="shared" si="102"/>
        <v>0</v>
      </c>
      <c r="BZ310" s="173">
        <f>BZ311+BZ312</f>
        <v>0</v>
      </c>
      <c r="CA310" s="174"/>
      <c r="CB310" s="174"/>
      <c r="CC310" s="173">
        <f>CC311+CC312</f>
        <v>0</v>
      </c>
      <c r="CD310" s="174"/>
      <c r="CE310" s="174"/>
      <c r="CF310" s="267">
        <f t="shared" si="103"/>
        <v>0</v>
      </c>
      <c r="CG310" s="267">
        <f t="shared" si="104"/>
        <v>0</v>
      </c>
      <c r="CH310" s="173">
        <f>CH311+CH312</f>
        <v>0</v>
      </c>
      <c r="CI310" s="174"/>
      <c r="CJ310" s="174"/>
      <c r="CK310" s="173">
        <f>CK311+CK312</f>
        <v>0</v>
      </c>
      <c r="CL310" s="174"/>
      <c r="CM310" s="174"/>
      <c r="CN310" s="267">
        <f t="shared" si="105"/>
        <v>0</v>
      </c>
      <c r="CO310" s="267">
        <f t="shared" si="106"/>
        <v>0</v>
      </c>
      <c r="CP310" s="92"/>
      <c r="CQ310" s="85"/>
      <c r="CR310" s="85"/>
      <c r="CS310" s="85"/>
      <c r="CT310" s="99" t="e">
        <f t="shared" si="107"/>
        <v>#REF!</v>
      </c>
      <c r="CU310" s="100">
        <f>CU311+CU312</f>
        <v>0</v>
      </c>
      <c r="CV310" s="101"/>
      <c r="CW310" s="101"/>
      <c r="CX310" s="101"/>
      <c r="CY310" s="101"/>
      <c r="CZ310" s="101"/>
      <c r="DA310" s="101"/>
      <c r="DB310" s="101"/>
    </row>
    <row r="311" spans="1:107" ht="14.25" customHeight="1" outlineLevel="4" x14ac:dyDescent="0.25">
      <c r="C311" s="2" t="s">
        <v>84</v>
      </c>
      <c r="D311" s="2" t="s">
        <v>85</v>
      </c>
      <c r="E311" s="2" t="s">
        <v>74</v>
      </c>
      <c r="F311" s="2" t="s">
        <v>75</v>
      </c>
      <c r="G311" s="2" t="s">
        <v>441</v>
      </c>
      <c r="H311" s="2" t="s">
        <v>74</v>
      </c>
      <c r="I311" s="2" t="s">
        <v>74</v>
      </c>
      <c r="J311" s="2" t="s">
        <v>74</v>
      </c>
      <c r="K311" s="5" t="s">
        <v>74</v>
      </c>
      <c r="L311" s="2" t="s">
        <v>136</v>
      </c>
      <c r="M311" s="8" t="str">
        <f t="array" ref="M311">Y107</f>
        <v>1ВО::1.1</v>
      </c>
      <c r="AA311" s="107" t="str">
        <f>AA310&amp;".1"</f>
        <v>3.3.1.1</v>
      </c>
      <c r="AB311" s="243" t="s">
        <v>442</v>
      </c>
      <c r="AC311" s="197" t="s">
        <v>114</v>
      </c>
      <c r="AD311" s="136"/>
      <c r="AE311" s="136"/>
      <c r="AF311" s="195"/>
      <c r="AG311" s="202"/>
      <c r="AH311" s="202"/>
      <c r="AI311" s="136">
        <f t="array" ref="AI311">AF311</f>
        <v>0</v>
      </c>
      <c r="AJ311" s="202"/>
      <c r="AK311" s="202"/>
      <c r="AL311" s="202"/>
      <c r="AM311" s="202"/>
      <c r="AN311" s="136" t="e">
        <f t="array" ref="AN311">#REF!</f>
        <v>#REF!</v>
      </c>
      <c r="AO311" s="195"/>
      <c r="AP311" s="202"/>
      <c r="AQ311" s="202"/>
      <c r="AR311" s="136">
        <f t="array" ref="AR311">AO311</f>
        <v>0</v>
      </c>
      <c r="AS311" s="202"/>
      <c r="AT311" s="202"/>
      <c r="AU311" s="136" t="e">
        <f t="array" ref="AU311">#REF!</f>
        <v>#REF!</v>
      </c>
      <c r="AV311" s="195"/>
      <c r="AW311" s="202"/>
      <c r="AX311" s="202"/>
      <c r="AY311" s="136">
        <f t="array" ref="AY311">AV311</f>
        <v>0</v>
      </c>
      <c r="AZ311" s="202"/>
      <c r="BA311" s="202"/>
      <c r="BB311" s="202"/>
      <c r="BC311" s="202"/>
      <c r="BD311" s="136"/>
      <c r="BE311" s="202"/>
      <c r="BF311" s="202"/>
      <c r="BG311" s="267">
        <f t="shared" si="97"/>
        <v>0</v>
      </c>
      <c r="BH311" s="267" t="e">
        <f>BD311-#REF!</f>
        <v>#REF!</v>
      </c>
      <c r="BI311" s="267">
        <f t="shared" si="98"/>
        <v>0</v>
      </c>
      <c r="BJ311" s="136"/>
      <c r="BK311" s="202"/>
      <c r="BL311" s="202"/>
      <c r="BM311" s="136"/>
      <c r="BN311" s="202"/>
      <c r="BO311" s="202"/>
      <c r="BP311" s="267">
        <f t="shared" si="99"/>
        <v>0</v>
      </c>
      <c r="BQ311" s="267">
        <f t="shared" si="100"/>
        <v>0</v>
      </c>
      <c r="BR311" s="136"/>
      <c r="BS311" s="202"/>
      <c r="BT311" s="202"/>
      <c r="BU311" s="136"/>
      <c r="BV311" s="202"/>
      <c r="BW311" s="202"/>
      <c r="BX311" s="267">
        <f t="shared" si="101"/>
        <v>0</v>
      </c>
      <c r="BY311" s="267">
        <f t="shared" si="102"/>
        <v>0</v>
      </c>
      <c r="BZ311" s="136"/>
      <c r="CA311" s="202"/>
      <c r="CB311" s="202"/>
      <c r="CC311" s="136"/>
      <c r="CD311" s="202"/>
      <c r="CE311" s="202"/>
      <c r="CF311" s="267">
        <f t="shared" si="103"/>
        <v>0</v>
      </c>
      <c r="CG311" s="267">
        <f t="shared" si="104"/>
        <v>0</v>
      </c>
      <c r="CH311" s="136"/>
      <c r="CI311" s="202"/>
      <c r="CJ311" s="202"/>
      <c r="CK311" s="136"/>
      <c r="CL311" s="202"/>
      <c r="CM311" s="202"/>
      <c r="CN311" s="267">
        <f t="shared" si="105"/>
        <v>0</v>
      </c>
      <c r="CO311" s="267">
        <f t="shared" si="106"/>
        <v>0</v>
      </c>
      <c r="CP311" s="92"/>
      <c r="CQ311" s="85"/>
      <c r="CR311" s="85"/>
      <c r="CS311" s="85"/>
      <c r="CT311" s="99" t="e">
        <f t="shared" si="107"/>
        <v>#REF!</v>
      </c>
      <c r="CU311" s="99">
        <f t="array" ref="CU311">BD311</f>
        <v>0</v>
      </c>
      <c r="CV311" s="101"/>
      <c r="CW311" s="101"/>
      <c r="CX311" s="101"/>
      <c r="CY311" s="101"/>
      <c r="CZ311" s="101"/>
      <c r="DA311" s="101"/>
      <c r="DB311" s="101"/>
    </row>
    <row r="312" spans="1:107" ht="14.25" customHeight="1" outlineLevel="4" x14ac:dyDescent="0.25">
      <c r="C312" s="2" t="s">
        <v>84</v>
      </c>
      <c r="D312" s="2" t="s">
        <v>85</v>
      </c>
      <c r="E312" s="2" t="s">
        <v>74</v>
      </c>
      <c r="F312" s="2" t="s">
        <v>75</v>
      </c>
      <c r="G312" s="2" t="s">
        <v>443</v>
      </c>
      <c r="H312" s="2" t="s">
        <v>74</v>
      </c>
      <c r="I312" s="2" t="s">
        <v>74</v>
      </c>
      <c r="J312" s="2" t="s">
        <v>74</v>
      </c>
      <c r="K312" s="5" t="s">
        <v>74</v>
      </c>
      <c r="L312" s="2" t="s">
        <v>136</v>
      </c>
      <c r="M312" s="8" t="str">
        <f t="array" ref="M312">Y107</f>
        <v>1ВО::1.1</v>
      </c>
      <c r="AA312" s="107" t="str">
        <f>AA310&amp;".2"</f>
        <v>3.3.1.2</v>
      </c>
      <c r="AB312" s="243" t="s">
        <v>444</v>
      </c>
      <c r="AC312" s="197" t="s">
        <v>114</v>
      </c>
      <c r="AD312" s="136"/>
      <c r="AE312" s="136"/>
      <c r="AF312" s="195"/>
      <c r="AG312" s="202"/>
      <c r="AH312" s="202"/>
      <c r="AI312" s="136">
        <f t="array" ref="AI312">AF312</f>
        <v>0</v>
      </c>
      <c r="AJ312" s="202"/>
      <c r="AK312" s="202"/>
      <c r="AL312" s="202"/>
      <c r="AM312" s="202"/>
      <c r="AN312" s="136" t="e">
        <f t="array" ref="AN312">#REF!</f>
        <v>#REF!</v>
      </c>
      <c r="AO312" s="195"/>
      <c r="AP312" s="202"/>
      <c r="AQ312" s="202"/>
      <c r="AR312" s="136">
        <f t="array" ref="AR312">AO312</f>
        <v>0</v>
      </c>
      <c r="AS312" s="202"/>
      <c r="AT312" s="202"/>
      <c r="AU312" s="136" t="e">
        <f t="array" ref="AU312">#REF!</f>
        <v>#REF!</v>
      </c>
      <c r="AV312" s="195"/>
      <c r="AW312" s="202"/>
      <c r="AX312" s="202"/>
      <c r="AY312" s="136">
        <f t="array" ref="AY312">AV312</f>
        <v>0</v>
      </c>
      <c r="AZ312" s="202"/>
      <c r="BA312" s="202"/>
      <c r="BB312" s="202"/>
      <c r="BC312" s="202"/>
      <c r="BD312" s="136"/>
      <c r="BE312" s="202"/>
      <c r="BF312" s="202"/>
      <c r="BG312" s="267">
        <f t="shared" si="97"/>
        <v>0</v>
      </c>
      <c r="BH312" s="267" t="e">
        <f>BD312-#REF!</f>
        <v>#REF!</v>
      </c>
      <c r="BI312" s="267">
        <f t="shared" si="98"/>
        <v>0</v>
      </c>
      <c r="BJ312" s="136"/>
      <c r="BK312" s="202"/>
      <c r="BL312" s="202"/>
      <c r="BM312" s="136"/>
      <c r="BN312" s="202"/>
      <c r="BO312" s="202"/>
      <c r="BP312" s="267">
        <f t="shared" si="99"/>
        <v>0</v>
      </c>
      <c r="BQ312" s="267">
        <f t="shared" si="100"/>
        <v>0</v>
      </c>
      <c r="BR312" s="136"/>
      <c r="BS312" s="202"/>
      <c r="BT312" s="202"/>
      <c r="BU312" s="136"/>
      <c r="BV312" s="202"/>
      <c r="BW312" s="202"/>
      <c r="BX312" s="267">
        <f t="shared" si="101"/>
        <v>0</v>
      </c>
      <c r="BY312" s="267">
        <f t="shared" si="102"/>
        <v>0</v>
      </c>
      <c r="BZ312" s="136"/>
      <c r="CA312" s="202"/>
      <c r="CB312" s="202"/>
      <c r="CC312" s="136"/>
      <c r="CD312" s="202"/>
      <c r="CE312" s="202"/>
      <c r="CF312" s="267">
        <f t="shared" si="103"/>
        <v>0</v>
      </c>
      <c r="CG312" s="267">
        <f t="shared" si="104"/>
        <v>0</v>
      </c>
      <c r="CH312" s="136"/>
      <c r="CI312" s="202"/>
      <c r="CJ312" s="202"/>
      <c r="CK312" s="136"/>
      <c r="CL312" s="202"/>
      <c r="CM312" s="202"/>
      <c r="CN312" s="267">
        <f t="shared" si="105"/>
        <v>0</v>
      </c>
      <c r="CO312" s="267">
        <f t="shared" si="106"/>
        <v>0</v>
      </c>
      <c r="CP312" s="92"/>
      <c r="CQ312" s="85"/>
      <c r="CR312" s="85"/>
      <c r="CS312" s="85"/>
      <c r="CT312" s="99" t="e">
        <f t="shared" si="107"/>
        <v>#REF!</v>
      </c>
      <c r="CU312" s="99">
        <f t="array" ref="CU312">BD312</f>
        <v>0</v>
      </c>
      <c r="CV312" s="101"/>
      <c r="CW312" s="101"/>
      <c r="CX312" s="101"/>
      <c r="CY312" s="101"/>
      <c r="CZ312" s="101"/>
      <c r="DA312" s="101"/>
      <c r="DB312" s="101"/>
    </row>
    <row r="313" spans="1:107" ht="14.25" customHeight="1" outlineLevel="3" x14ac:dyDescent="0.25">
      <c r="C313" s="2" t="s">
        <v>84</v>
      </c>
      <c r="D313" s="2" t="s">
        <v>85</v>
      </c>
      <c r="E313" s="2" t="s">
        <v>74</v>
      </c>
      <c r="F313" s="2" t="s">
        <v>75</v>
      </c>
      <c r="G313" s="2" t="s">
        <v>445</v>
      </c>
      <c r="H313" s="2" t="s">
        <v>74</v>
      </c>
      <c r="I313" s="2" t="s">
        <v>74</v>
      </c>
      <c r="J313" s="2" t="s">
        <v>74</v>
      </c>
      <c r="K313" s="5" t="s">
        <v>74</v>
      </c>
      <c r="L313" s="2" t="s">
        <v>136</v>
      </c>
      <c r="M313" s="8" t="str">
        <f t="array" ref="M313">Y107</f>
        <v>1ВО::1.1</v>
      </c>
      <c r="AA313" s="107" t="str">
        <f>AA309&amp;".2"</f>
        <v>3.3.2</v>
      </c>
      <c r="AB313" s="244" t="s">
        <v>445</v>
      </c>
      <c r="AC313" s="197" t="s">
        <v>114</v>
      </c>
      <c r="AD313" s="136"/>
      <c r="AE313" s="136"/>
      <c r="AF313" s="195"/>
      <c r="AG313" s="202"/>
      <c r="AH313" s="202"/>
      <c r="AI313" s="136">
        <f t="array" ref="AI313">AF313</f>
        <v>0</v>
      </c>
      <c r="AJ313" s="202"/>
      <c r="AK313" s="202"/>
      <c r="AL313" s="202"/>
      <c r="AM313" s="202"/>
      <c r="AN313" s="136" t="e">
        <f t="array" ref="AN313">#REF!</f>
        <v>#REF!</v>
      </c>
      <c r="AO313" s="195"/>
      <c r="AP313" s="202"/>
      <c r="AQ313" s="202"/>
      <c r="AR313" s="136">
        <f t="array" ref="AR313">AO313</f>
        <v>0</v>
      </c>
      <c r="AS313" s="202"/>
      <c r="AT313" s="202"/>
      <c r="AU313" s="136" t="e">
        <f t="array" ref="AU313">#REF!</f>
        <v>#REF!</v>
      </c>
      <c r="AV313" s="195"/>
      <c r="AW313" s="202"/>
      <c r="AX313" s="202"/>
      <c r="AY313" s="136">
        <f t="array" ref="AY313">AV313</f>
        <v>0</v>
      </c>
      <c r="AZ313" s="202"/>
      <c r="BA313" s="202"/>
      <c r="BB313" s="202"/>
      <c r="BC313" s="202"/>
      <c r="BD313" s="136"/>
      <c r="BE313" s="202"/>
      <c r="BF313" s="202"/>
      <c r="BG313" s="267">
        <f t="shared" si="97"/>
        <v>0</v>
      </c>
      <c r="BH313" s="267" t="e">
        <f>BD313-#REF!</f>
        <v>#REF!</v>
      </c>
      <c r="BI313" s="267">
        <f t="shared" si="98"/>
        <v>0</v>
      </c>
      <c r="BJ313" s="136"/>
      <c r="BK313" s="202"/>
      <c r="BL313" s="202"/>
      <c r="BM313" s="136"/>
      <c r="BN313" s="202"/>
      <c r="BO313" s="202"/>
      <c r="BP313" s="267">
        <f t="shared" si="99"/>
        <v>0</v>
      </c>
      <c r="BQ313" s="267">
        <f t="shared" si="100"/>
        <v>0</v>
      </c>
      <c r="BR313" s="136"/>
      <c r="BS313" s="202"/>
      <c r="BT313" s="202"/>
      <c r="BU313" s="136"/>
      <c r="BV313" s="202"/>
      <c r="BW313" s="202"/>
      <c r="BX313" s="267">
        <f t="shared" si="101"/>
        <v>0</v>
      </c>
      <c r="BY313" s="267">
        <f t="shared" si="102"/>
        <v>0</v>
      </c>
      <c r="BZ313" s="136"/>
      <c r="CA313" s="202"/>
      <c r="CB313" s="202"/>
      <c r="CC313" s="136"/>
      <c r="CD313" s="202"/>
      <c r="CE313" s="202"/>
      <c r="CF313" s="267">
        <f t="shared" si="103"/>
        <v>0</v>
      </c>
      <c r="CG313" s="267">
        <f t="shared" si="104"/>
        <v>0</v>
      </c>
      <c r="CH313" s="136"/>
      <c r="CI313" s="202"/>
      <c r="CJ313" s="202"/>
      <c r="CK313" s="136"/>
      <c r="CL313" s="202"/>
      <c r="CM313" s="202"/>
      <c r="CN313" s="267">
        <f t="shared" si="105"/>
        <v>0</v>
      </c>
      <c r="CO313" s="267">
        <f t="shared" si="106"/>
        <v>0</v>
      </c>
      <c r="CP313" s="92"/>
      <c r="CQ313" s="85"/>
      <c r="CR313" s="85"/>
      <c r="CS313" s="85"/>
      <c r="CT313" s="99" t="e">
        <f t="shared" si="107"/>
        <v>#REF!</v>
      </c>
      <c r="CU313" s="99">
        <f t="array" ref="CU313">BD313</f>
        <v>0</v>
      </c>
      <c r="CV313" s="101"/>
      <c r="CW313" s="101"/>
      <c r="CX313" s="101"/>
      <c r="CY313" s="101"/>
      <c r="CZ313" s="101"/>
      <c r="DA313" s="101"/>
      <c r="DB313" s="101"/>
    </row>
    <row r="314" spans="1:107" ht="22.5" customHeight="1" outlineLevel="3" x14ac:dyDescent="0.25">
      <c r="C314" s="2" t="s">
        <v>84</v>
      </c>
      <c r="D314" s="2" t="s">
        <v>85</v>
      </c>
      <c r="E314" s="2" t="s">
        <v>74</v>
      </c>
      <c r="F314" s="2" t="s">
        <v>75</v>
      </c>
      <c r="G314" s="2" t="s">
        <v>446</v>
      </c>
      <c r="H314" s="2" t="s">
        <v>74</v>
      </c>
      <c r="I314" s="2" t="s">
        <v>74</v>
      </c>
      <c r="J314" s="2" t="s">
        <v>74</v>
      </c>
      <c r="K314" s="5" t="s">
        <v>74</v>
      </c>
      <c r="L314" s="2" t="s">
        <v>136</v>
      </c>
      <c r="M314" s="8" t="str">
        <f t="array" ref="M314">Y107</f>
        <v>1ВО::1.1</v>
      </c>
      <c r="AA314" s="206" t="str">
        <f>AA309&amp;".3"</f>
        <v>3.3.3</v>
      </c>
      <c r="AB314" s="244" t="s">
        <v>447</v>
      </c>
      <c r="AC314" s="197" t="s">
        <v>114</v>
      </c>
      <c r="AD314" s="136">
        <v>1896.2</v>
      </c>
      <c r="AE314" s="136">
        <v>2074.0661110014998</v>
      </c>
      <c r="AF314" s="195">
        <v>5342.5667312400001</v>
      </c>
      <c r="AG314" s="202"/>
      <c r="AH314" s="202"/>
      <c r="AI314" s="136">
        <v>5342.5667312400001</v>
      </c>
      <c r="AJ314" s="202"/>
      <c r="AK314" s="202"/>
      <c r="AL314" s="202"/>
      <c r="AM314" s="202"/>
      <c r="AN314" s="136" t="e">
        <f t="array" ref="AN314">#REF!</f>
        <v>#REF!</v>
      </c>
      <c r="AO314" s="195">
        <v>6784.91</v>
      </c>
      <c r="AP314" s="202"/>
      <c r="AQ314" s="202"/>
      <c r="AR314" s="136">
        <v>6784.91</v>
      </c>
      <c r="AS314" s="202"/>
      <c r="AT314" s="202"/>
      <c r="AU314" s="136" t="e">
        <f t="array" ref="AU314">#REF!</f>
        <v>#REF!</v>
      </c>
      <c r="AV314" s="195">
        <v>7056.29</v>
      </c>
      <c r="AW314" s="202"/>
      <c r="AX314" s="202"/>
      <c r="AY314" s="136">
        <v>7056.29</v>
      </c>
      <c r="AZ314" s="202"/>
      <c r="BA314" s="202"/>
      <c r="BB314" s="202"/>
      <c r="BC314" s="202"/>
      <c r="BD314" s="136"/>
      <c r="BE314" s="202"/>
      <c r="BF314" s="202"/>
      <c r="BG314" s="267">
        <f t="shared" si="97"/>
        <v>0</v>
      </c>
      <c r="BH314" s="267" t="e">
        <f>BD314-#REF!</f>
        <v>#REF!</v>
      </c>
      <c r="BI314" s="267">
        <f t="shared" si="98"/>
        <v>-7056.29</v>
      </c>
      <c r="BJ314" s="136"/>
      <c r="BK314" s="202"/>
      <c r="BL314" s="202"/>
      <c r="BM314" s="136"/>
      <c r="BN314" s="202"/>
      <c r="BO314" s="202"/>
      <c r="BP314" s="267">
        <f t="shared" si="99"/>
        <v>0</v>
      </c>
      <c r="BQ314" s="267">
        <f t="shared" si="100"/>
        <v>0</v>
      </c>
      <c r="BR314" s="136"/>
      <c r="BS314" s="202"/>
      <c r="BT314" s="202"/>
      <c r="BU314" s="136"/>
      <c r="BV314" s="202"/>
      <c r="BW314" s="202"/>
      <c r="BX314" s="267">
        <f t="shared" si="101"/>
        <v>0</v>
      </c>
      <c r="BY314" s="267">
        <f t="shared" si="102"/>
        <v>0</v>
      </c>
      <c r="BZ314" s="136"/>
      <c r="CA314" s="202"/>
      <c r="CB314" s="202"/>
      <c r="CC314" s="136"/>
      <c r="CD314" s="202"/>
      <c r="CE314" s="202"/>
      <c r="CF314" s="267">
        <f t="shared" si="103"/>
        <v>0</v>
      </c>
      <c r="CG314" s="267">
        <f t="shared" si="104"/>
        <v>0</v>
      </c>
      <c r="CH314" s="136"/>
      <c r="CI314" s="202"/>
      <c r="CJ314" s="202"/>
      <c r="CK314" s="136"/>
      <c r="CL314" s="202"/>
      <c r="CM314" s="202"/>
      <c r="CN314" s="267">
        <f t="shared" si="105"/>
        <v>0</v>
      </c>
      <c r="CO314" s="267">
        <f t="shared" si="106"/>
        <v>0</v>
      </c>
      <c r="CP314" s="92" t="s">
        <v>570</v>
      </c>
      <c r="CQ314" s="85"/>
      <c r="CR314" s="85"/>
      <c r="CS314" s="85"/>
      <c r="CT314" s="99" t="e">
        <f t="shared" si="107"/>
        <v>#REF!</v>
      </c>
      <c r="CU314" s="99">
        <f t="array" ref="CU314">BD314</f>
        <v>0</v>
      </c>
      <c r="CV314" s="101"/>
      <c r="CW314" s="101"/>
      <c r="CX314" s="101"/>
      <c r="CY314" s="101"/>
      <c r="CZ314" s="101"/>
      <c r="DA314" s="101"/>
      <c r="DB314" s="101"/>
    </row>
    <row r="315" spans="1:107" ht="45" hidden="1" customHeight="1" outlineLevel="3" x14ac:dyDescent="0.25">
      <c r="A315" s="2" t="b">
        <f>[1]Титульный!$AD$40="да"</f>
        <v>0</v>
      </c>
      <c r="B315" s="8" t="b">
        <f t="array" ref="B315">A315</f>
        <v>0</v>
      </c>
      <c r="C315" s="2" t="s">
        <v>448</v>
      </c>
      <c r="D315" s="245" t="s">
        <v>449</v>
      </c>
      <c r="E315" s="245" t="s">
        <v>74</v>
      </c>
      <c r="F315" s="2" t="s">
        <v>75</v>
      </c>
      <c r="G315" s="245" t="s">
        <v>74</v>
      </c>
      <c r="H315" s="245" t="s">
        <v>74</v>
      </c>
      <c r="I315" s="245" t="s">
        <v>74</v>
      </c>
      <c r="J315" s="245" t="s">
        <v>74</v>
      </c>
      <c r="K315" s="246" t="s">
        <v>74</v>
      </c>
      <c r="L315" s="2" t="s">
        <v>136</v>
      </c>
      <c r="M315" s="8" t="str">
        <f t="array" ref="M315">Y107</f>
        <v>1ВО::1.1</v>
      </c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5"/>
      <c r="AA315" s="209"/>
      <c r="AB315" s="247"/>
      <c r="AC315" s="211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174"/>
      <c r="AO315" s="202"/>
      <c r="AP315" s="202"/>
      <c r="AQ315" s="202"/>
      <c r="AR315" s="202"/>
      <c r="AS315" s="202"/>
      <c r="AT315" s="202"/>
      <c r="AU315" s="174"/>
      <c r="AV315" s="202"/>
      <c r="AW315" s="202"/>
      <c r="AX315" s="202"/>
      <c r="AY315" s="202"/>
      <c r="AZ315" s="202"/>
      <c r="BA315" s="202"/>
      <c r="BB315" s="202"/>
      <c r="BC315" s="202"/>
      <c r="BD315" s="174"/>
      <c r="BE315" s="202"/>
      <c r="BF315" s="202"/>
      <c r="BG315" s="275"/>
      <c r="BH315" s="275"/>
      <c r="BI315" s="275"/>
      <c r="BJ315" s="174"/>
      <c r="BK315" s="202"/>
      <c r="BL315" s="202"/>
      <c r="BM315" s="174"/>
      <c r="BN315" s="202"/>
      <c r="BO315" s="202"/>
      <c r="BP315" s="275"/>
      <c r="BQ315" s="275"/>
      <c r="BR315" s="174"/>
      <c r="BS315" s="202"/>
      <c r="BT315" s="202"/>
      <c r="BU315" s="174"/>
      <c r="BV315" s="202"/>
      <c r="BW315" s="202"/>
      <c r="BX315" s="275"/>
      <c r="BY315" s="275"/>
      <c r="BZ315" s="174"/>
      <c r="CA315" s="202"/>
      <c r="CB315" s="202"/>
      <c r="CC315" s="174"/>
      <c r="CD315" s="202"/>
      <c r="CE315" s="202"/>
      <c r="CF315" s="275"/>
      <c r="CG315" s="275"/>
      <c r="CH315" s="174"/>
      <c r="CI315" s="202"/>
      <c r="CJ315" s="202"/>
      <c r="CK315" s="174"/>
      <c r="CL315" s="202"/>
      <c r="CM315" s="202"/>
      <c r="CN315" s="275"/>
      <c r="CO315" s="275"/>
      <c r="CP315" s="68"/>
      <c r="CQ315" s="62"/>
      <c r="CR315" s="62"/>
      <c r="CS315" s="62"/>
      <c r="CT315" s="170"/>
      <c r="CU315" s="178"/>
      <c r="CV315" s="68"/>
      <c r="CW315" s="68"/>
      <c r="CX315" s="68"/>
      <c r="CY315" s="68"/>
      <c r="CZ315" s="68"/>
      <c r="DA315" s="68"/>
      <c r="DB315" s="68"/>
      <c r="DC315" s="15"/>
    </row>
    <row r="316" spans="1:107" ht="21.75" hidden="1" customHeight="1" outlineLevel="3" x14ac:dyDescent="0.25">
      <c r="A316" s="2" t="b">
        <f t="array" ref="A316">A315</f>
        <v>0</v>
      </c>
      <c r="B316" s="8" t="b">
        <f t="array" ref="B316">A316</f>
        <v>0</v>
      </c>
      <c r="C316" s="2" t="s">
        <v>84</v>
      </c>
      <c r="D316" s="245" t="s">
        <v>85</v>
      </c>
      <c r="E316" s="245" t="s">
        <v>74</v>
      </c>
      <c r="F316" s="2" t="s">
        <v>75</v>
      </c>
      <c r="G316" s="245" t="s">
        <v>450</v>
      </c>
      <c r="H316" s="245" t="s">
        <v>74</v>
      </c>
      <c r="I316" s="245" t="s">
        <v>74</v>
      </c>
      <c r="J316" s="245" t="s">
        <v>74</v>
      </c>
      <c r="K316" s="246" t="s">
        <v>74</v>
      </c>
      <c r="L316" s="2" t="s">
        <v>136</v>
      </c>
      <c r="M316" s="8" t="str">
        <f t="array" ref="M316">Y107</f>
        <v>1ВО::1.1</v>
      </c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5"/>
      <c r="AA316" s="167"/>
      <c r="AB316" s="248"/>
      <c r="AC316" s="249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75"/>
      <c r="BH316" s="275"/>
      <c r="BI316" s="275"/>
      <c r="BJ316" s="202"/>
      <c r="BK316" s="202"/>
      <c r="BL316" s="202"/>
      <c r="BM316" s="202"/>
      <c r="BN316" s="202"/>
      <c r="BO316" s="202"/>
      <c r="BP316" s="275"/>
      <c r="BQ316" s="275"/>
      <c r="BR316" s="202"/>
      <c r="BS316" s="202"/>
      <c r="BT316" s="202"/>
      <c r="BU316" s="202"/>
      <c r="BV316" s="202"/>
      <c r="BW316" s="202"/>
      <c r="BX316" s="275"/>
      <c r="BY316" s="275"/>
      <c r="BZ316" s="202"/>
      <c r="CA316" s="202"/>
      <c r="CB316" s="202"/>
      <c r="CC316" s="202"/>
      <c r="CD316" s="202"/>
      <c r="CE316" s="202"/>
      <c r="CF316" s="275"/>
      <c r="CG316" s="275"/>
      <c r="CH316" s="202"/>
      <c r="CI316" s="202"/>
      <c r="CJ316" s="202"/>
      <c r="CK316" s="202"/>
      <c r="CL316" s="202"/>
      <c r="CM316" s="202"/>
      <c r="CN316" s="275"/>
      <c r="CO316" s="275"/>
      <c r="CP316" s="68"/>
      <c r="CQ316" s="62"/>
      <c r="CR316" s="62"/>
      <c r="CS316" s="62"/>
      <c r="CT316" s="170"/>
      <c r="CU316" s="170"/>
      <c r="CV316" s="68"/>
      <c r="CW316" s="68"/>
      <c r="CX316" s="68"/>
      <c r="CY316" s="68"/>
      <c r="CZ316" s="68"/>
      <c r="DA316" s="68"/>
      <c r="DB316" s="68"/>
      <c r="DC316" s="15"/>
    </row>
    <row r="317" spans="1:107" ht="21.75" customHeight="1" outlineLevel="3" x14ac:dyDescent="0.25">
      <c r="C317" s="2" t="s">
        <v>84</v>
      </c>
      <c r="D317" s="245" t="s">
        <v>85</v>
      </c>
      <c r="E317" s="245" t="s">
        <v>74</v>
      </c>
      <c r="F317" s="2" t="s">
        <v>75</v>
      </c>
      <c r="G317" s="245" t="s">
        <v>451</v>
      </c>
      <c r="H317" s="245" t="s">
        <v>74</v>
      </c>
      <c r="I317" s="245" t="s">
        <v>74</v>
      </c>
      <c r="J317" s="245" t="s">
        <v>74</v>
      </c>
      <c r="K317" s="246" t="s">
        <v>74</v>
      </c>
      <c r="L317" s="2" t="s">
        <v>136</v>
      </c>
      <c r="M317" s="8" t="str">
        <f t="array" ref="M317">Y107</f>
        <v>1ВО::1.1</v>
      </c>
      <c r="AA317" s="107" t="str">
        <f>IF(AA315="",AA309&amp;".4",AA309&amp;".5")</f>
        <v>3.3.4</v>
      </c>
      <c r="AB317" s="222" t="s">
        <v>452</v>
      </c>
      <c r="AC317" s="249" t="s">
        <v>122</v>
      </c>
      <c r="AD317" s="173">
        <v>0.27868377543092965</v>
      </c>
      <c r="AE317" s="173">
        <v>0.2857148241810244</v>
      </c>
      <c r="AF317" s="173">
        <v>0.55830383016680818</v>
      </c>
      <c r="AG317" s="174"/>
      <c r="AH317" s="174"/>
      <c r="AI317" s="173">
        <f>IF((AI158+AI241+AI302+SUM(AI259,AI275:AI282,AI283,AI290,AI291,AI292,AI293,AI294,AI297,AI298,AI299,AI300,AI301,AI272))=0,0,AI309/(AI158+AI241+AI302+SUM(AI259,AI275:AI282,AI283,AI290,AI291,AI292,AI293,AI294,AI297,AI298,AI299,AI300,AI301,AI272))*100)</f>
        <v>0.55811038403960389</v>
      </c>
      <c r="AJ317" s="174"/>
      <c r="AK317" s="174"/>
      <c r="AL317" s="174"/>
      <c r="AM317" s="174"/>
      <c r="AN317" s="173" t="e">
        <f>IF((AN158+AN241+AN302+SUM(AN259,AN275:AN282,AN283,AN290,AN291,AN292,AN293,AN294,AN297,AN298,AN299,AN300,AN301,AN272))=0,0,AN309/(AN158+AN241+AN302+SUM(AN259,AN275:AN282,AN283,AN290,AN291,AN292,AN293,AN294,AN297,AN298,AN299,AN300,AN301,AN272))*100)</f>
        <v>#REF!</v>
      </c>
      <c r="AO317" s="173">
        <v>0.6705097707706984</v>
      </c>
      <c r="AP317" s="174"/>
      <c r="AQ317" s="174"/>
      <c r="AR317" s="173">
        <f>IF((AR158+AR241+AR302+SUM(AR259,AR275:AR282,AR283,AR290,AR291,AR292,AR293,AR294,AR297,AR298,AR299,AR300,AR301,AR272))=0,0,AR309/(AR158+AR241+AR302+SUM(AR259,AR275:AR282,AR283,AR290,AR291,AR292,AR293,AR294,AR297,AR298,AR299,AR300,AR301,AR272))*100)</f>
        <v>0.6705097707706984</v>
      </c>
      <c r="AS317" s="174"/>
      <c r="AT317" s="174"/>
      <c r="AU317" s="173" t="e">
        <f>IF((AU158+AU241+AU302+SUM(AU259,AU275:AU282,AU283,AU290,AU291,AU292,AU293,AU294,AU297,AU298,AU299,AU300,AU301,AU272))=0,0,AU309/(AU158+AU241+AU302+SUM(AU259,AU275:AU282,AU283,AU290,AU291,AU292,AU293,AU294,AU297,AU298,AU299,AU300,AU301,AU272))*100)</f>
        <v>#REF!</v>
      </c>
      <c r="AV317" s="173">
        <v>0.67566937031426688</v>
      </c>
      <c r="AW317" s="174"/>
      <c r="AX317" s="174"/>
      <c r="AY317" s="173">
        <f>IF((AY158+AY241+AY302+SUM(AY259,AY275:AY282,AY283,AY290,AY291,AY292,AY293,AY294,AY297,AY298,AY299,AY300,AY301,AY272))=0,0,AY309/(AY158+AY241+AY302+SUM(AY259,AY275:AY282,AY283,AY290,AY291,AY292,AY293,AY294,AY297,AY298,AY299,AY300,AY301,AY272))*100)</f>
        <v>0.67566937031426688</v>
      </c>
      <c r="AZ317" s="174"/>
      <c r="BA317" s="174"/>
      <c r="BB317" s="174"/>
      <c r="BC317" s="174"/>
      <c r="BD317" s="173" t="e">
        <f>IF((BD158+BD241+BD302+SUM(BD259,BD275:BD282,BD283,BD290,BD291,BD292,BD293,BD294,BD297,BD298,BD299,BD300,BD301,BD272))=0,0,BD309/(BD158+BD241+BD302+SUM(BD259,BD275:BD282,BD283,BD290,BD291,BD292,BD293,BD294,BD297,BD298,BD299,BD300,BD301,BD272))*100)</f>
        <v>#REF!</v>
      </c>
      <c r="BE317" s="174"/>
      <c r="BF317" s="174"/>
      <c r="BG317" s="173" t="e">
        <f>IF((BG158+BG241+BG302+SUM(BG259,BG275:BG282,BG283,BG290,BG291,BG292,BG293,BG294,BG297,BG298,BG299,BG300,BG301,BG272))=0,0,BG309/(BG158+BG241+BG302+SUM(BG259,BG275:BG282,BG283,BG290,BG291,BG292,BG293,BG294,BG297,BG298,BG299,BG300,BG301,BG272))*100)</f>
        <v>#REF!</v>
      </c>
      <c r="BH317" s="173" t="e">
        <f>IF((BH158+BH241+BH302+SUM(BH259,BH275:BH282,BH283,BH290,BH291,BH292,BH293,BH294,BH297,BH298,BH299,BH300,BH301,BH272))=0,0,BH309/(BH158+BH241+BH302+SUM(BH259,BH275:BH282,BH283,BH290,BH291,BH292,BH293,BH294,BH297,BH298,BH299,BH300,BH301,BH272))*100)</f>
        <v>#REF!</v>
      </c>
      <c r="BI317" s="173" t="e">
        <f>IF((BI158+BI241+BI302+SUM(BI259,BI275:BI282,BI283,BI290,BI291,BI292,BI293,BI294,BI297,BI298,BI299,BI300,BI301,BI272))=0,0,BI309/(BI158+BI241+BI302+SUM(BI259,BI275:BI282,BI283,BI290,BI291,BI292,BI293,BI294,BI297,BI298,BI299,BI300,BI301,BI272))*100)</f>
        <v>#REF!</v>
      </c>
      <c r="BJ317" s="173" t="e">
        <f>IF((BJ158+BJ241+BJ302+SUM(BJ259,BJ275:BJ282,BJ283,BJ290,BJ291,BJ292,BJ293,BJ294,BJ297,BJ298,BJ299,BJ300,BJ301,BJ272))=0,0,BJ309/(BJ158+BJ241+BJ302+SUM(BJ259,BJ275:BJ282,BJ283,BJ290,BJ291,BJ292,BJ293,BJ294,BJ297,BJ298,BJ299,BJ300,BJ301,BJ272))*100)</f>
        <v>#REF!</v>
      </c>
      <c r="BK317" s="174"/>
      <c r="BL317" s="174"/>
      <c r="BM317" s="173" t="e">
        <f>IF((BM158+BM241+BM302+SUM(BM259,BM275:BM282,BM283,BM290,BM291,BM292,BM293,BM294,BM297,BM298,BM299,BM300,BM301,BM272))=0,0,BM309/(BM158+BM241+BM302+SUM(BM259,BM275:BM282,BM283,BM290,BM291,BM292,BM293,BM294,BM297,BM298,BM299,BM300,BM301,BM272))*100)</f>
        <v>#REF!</v>
      </c>
      <c r="BN317" s="174"/>
      <c r="BO317" s="174"/>
      <c r="BP317" s="267" t="e">
        <f t="shared" ref="BP317:BP329" si="108">IF(BD317=0,0,BM317/BD317)*100</f>
        <v>#REF!</v>
      </c>
      <c r="BQ317" s="267" t="e">
        <f t="shared" ref="BQ317:BQ329" si="109">BM317-BJ317</f>
        <v>#REF!</v>
      </c>
      <c r="BR317" s="173" t="e">
        <f>IF((BR158+BR241+BR302+SUM(BR259,BR275:BR282,BR283,BR290,BR291,BR292,BR293,BR294,BR297,BR298,BR299,BR300,BR301,BR272))=0,0,BR309/(BR158+BR241+BR302+SUM(BR259,BR275:BR282,BR283,BR290,BR291,BR292,BR293,BR294,BR297,BR298,BR299,BR300,BR301,BR272))*100)</f>
        <v>#REF!</v>
      </c>
      <c r="BS317" s="174"/>
      <c r="BT317" s="174"/>
      <c r="BU317" s="173" t="e">
        <f>IF((BU158+BU241+BU302+SUM(BU259,BU275:BU282,BU283,BU290,BU291,BU292,BU293,BU294,BU297,BU298,BU299,BU300,BU301,BU272))=0,0,BU309/(BU158+BU241+BU302+SUM(BU259,BU275:BU282,BU283,BU290,BU291,BU292,BU293,BU294,BU297,BU298,BU299,BU300,BU301,BU272))*100)</f>
        <v>#REF!</v>
      </c>
      <c r="BV317" s="174"/>
      <c r="BW317" s="174"/>
      <c r="BX317" s="267" t="e">
        <f t="shared" ref="BX317:BX329" si="110">IF(BM317=0,0,BU317/BM317)*100</f>
        <v>#REF!</v>
      </c>
      <c r="BY317" s="267" t="e">
        <f t="shared" ref="BY317:BY329" si="111">BU317-BR317</f>
        <v>#REF!</v>
      </c>
      <c r="BZ317" s="173" t="e">
        <f>IF((BZ158+BZ241+BZ302+SUM(BZ259,BZ275:BZ282,BZ283,BZ290,BZ291,BZ292,BZ293,BZ294,BZ297,BZ298,BZ299,BZ300,BZ301,BZ272))=0,0,BZ309/(BZ158+BZ241+BZ302+SUM(BZ259,BZ275:BZ282,BZ283,BZ290,BZ291,BZ292,BZ293,BZ294,BZ297,BZ298,BZ299,BZ300,BZ301,BZ272))*100)</f>
        <v>#REF!</v>
      </c>
      <c r="CA317" s="174"/>
      <c r="CB317" s="174"/>
      <c r="CC317" s="173" t="e">
        <f>IF((CC158+CC241+CC302+SUM(CC259,CC275:CC282,CC283,CC290,CC291,CC292,CC293,CC294,CC297,CC298,CC299,CC300,CC301,CC272))=0,0,CC309/(CC158+CC241+CC302+SUM(CC259,CC275:CC282,CC283,CC290,CC291,CC292,CC293,CC294,CC297,CC298,CC299,CC300,CC301,CC272))*100)</f>
        <v>#REF!</v>
      </c>
      <c r="CD317" s="174"/>
      <c r="CE317" s="174"/>
      <c r="CF317" s="267" t="e">
        <f t="shared" ref="CF317:CF329" si="112">IF(BU317=0,0,CC317/BU317)*100</f>
        <v>#REF!</v>
      </c>
      <c r="CG317" s="267" t="e">
        <f t="shared" ref="CG317:CG329" si="113">CC317-BZ317</f>
        <v>#REF!</v>
      </c>
      <c r="CH317" s="173" t="e">
        <f>IF((CH158+CH241+CH302+SUM(CH259,CH275:CH282,CH283,CH290,CH291,CH292,CH293,CH294,CH297,CH298,CH299,CH300,CH301,CH272))=0,0,CH309/(CH158+CH241+CH302+SUM(CH259,CH275:CH282,CH283,CH290,CH291,CH292,CH293,CH294,CH297,CH298,CH299,CH300,CH301,CH272))*100)</f>
        <v>#REF!</v>
      </c>
      <c r="CI317" s="174"/>
      <c r="CJ317" s="174"/>
      <c r="CK317" s="173" t="e">
        <f>IF((CK158+CK241+CK302+SUM(CK259,CK275:CK282,CK283,CK290,CK291,CK292,CK293,CK294,CK297,CK298,CK299,CK300,CK301,CK272))=0,0,CK309/(CK158+CK241+CK302+SUM(CK259,CK275:CK282,CK283,CK290,CK291,CK292,CK293,CK294,CK297,CK298,CK299,CK300,CK301,CK272))*100)</f>
        <v>#REF!</v>
      </c>
      <c r="CL317" s="174"/>
      <c r="CM317" s="174"/>
      <c r="CN317" s="267" t="e">
        <f t="shared" ref="CN317:CN329" si="114">IF(CC317=0,0,CK317/CC317)*100</f>
        <v>#REF!</v>
      </c>
      <c r="CO317" s="267" t="e">
        <f t="shared" ref="CO317:CO329" si="115">CK317-CH317</f>
        <v>#REF!</v>
      </c>
      <c r="CP317" s="92"/>
      <c r="CQ317" s="85"/>
      <c r="CR317" s="85"/>
      <c r="CS317" s="85"/>
      <c r="CT317" s="99" t="e">
        <f t="shared" ref="CT317:CT329" si="116">SUM(AD317:CO317)</f>
        <v>#REF!</v>
      </c>
      <c r="CU317" s="100" t="e">
        <f>IF((CU158+CU241+CU302+SUM(CU259,CU275:CU282,CU283,CU290,CU291,CU292,CU293,CU294,CU297,CU298,CU299,CU300,CU301,CU272))=0,0,CU309/(CU158+CU241+CU302+SUM(CU259,CU275:CU282,CU283,CU290,CU291,CU292,CU293,CU294,CU297,CU298,CU299,CU300,CU301,CU272))*100)</f>
        <v>#REF!</v>
      </c>
      <c r="CV317" s="101"/>
      <c r="CW317" s="101"/>
      <c r="CX317" s="101"/>
      <c r="CY317" s="101"/>
      <c r="CZ317" s="101"/>
      <c r="DA317" s="101"/>
      <c r="DB317" s="101"/>
    </row>
    <row r="318" spans="1:107" ht="22.5" customHeight="1" outlineLevel="1" x14ac:dyDescent="0.25">
      <c r="B318" s="2" t="b">
        <f>S107="да"</f>
        <v>1</v>
      </c>
      <c r="C318" s="2" t="s">
        <v>84</v>
      </c>
      <c r="D318" s="2" t="s">
        <v>85</v>
      </c>
      <c r="E318" s="2" t="s">
        <v>74</v>
      </c>
      <c r="F318" s="2" t="s">
        <v>75</v>
      </c>
      <c r="G318" s="2" t="s">
        <v>453</v>
      </c>
      <c r="H318" s="2" t="s">
        <v>74</v>
      </c>
      <c r="I318" s="2" t="s">
        <v>74</v>
      </c>
      <c r="J318" s="2" t="s">
        <v>74</v>
      </c>
      <c r="K318" s="5" t="s">
        <v>74</v>
      </c>
      <c r="L318" s="2" t="s">
        <v>136</v>
      </c>
      <c r="M318" s="8" t="str">
        <f t="array" ref="M318">Y107</f>
        <v>1ВО::1.1</v>
      </c>
      <c r="AA318" s="191" t="str">
        <f>AA156&amp;".4"</f>
        <v>3.4</v>
      </c>
      <c r="AB318" s="190" t="s">
        <v>453</v>
      </c>
      <c r="AC318" s="191" t="s">
        <v>114</v>
      </c>
      <c r="AD318" s="195"/>
      <c r="AE318" s="195"/>
      <c r="AF318" s="195"/>
      <c r="AG318" s="202"/>
      <c r="AH318" s="202"/>
      <c r="AI318" s="195">
        <f t="array" ref="AI318">AF318</f>
        <v>0</v>
      </c>
      <c r="AJ318" s="202"/>
      <c r="AK318" s="202"/>
      <c r="AL318" s="202"/>
      <c r="AM318" s="202"/>
      <c r="AN318" s="173" t="e">
        <f>IF(S107="нет",0,AN319*(AN157+AN302-AN294)/100)</f>
        <v>#REF!</v>
      </c>
      <c r="AO318" s="195"/>
      <c r="AP318" s="202"/>
      <c r="AQ318" s="202"/>
      <c r="AR318" s="195">
        <f t="array" ref="AR318">AO318</f>
        <v>0</v>
      </c>
      <c r="AS318" s="202"/>
      <c r="AT318" s="202"/>
      <c r="AU318" s="173" t="e">
        <f>IF(S107="нет",0,AU319*(AU157+AU302-AU294)/100)</f>
        <v>#REF!</v>
      </c>
      <c r="AV318" s="195"/>
      <c r="AW318" s="202"/>
      <c r="AX318" s="202"/>
      <c r="AY318" s="195">
        <f t="array" ref="AY318">AV318</f>
        <v>0</v>
      </c>
      <c r="AZ318" s="202"/>
      <c r="BA318" s="202"/>
      <c r="BB318" s="202"/>
      <c r="BC318" s="202"/>
      <c r="BD318" s="344" t="e">
        <f>(BD157+BD302-BD294)*BD319/100</f>
        <v>#REF!</v>
      </c>
      <c r="BE318" s="202"/>
      <c r="BF318" s="202"/>
      <c r="BG318" s="267">
        <f t="shared" ref="BG318:BG329" si="117">IF(AR318=0,0,BD318/AR318)*100</f>
        <v>0</v>
      </c>
      <c r="BH318" s="267" t="e">
        <f>BD318-#REF!</f>
        <v>#REF!</v>
      </c>
      <c r="BI318" s="267" t="e">
        <f t="shared" ref="BI318:BI329" si="118">BD318-AY318</f>
        <v>#REF!</v>
      </c>
      <c r="BJ318" s="195"/>
      <c r="BK318" s="202"/>
      <c r="BL318" s="202"/>
      <c r="BM318" s="344" t="e">
        <f>(BM157+BM302-BM294)*BM319/100</f>
        <v>#REF!</v>
      </c>
      <c r="BN318" s="202"/>
      <c r="BO318" s="202"/>
      <c r="BP318" s="267" t="e">
        <f t="shared" si="108"/>
        <v>#REF!</v>
      </c>
      <c r="BQ318" s="267" t="e">
        <f t="shared" si="109"/>
        <v>#REF!</v>
      </c>
      <c r="BR318" s="195"/>
      <c r="BS318" s="202"/>
      <c r="BT318" s="202"/>
      <c r="BU318" s="344" t="e">
        <f>(BU157+BU302-BU294)*BU319/100</f>
        <v>#REF!</v>
      </c>
      <c r="BV318" s="202"/>
      <c r="BW318" s="202"/>
      <c r="BX318" s="267" t="e">
        <f t="shared" si="110"/>
        <v>#REF!</v>
      </c>
      <c r="BY318" s="267" t="e">
        <f t="shared" si="111"/>
        <v>#REF!</v>
      </c>
      <c r="BZ318" s="195"/>
      <c r="CA318" s="202"/>
      <c r="CB318" s="202"/>
      <c r="CC318" s="344" t="e">
        <f>(CC157+CC302-CC294)*CC319/100</f>
        <v>#REF!</v>
      </c>
      <c r="CD318" s="202"/>
      <c r="CE318" s="202"/>
      <c r="CF318" s="267" t="e">
        <f t="shared" si="112"/>
        <v>#REF!</v>
      </c>
      <c r="CG318" s="267" t="e">
        <f t="shared" si="113"/>
        <v>#REF!</v>
      </c>
      <c r="CH318" s="195"/>
      <c r="CI318" s="202"/>
      <c r="CJ318" s="202"/>
      <c r="CK318" s="344" t="e">
        <f>(CK157+CK302-CK294)*CK319/100</f>
        <v>#REF!</v>
      </c>
      <c r="CL318" s="202"/>
      <c r="CM318" s="202"/>
      <c r="CN318" s="267" t="e">
        <f t="shared" si="114"/>
        <v>#REF!</v>
      </c>
      <c r="CO318" s="267" t="e">
        <f t="shared" si="115"/>
        <v>#REF!</v>
      </c>
      <c r="CP318" s="92"/>
      <c r="CQ318" s="90"/>
      <c r="CR318" s="90"/>
      <c r="CS318" s="90"/>
      <c r="CT318" s="227" t="e">
        <f t="shared" si="116"/>
        <v>#REF!</v>
      </c>
      <c r="CU318" s="238" t="e">
        <f>(CU157+CU302-CU294)*CU319/100</f>
        <v>#REF!</v>
      </c>
      <c r="CV318" s="92"/>
      <c r="CW318" s="92"/>
      <c r="CX318" s="92"/>
      <c r="CY318" s="92"/>
      <c r="CZ318" s="92"/>
      <c r="DA318" s="92"/>
      <c r="DB318" s="92"/>
    </row>
    <row r="319" spans="1:107" ht="22.5" customHeight="1" outlineLevel="2" x14ac:dyDescent="0.25">
      <c r="B319" s="2" t="b">
        <f t="array" ref="B319">B318</f>
        <v>1</v>
      </c>
      <c r="C319" s="2" t="s">
        <v>454</v>
      </c>
      <c r="D319" s="2" t="s">
        <v>455</v>
      </c>
      <c r="E319" s="2" t="s">
        <v>74</v>
      </c>
      <c r="F319" s="2" t="s">
        <v>75</v>
      </c>
      <c r="G319" s="2" t="s">
        <v>74</v>
      </c>
      <c r="H319" s="2" t="s">
        <v>74</v>
      </c>
      <c r="I319" s="2" t="s">
        <v>74</v>
      </c>
      <c r="J319" s="2" t="s">
        <v>74</v>
      </c>
      <c r="K319" s="5" t="s">
        <v>74</v>
      </c>
      <c r="L319" s="2" t="s">
        <v>136</v>
      </c>
      <c r="M319" s="8" t="str">
        <f t="array" ref="M319">Y107</f>
        <v>1ВО::1.1</v>
      </c>
      <c r="AA319" s="107" t="str">
        <f>AA318&amp;".1"</f>
        <v>3.4.1</v>
      </c>
      <c r="AB319" s="250" t="s">
        <v>455</v>
      </c>
      <c r="AC319" s="249" t="s">
        <v>122</v>
      </c>
      <c r="AD319" s="195">
        <v>0</v>
      </c>
      <c r="AE319" s="195">
        <v>0</v>
      </c>
      <c r="AF319" s="195">
        <v>0</v>
      </c>
      <c r="AG319" s="202"/>
      <c r="AH319" s="202"/>
      <c r="AI319" s="195">
        <f>IF(S107="нет",0,IF((AI157+AI302-AI294)=0,0,AI318/(AI157+AI302-AI294)*100))</f>
        <v>0</v>
      </c>
      <c r="AJ319" s="202"/>
      <c r="AK319" s="202"/>
      <c r="AL319" s="202"/>
      <c r="AM319" s="202"/>
      <c r="AN319" s="195">
        <f t="array" ref="AN319">AI319</f>
        <v>0</v>
      </c>
      <c r="AO319" s="195">
        <v>0</v>
      </c>
      <c r="AP319" s="202"/>
      <c r="AQ319" s="202"/>
      <c r="AR319" s="195">
        <f>IF(S107="нет",0,IF((AR157+AR302-AR294)=0,0,AR318/(AR157+AR302-AR294)*100))</f>
        <v>0</v>
      </c>
      <c r="AS319" s="202"/>
      <c r="AT319" s="202"/>
      <c r="AU319" s="195">
        <f t="array" ref="AU319">AR319</f>
        <v>0</v>
      </c>
      <c r="AV319" s="195">
        <v>0</v>
      </c>
      <c r="AW319" s="202"/>
      <c r="AX319" s="202"/>
      <c r="AY319" s="195">
        <f>IF(S107="нет",0,IF((AY157+AY302-AY294)=0,0,AY318/(AY157+AY302-AY294)*100))</f>
        <v>0</v>
      </c>
      <c r="AZ319" s="202"/>
      <c r="BA319" s="202"/>
      <c r="BB319" s="202"/>
      <c r="BC319" s="202"/>
      <c r="BD319" s="345"/>
      <c r="BE319" s="202"/>
      <c r="BF319" s="202"/>
      <c r="BG319" s="267">
        <f t="shared" si="117"/>
        <v>0</v>
      </c>
      <c r="BH319" s="267" t="e">
        <f>BD319-#REF!</f>
        <v>#REF!</v>
      </c>
      <c r="BI319" s="267">
        <f t="shared" si="118"/>
        <v>0</v>
      </c>
      <c r="BJ319" s="173" t="e">
        <f>IF(S107="нет",0,IF((BJ157+BJ302)=0,0,BJ318/(BJ157+BJ302)*100))</f>
        <v>#REF!</v>
      </c>
      <c r="BK319" s="202"/>
      <c r="BL319" s="202"/>
      <c r="BM319" s="345"/>
      <c r="BN319" s="202"/>
      <c r="BO319" s="202"/>
      <c r="BP319" s="267">
        <f t="shared" si="108"/>
        <v>0</v>
      </c>
      <c r="BQ319" s="267" t="e">
        <f t="shared" si="109"/>
        <v>#REF!</v>
      </c>
      <c r="BR319" s="173" t="e">
        <f>IF(S107="нет",0,IF((BR157+BR302)=0,0,BR318/(BR157+BR302)*100))</f>
        <v>#REF!</v>
      </c>
      <c r="BS319" s="202"/>
      <c r="BT319" s="202"/>
      <c r="BU319" s="345"/>
      <c r="BV319" s="202"/>
      <c r="BW319" s="202"/>
      <c r="BX319" s="267">
        <f t="shared" si="110"/>
        <v>0</v>
      </c>
      <c r="BY319" s="267" t="e">
        <f t="shared" si="111"/>
        <v>#REF!</v>
      </c>
      <c r="BZ319" s="173" t="e">
        <f>IF(S107="нет",0,IF((BZ157+BZ302)=0,0,BZ318/(BZ157+BZ302)*100))</f>
        <v>#REF!</v>
      </c>
      <c r="CA319" s="202"/>
      <c r="CB319" s="202"/>
      <c r="CC319" s="345"/>
      <c r="CD319" s="202"/>
      <c r="CE319" s="202"/>
      <c r="CF319" s="267">
        <f t="shared" si="112"/>
        <v>0</v>
      </c>
      <c r="CG319" s="267" t="e">
        <f t="shared" si="113"/>
        <v>#REF!</v>
      </c>
      <c r="CH319" s="173" t="e">
        <f>IF(S107="нет",0,IF((CH157+CH302)=0,0,CH318/(CH157+CH302)*100))</f>
        <v>#REF!</v>
      </c>
      <c r="CI319" s="202"/>
      <c r="CJ319" s="202"/>
      <c r="CK319" s="345"/>
      <c r="CL319" s="202"/>
      <c r="CM319" s="202"/>
      <c r="CN319" s="267">
        <f t="shared" si="114"/>
        <v>0</v>
      </c>
      <c r="CO319" s="267" t="e">
        <f t="shared" si="115"/>
        <v>#REF!</v>
      </c>
      <c r="CP319" s="92"/>
      <c r="CQ319" s="90"/>
      <c r="CR319" s="90"/>
      <c r="CS319" s="90"/>
      <c r="CT319" s="227" t="e">
        <f t="shared" si="116"/>
        <v>#REF!</v>
      </c>
      <c r="CU319" s="227">
        <f t="array" ref="CU319">BD319</f>
        <v>0</v>
      </c>
      <c r="CV319" s="92"/>
      <c r="CW319" s="92"/>
      <c r="CX319" s="92"/>
      <c r="CY319" s="92"/>
      <c r="CZ319" s="92"/>
      <c r="DA319" s="92"/>
      <c r="DB319" s="92"/>
    </row>
    <row r="320" spans="1:107" ht="14.25" customHeight="1" x14ac:dyDescent="0.25">
      <c r="A320" s="2" t="b">
        <f>REGULATION_METHODS="Метод индексации"</f>
        <v>1</v>
      </c>
      <c r="B320" s="8" t="b">
        <f t="array" ref="B320">A320</f>
        <v>1</v>
      </c>
      <c r="C320" s="2" t="s">
        <v>84</v>
      </c>
      <c r="D320" s="2" t="s">
        <v>85</v>
      </c>
      <c r="E320" s="2" t="s">
        <v>74</v>
      </c>
      <c r="F320" s="2" t="s">
        <v>75</v>
      </c>
      <c r="G320" s="2" t="s">
        <v>456</v>
      </c>
      <c r="H320" s="2" t="s">
        <v>74</v>
      </c>
      <c r="I320" s="2" t="s">
        <v>74</v>
      </c>
      <c r="J320" s="2" t="s">
        <v>74</v>
      </c>
      <c r="K320" s="5" t="s">
        <v>74</v>
      </c>
      <c r="L320" s="2" t="s">
        <v>136</v>
      </c>
      <c r="M320" s="8" t="str">
        <f t="array" ref="M320">Y107</f>
        <v>1ВО::1.1</v>
      </c>
      <c r="AA320" s="146">
        <f>AA156+1</f>
        <v>4</v>
      </c>
      <c r="AB320" s="186" t="s">
        <v>456</v>
      </c>
      <c r="AC320" s="146" t="s">
        <v>114</v>
      </c>
      <c r="AD320" s="173">
        <v>48503.775000000001</v>
      </c>
      <c r="AE320" s="173">
        <v>-66736.040000000008</v>
      </c>
      <c r="AF320" s="173">
        <v>-194797.813455211</v>
      </c>
      <c r="AG320" s="174"/>
      <c r="AH320" s="174"/>
      <c r="AI320" s="173">
        <f>AI324-AI327+AI328</f>
        <v>-194797.813455211</v>
      </c>
      <c r="AJ320" s="174"/>
      <c r="AK320" s="174"/>
      <c r="AL320" s="174"/>
      <c r="AM320" s="174"/>
      <c r="AN320" s="173" t="e">
        <f>AN324-AN327+AN328</f>
        <v>#REF!</v>
      </c>
      <c r="AO320" s="173">
        <v>-61645.935585296</v>
      </c>
      <c r="AP320" s="174"/>
      <c r="AQ320" s="174"/>
      <c r="AR320" s="173">
        <f>AR324-AR327+AR328</f>
        <v>-61645.935585296</v>
      </c>
      <c r="AS320" s="174"/>
      <c r="AT320" s="174"/>
      <c r="AU320" s="173" t="e">
        <f>AU324-AU327+AU328</f>
        <v>#REF!</v>
      </c>
      <c r="AV320" s="173">
        <v>-88430.1</v>
      </c>
      <c r="AW320" s="174"/>
      <c r="AX320" s="174"/>
      <c r="AY320" s="173">
        <f>AY324-AY327+AY328</f>
        <v>-88430.1</v>
      </c>
      <c r="AZ320" s="174"/>
      <c r="BA320" s="174"/>
      <c r="BB320" s="174"/>
      <c r="BC320" s="174"/>
      <c r="BD320" s="173" t="e">
        <f>BD324-BD327+BD328</f>
        <v>#REF!</v>
      </c>
      <c r="BE320" s="174"/>
      <c r="BF320" s="174"/>
      <c r="BG320" s="267" t="e">
        <f t="shared" si="117"/>
        <v>#REF!</v>
      </c>
      <c r="BH320" s="267" t="e">
        <f>BD320-#REF!</f>
        <v>#REF!</v>
      </c>
      <c r="BI320" s="267" t="e">
        <f t="shared" si="118"/>
        <v>#REF!</v>
      </c>
      <c r="BJ320" s="173">
        <f>BJ324-BJ327+BJ328</f>
        <v>0</v>
      </c>
      <c r="BK320" s="174"/>
      <c r="BL320" s="174"/>
      <c r="BM320" s="173">
        <f>BM324-BM327+BM328</f>
        <v>0</v>
      </c>
      <c r="BN320" s="174"/>
      <c r="BO320" s="174"/>
      <c r="BP320" s="267" t="e">
        <f t="shared" si="108"/>
        <v>#REF!</v>
      </c>
      <c r="BQ320" s="267">
        <f t="shared" si="109"/>
        <v>0</v>
      </c>
      <c r="BR320" s="173">
        <f>BR324-BR327+BR328</f>
        <v>0</v>
      </c>
      <c r="BS320" s="174"/>
      <c r="BT320" s="174"/>
      <c r="BU320" s="173">
        <f>BU324-BU327+BU328</f>
        <v>0</v>
      </c>
      <c r="BV320" s="174"/>
      <c r="BW320" s="174"/>
      <c r="BX320" s="267">
        <f t="shared" si="110"/>
        <v>0</v>
      </c>
      <c r="BY320" s="267">
        <f t="shared" si="111"/>
        <v>0</v>
      </c>
      <c r="BZ320" s="173">
        <f>BZ324-BZ327+BZ328</f>
        <v>0</v>
      </c>
      <c r="CA320" s="174"/>
      <c r="CB320" s="174"/>
      <c r="CC320" s="173">
        <f>CC324-CC327+CC328</f>
        <v>0</v>
      </c>
      <c r="CD320" s="174"/>
      <c r="CE320" s="174"/>
      <c r="CF320" s="267">
        <f t="shared" si="112"/>
        <v>0</v>
      </c>
      <c r="CG320" s="267">
        <f t="shared" si="113"/>
        <v>0</v>
      </c>
      <c r="CH320" s="173">
        <f>CH324-CH327+CH328</f>
        <v>0</v>
      </c>
      <c r="CI320" s="174"/>
      <c r="CJ320" s="174"/>
      <c r="CK320" s="173">
        <f>CK324-CK327+CK328</f>
        <v>0</v>
      </c>
      <c r="CL320" s="174"/>
      <c r="CM320" s="174"/>
      <c r="CN320" s="267">
        <f t="shared" si="114"/>
        <v>0</v>
      </c>
      <c r="CO320" s="267">
        <f t="shared" si="115"/>
        <v>0</v>
      </c>
      <c r="CP320" s="92"/>
      <c r="CQ320" s="90"/>
      <c r="CR320" s="90"/>
      <c r="CS320" s="90"/>
      <c r="CT320" s="227" t="e">
        <f t="shared" si="116"/>
        <v>#REF!</v>
      </c>
      <c r="CU320" s="238" t="e">
        <f>CU324-CU327+CU328</f>
        <v>#REF!</v>
      </c>
      <c r="CV320" s="92"/>
      <c r="CW320" s="92"/>
      <c r="CX320" s="92"/>
      <c r="CY320" s="92"/>
      <c r="CZ320" s="92"/>
      <c r="DA320" s="92"/>
      <c r="DB320" s="92"/>
    </row>
    <row r="321" spans="1:107" ht="26.25" customHeight="1" outlineLevel="1" x14ac:dyDescent="0.25">
      <c r="A321" s="2" t="b">
        <f t="array" ref="A321">A320</f>
        <v>1</v>
      </c>
      <c r="B321" s="8" t="b">
        <f t="array" ref="B321">A321</f>
        <v>1</v>
      </c>
      <c r="C321" s="2" t="s">
        <v>84</v>
      </c>
      <c r="D321" s="2" t="s">
        <v>85</v>
      </c>
      <c r="E321" s="2" t="s">
        <v>74</v>
      </c>
      <c r="F321" s="2" t="s">
        <v>75</v>
      </c>
      <c r="G321" s="2" t="s">
        <v>457</v>
      </c>
      <c r="H321" s="2" t="s">
        <v>74</v>
      </c>
      <c r="I321" s="2" t="s">
        <v>74</v>
      </c>
      <c r="J321" s="2" t="s">
        <v>74</v>
      </c>
      <c r="K321" s="5" t="s">
        <v>74</v>
      </c>
      <c r="L321" s="2" t="s">
        <v>136</v>
      </c>
      <c r="M321" s="8" t="str">
        <f t="array" ref="M321">Y107</f>
        <v>1ВО::1.1</v>
      </c>
      <c r="AA321" s="189" t="str">
        <f>AA320&amp;".1"</f>
        <v>4.1</v>
      </c>
      <c r="AB321" s="190" t="s">
        <v>457</v>
      </c>
      <c r="AC321" s="191" t="s">
        <v>114</v>
      </c>
      <c r="AD321" s="195"/>
      <c r="AE321" s="195"/>
      <c r="AF321" s="195"/>
      <c r="AG321" s="202"/>
      <c r="AH321" s="202"/>
      <c r="AI321" s="195">
        <f t="array" ref="AI321">AF321</f>
        <v>0</v>
      </c>
      <c r="AJ321" s="202"/>
      <c r="AK321" s="202"/>
      <c r="AL321" s="202"/>
      <c r="AM321" s="202"/>
      <c r="AN321" s="195" t="e">
        <f t="array" ref="AN321">#REF!</f>
        <v>#REF!</v>
      </c>
      <c r="AO321" s="195"/>
      <c r="AP321" s="202"/>
      <c r="AQ321" s="202"/>
      <c r="AR321" s="195">
        <f t="array" ref="AR321">AO321</f>
        <v>0</v>
      </c>
      <c r="AS321" s="202"/>
      <c r="AT321" s="202"/>
      <c r="AU321" s="195" t="e">
        <f t="array" ref="AU321">#REF!</f>
        <v>#REF!</v>
      </c>
      <c r="AV321" s="195"/>
      <c r="AW321" s="202"/>
      <c r="AX321" s="202"/>
      <c r="AY321" s="195">
        <f t="array" ref="AY321">AV321</f>
        <v>0</v>
      </c>
      <c r="AZ321" s="202"/>
      <c r="BA321" s="202"/>
      <c r="BB321" s="202"/>
      <c r="BC321" s="202"/>
      <c r="BD321" s="195"/>
      <c r="BE321" s="202"/>
      <c r="BF321" s="202"/>
      <c r="BG321" s="267">
        <f t="shared" si="117"/>
        <v>0</v>
      </c>
      <c r="BH321" s="267" t="e">
        <f>BD321-#REF!</f>
        <v>#REF!</v>
      </c>
      <c r="BI321" s="267">
        <f t="shared" si="118"/>
        <v>0</v>
      </c>
      <c r="BJ321" s="195"/>
      <c r="BK321" s="202"/>
      <c r="BL321" s="202"/>
      <c r="BM321" s="195"/>
      <c r="BN321" s="202"/>
      <c r="BO321" s="202"/>
      <c r="BP321" s="267">
        <f t="shared" si="108"/>
        <v>0</v>
      </c>
      <c r="BQ321" s="267">
        <f t="shared" si="109"/>
        <v>0</v>
      </c>
      <c r="BR321" s="195"/>
      <c r="BS321" s="202"/>
      <c r="BT321" s="202"/>
      <c r="BU321" s="195"/>
      <c r="BV321" s="202"/>
      <c r="BW321" s="202"/>
      <c r="BX321" s="267">
        <f t="shared" si="110"/>
        <v>0</v>
      </c>
      <c r="BY321" s="267">
        <f t="shared" si="111"/>
        <v>0</v>
      </c>
      <c r="BZ321" s="195"/>
      <c r="CA321" s="202"/>
      <c r="CB321" s="202"/>
      <c r="CC321" s="195"/>
      <c r="CD321" s="202"/>
      <c r="CE321" s="202"/>
      <c r="CF321" s="267">
        <f t="shared" si="112"/>
        <v>0</v>
      </c>
      <c r="CG321" s="267">
        <f t="shared" si="113"/>
        <v>0</v>
      </c>
      <c r="CH321" s="195"/>
      <c r="CI321" s="202"/>
      <c r="CJ321" s="202"/>
      <c r="CK321" s="195"/>
      <c r="CL321" s="202"/>
      <c r="CM321" s="202"/>
      <c r="CN321" s="267">
        <f t="shared" si="114"/>
        <v>0</v>
      </c>
      <c r="CO321" s="267">
        <f t="shared" si="115"/>
        <v>0</v>
      </c>
      <c r="CP321" s="92"/>
      <c r="CQ321" s="90"/>
      <c r="CR321" s="90"/>
      <c r="CS321" s="90"/>
      <c r="CT321" s="227" t="e">
        <f t="shared" si="116"/>
        <v>#REF!</v>
      </c>
      <c r="CU321" s="227">
        <f t="array" ref="CU321">BD321</f>
        <v>0</v>
      </c>
      <c r="CV321" s="92"/>
      <c r="CW321" s="92"/>
      <c r="CX321" s="92"/>
      <c r="CY321" s="92"/>
      <c r="CZ321" s="92"/>
      <c r="DA321" s="92"/>
      <c r="DB321" s="92"/>
    </row>
    <row r="322" spans="1:107" ht="39" customHeight="1" outlineLevel="1" x14ac:dyDescent="0.25">
      <c r="A322" s="2" t="b">
        <f t="array" ref="A322">A321</f>
        <v>1</v>
      </c>
      <c r="B322" s="8" t="b">
        <f t="array" ref="B322">A322</f>
        <v>1</v>
      </c>
      <c r="C322" s="2" t="s">
        <v>84</v>
      </c>
      <c r="D322" s="2" t="s">
        <v>85</v>
      </c>
      <c r="E322" s="2" t="s">
        <v>74</v>
      </c>
      <c r="F322" s="2" t="s">
        <v>75</v>
      </c>
      <c r="G322" s="2" t="s">
        <v>458</v>
      </c>
      <c r="H322" s="2" t="s">
        <v>74</v>
      </c>
      <c r="I322" s="2" t="s">
        <v>74</v>
      </c>
      <c r="J322" s="2" t="s">
        <v>74</v>
      </c>
      <c r="K322" s="5" t="s">
        <v>74</v>
      </c>
      <c r="L322" s="2" t="s">
        <v>136</v>
      </c>
      <c r="M322" s="8" t="str">
        <f t="array" ref="M322">Y107</f>
        <v>1ВО::1.1</v>
      </c>
      <c r="AA322" s="189" t="str">
        <f>AA320&amp;".2"</f>
        <v>4.2</v>
      </c>
      <c r="AB322" s="190" t="s">
        <v>459</v>
      </c>
      <c r="AC322" s="191" t="s">
        <v>114</v>
      </c>
      <c r="AD322" s="195"/>
      <c r="AE322" s="195"/>
      <c r="AF322" s="195"/>
      <c r="AG322" s="202"/>
      <c r="AH322" s="202"/>
      <c r="AI322" s="195">
        <f t="array" ref="AI322">AF322</f>
        <v>0</v>
      </c>
      <c r="AJ322" s="202"/>
      <c r="AK322" s="202"/>
      <c r="AL322" s="202"/>
      <c r="AM322" s="202"/>
      <c r="AN322" s="195" t="e">
        <f t="array" ref="AN322">#REF!</f>
        <v>#REF!</v>
      </c>
      <c r="AO322" s="195"/>
      <c r="AP322" s="202"/>
      <c r="AQ322" s="202"/>
      <c r="AR322" s="195">
        <f t="array" ref="AR322">AO322</f>
        <v>0</v>
      </c>
      <c r="AS322" s="202"/>
      <c r="AT322" s="202"/>
      <c r="AU322" s="195" t="e">
        <f t="array" ref="AU322">#REF!</f>
        <v>#REF!</v>
      </c>
      <c r="AV322" s="195"/>
      <c r="AW322" s="202"/>
      <c r="AX322" s="202"/>
      <c r="AY322" s="195">
        <f t="array" ref="AY322">AV322</f>
        <v>0</v>
      </c>
      <c r="AZ322" s="202"/>
      <c r="BA322" s="202"/>
      <c r="BB322" s="202"/>
      <c r="BC322" s="202"/>
      <c r="BD322" s="195">
        <f>IF(TYPE="Корректировка",BD294-AY294,0)</f>
        <v>0</v>
      </c>
      <c r="BE322" s="202"/>
      <c r="BF322" s="202"/>
      <c r="BG322" s="267">
        <f t="shared" si="117"/>
        <v>0</v>
      </c>
      <c r="BH322" s="267" t="e">
        <f>BD322-#REF!</f>
        <v>#REF!</v>
      </c>
      <c r="BI322" s="267">
        <f t="shared" si="118"/>
        <v>0</v>
      </c>
      <c r="BJ322" s="195"/>
      <c r="BK322" s="202"/>
      <c r="BL322" s="202"/>
      <c r="BM322" s="195"/>
      <c r="BN322" s="202"/>
      <c r="BO322" s="202"/>
      <c r="BP322" s="267">
        <f t="shared" si="108"/>
        <v>0</v>
      </c>
      <c r="BQ322" s="267">
        <f t="shared" si="109"/>
        <v>0</v>
      </c>
      <c r="BR322" s="195"/>
      <c r="BS322" s="202"/>
      <c r="BT322" s="202"/>
      <c r="BU322" s="195"/>
      <c r="BV322" s="202"/>
      <c r="BW322" s="202"/>
      <c r="BX322" s="267">
        <f t="shared" si="110"/>
        <v>0</v>
      </c>
      <c r="BY322" s="267">
        <f t="shared" si="111"/>
        <v>0</v>
      </c>
      <c r="BZ322" s="195"/>
      <c r="CA322" s="202"/>
      <c r="CB322" s="202"/>
      <c r="CC322" s="195"/>
      <c r="CD322" s="202"/>
      <c r="CE322" s="202"/>
      <c r="CF322" s="267">
        <f t="shared" si="112"/>
        <v>0</v>
      </c>
      <c r="CG322" s="267">
        <f t="shared" si="113"/>
        <v>0</v>
      </c>
      <c r="CH322" s="195"/>
      <c r="CI322" s="202"/>
      <c r="CJ322" s="202"/>
      <c r="CK322" s="195"/>
      <c r="CL322" s="202"/>
      <c r="CM322" s="202"/>
      <c r="CN322" s="267">
        <f t="shared" si="114"/>
        <v>0</v>
      </c>
      <c r="CO322" s="267">
        <f t="shared" si="115"/>
        <v>0</v>
      </c>
      <c r="CP322" s="92"/>
      <c r="CQ322" s="90"/>
      <c r="CR322" s="90"/>
      <c r="CS322" s="90"/>
      <c r="CT322" s="227" t="e">
        <f t="shared" si="116"/>
        <v>#REF!</v>
      </c>
      <c r="CU322" s="238">
        <f>IF(TYPE="Корректировка",CU294-CM294,0)</f>
        <v>0</v>
      </c>
      <c r="CV322" s="92"/>
      <c r="CW322" s="92"/>
      <c r="CX322" s="92"/>
      <c r="CY322" s="92"/>
      <c r="CZ322" s="92"/>
      <c r="DA322" s="92"/>
      <c r="DB322" s="92"/>
    </row>
    <row r="323" spans="1:107" ht="26.25" customHeight="1" outlineLevel="1" x14ac:dyDescent="0.25">
      <c r="A323" s="2" t="b">
        <f t="array" ref="A323">A322</f>
        <v>1</v>
      </c>
      <c r="B323" s="8" t="b">
        <f t="array" ref="B323">A323</f>
        <v>1</v>
      </c>
      <c r="C323" s="2" t="s">
        <v>84</v>
      </c>
      <c r="D323" s="2" t="s">
        <v>85</v>
      </c>
      <c r="E323" s="2" t="s">
        <v>74</v>
      </c>
      <c r="F323" s="2" t="s">
        <v>75</v>
      </c>
      <c r="G323" s="2" t="s">
        <v>460</v>
      </c>
      <c r="H323" s="2" t="s">
        <v>74</v>
      </c>
      <c r="I323" s="2" t="s">
        <v>74</v>
      </c>
      <c r="J323" s="2" t="s">
        <v>74</v>
      </c>
      <c r="K323" s="5" t="s">
        <v>74</v>
      </c>
      <c r="L323" s="2" t="s">
        <v>136</v>
      </c>
      <c r="M323" s="8" t="str">
        <f t="array" ref="M323">Y107</f>
        <v>1ВО::1.1</v>
      </c>
      <c r="AA323" s="189" t="str">
        <f>AA320&amp;".3"</f>
        <v>4.3</v>
      </c>
      <c r="AB323" s="190" t="s">
        <v>460</v>
      </c>
      <c r="AC323" s="191" t="s">
        <v>114</v>
      </c>
      <c r="AD323" s="195"/>
      <c r="AE323" s="195">
        <v>25568.3858213399</v>
      </c>
      <c r="AF323" s="195"/>
      <c r="AG323" s="202"/>
      <c r="AH323" s="202"/>
      <c r="AI323" s="195">
        <f t="array" ref="AI323">AF323</f>
        <v>0</v>
      </c>
      <c r="AJ323" s="202"/>
      <c r="AK323" s="202"/>
      <c r="AL323" s="202"/>
      <c r="AM323" s="202"/>
      <c r="AN323" s="195" t="e">
        <f t="array" ref="AN323">#REF!</f>
        <v>#REF!</v>
      </c>
      <c r="AO323" s="195"/>
      <c r="AP323" s="202"/>
      <c r="AQ323" s="202"/>
      <c r="AR323" s="195">
        <f t="array" ref="AR323">AO323</f>
        <v>0</v>
      </c>
      <c r="AS323" s="202"/>
      <c r="AT323" s="202"/>
      <c r="AU323" s="195" t="e">
        <f t="array" ref="AU323">#REF!</f>
        <v>#REF!</v>
      </c>
      <c r="AV323" s="195"/>
      <c r="AW323" s="202"/>
      <c r="AX323" s="202"/>
      <c r="AY323" s="195">
        <f t="array" ref="AY323">AV323</f>
        <v>0</v>
      </c>
      <c r="AZ323" s="202"/>
      <c r="BA323" s="202"/>
      <c r="BB323" s="202"/>
      <c r="BC323" s="202"/>
      <c r="BD323" s="195">
        <f>IF(TYPE="Корректировка",BD258-AY258,0)</f>
        <v>-139641.45097699718</v>
      </c>
      <c r="BE323" s="202"/>
      <c r="BF323" s="202"/>
      <c r="BG323" s="267">
        <f t="shared" si="117"/>
        <v>0</v>
      </c>
      <c r="BH323" s="267" t="e">
        <f>BD323-#REF!</f>
        <v>#REF!</v>
      </c>
      <c r="BI323" s="267">
        <f t="shared" si="118"/>
        <v>-139641.45097699718</v>
      </c>
      <c r="BJ323" s="195"/>
      <c r="BK323" s="202"/>
      <c r="BL323" s="202"/>
      <c r="BM323" s="195"/>
      <c r="BN323" s="202"/>
      <c r="BO323" s="202"/>
      <c r="BP323" s="267">
        <f t="shared" si="108"/>
        <v>0</v>
      </c>
      <c r="BQ323" s="267">
        <f t="shared" si="109"/>
        <v>0</v>
      </c>
      <c r="BR323" s="195"/>
      <c r="BS323" s="202"/>
      <c r="BT323" s="202"/>
      <c r="BU323" s="195"/>
      <c r="BV323" s="202"/>
      <c r="BW323" s="202"/>
      <c r="BX323" s="267">
        <f t="shared" si="110"/>
        <v>0</v>
      </c>
      <c r="BY323" s="267">
        <f t="shared" si="111"/>
        <v>0</v>
      </c>
      <c r="BZ323" s="195"/>
      <c r="CA323" s="202"/>
      <c r="CB323" s="202"/>
      <c r="CC323" s="195"/>
      <c r="CD323" s="202"/>
      <c r="CE323" s="202"/>
      <c r="CF323" s="267">
        <f t="shared" si="112"/>
        <v>0</v>
      </c>
      <c r="CG323" s="267">
        <f t="shared" si="113"/>
        <v>0</v>
      </c>
      <c r="CH323" s="195"/>
      <c r="CI323" s="202"/>
      <c r="CJ323" s="202"/>
      <c r="CK323" s="195"/>
      <c r="CL323" s="202"/>
      <c r="CM323" s="202"/>
      <c r="CN323" s="267">
        <f t="shared" si="114"/>
        <v>0</v>
      </c>
      <c r="CO323" s="267">
        <f t="shared" si="115"/>
        <v>0</v>
      </c>
      <c r="CP323" s="92"/>
      <c r="CQ323" s="90"/>
      <c r="CR323" s="90"/>
      <c r="CS323" s="90"/>
      <c r="CT323" s="227" t="e">
        <f t="shared" si="116"/>
        <v>#REF!</v>
      </c>
      <c r="CU323" s="227">
        <f t="array" ref="CU323">BD323</f>
        <v>-139641.45097699718</v>
      </c>
      <c r="CV323" s="92"/>
      <c r="CW323" s="92"/>
      <c r="CX323" s="92"/>
      <c r="CY323" s="92"/>
      <c r="CZ323" s="92"/>
      <c r="DA323" s="92"/>
      <c r="DB323" s="92"/>
    </row>
    <row r="324" spans="1:107" ht="39.75" customHeight="1" outlineLevel="1" x14ac:dyDescent="0.25">
      <c r="A324" s="2" t="b">
        <f t="array" ref="A324">A323</f>
        <v>1</v>
      </c>
      <c r="B324" s="8" t="b">
        <f t="array" ref="B324">A324</f>
        <v>1</v>
      </c>
      <c r="C324" s="2" t="s">
        <v>84</v>
      </c>
      <c r="D324" s="2" t="s">
        <v>85</v>
      </c>
      <c r="E324" s="2" t="s">
        <v>74</v>
      </c>
      <c r="F324" s="2" t="s">
        <v>75</v>
      </c>
      <c r="G324" s="2" t="s">
        <v>461</v>
      </c>
      <c r="H324" s="2" t="s">
        <v>74</v>
      </c>
      <c r="I324" s="2" t="s">
        <v>74</v>
      </c>
      <c r="J324" s="2" t="s">
        <v>74</v>
      </c>
      <c r="K324" s="5" t="s">
        <v>74</v>
      </c>
      <c r="L324" s="2" t="s">
        <v>136</v>
      </c>
      <c r="M324" s="8" t="str">
        <f t="array" ref="M324">Y107</f>
        <v>1ВО::1.1</v>
      </c>
      <c r="AA324" s="191" t="str">
        <f>AA320&amp;".4"</f>
        <v>4.4</v>
      </c>
      <c r="AB324" s="190" t="s">
        <v>461</v>
      </c>
      <c r="AC324" s="191" t="s">
        <v>114</v>
      </c>
      <c r="AD324" s="195"/>
      <c r="AE324" s="195">
        <v>-116650.58</v>
      </c>
      <c r="AF324" s="195"/>
      <c r="AG324" s="202"/>
      <c r="AH324" s="202"/>
      <c r="AI324" s="195">
        <f t="array" ref="AI324">AF324</f>
        <v>0</v>
      </c>
      <c r="AJ324" s="202"/>
      <c r="AK324" s="202"/>
      <c r="AL324" s="202"/>
      <c r="AM324" s="202"/>
      <c r="AN324" s="195" t="e">
        <f t="array" ref="AN324">#REF!</f>
        <v>#REF!</v>
      </c>
      <c r="AO324" s="195"/>
      <c r="AP324" s="202"/>
      <c r="AQ324" s="202"/>
      <c r="AR324" s="195">
        <f t="array" ref="AR324">AO324</f>
        <v>0</v>
      </c>
      <c r="AS324" s="202"/>
      <c r="AT324" s="202"/>
      <c r="AU324" s="195" t="e">
        <f t="array" ref="AU324">#REF!</f>
        <v>#REF!</v>
      </c>
      <c r="AV324" s="195">
        <v>-88430.1</v>
      </c>
      <c r="AW324" s="202"/>
      <c r="AX324" s="202"/>
      <c r="AY324" s="195">
        <v>-88430.1</v>
      </c>
      <c r="AZ324" s="202"/>
      <c r="BA324" s="202"/>
      <c r="BB324" s="202"/>
      <c r="BC324" s="202"/>
      <c r="BD324" s="195">
        <f>IF(AI326=0,0,AI325*(AN326/AI326-1))</f>
        <v>0</v>
      </c>
      <c r="BE324" s="202"/>
      <c r="BF324" s="202"/>
      <c r="BG324" s="267">
        <f t="shared" si="117"/>
        <v>0</v>
      </c>
      <c r="BH324" s="267" t="e">
        <f>BD324-#REF!</f>
        <v>#REF!</v>
      </c>
      <c r="BI324" s="267">
        <f t="shared" si="118"/>
        <v>88430.1</v>
      </c>
      <c r="BJ324" s="195"/>
      <c r="BK324" s="202"/>
      <c r="BL324" s="202"/>
      <c r="BM324" s="195"/>
      <c r="BN324" s="202"/>
      <c r="BO324" s="202"/>
      <c r="BP324" s="267">
        <f t="shared" si="108"/>
        <v>0</v>
      </c>
      <c r="BQ324" s="267">
        <f t="shared" si="109"/>
        <v>0</v>
      </c>
      <c r="BR324" s="195"/>
      <c r="BS324" s="202"/>
      <c r="BT324" s="202"/>
      <c r="BU324" s="195"/>
      <c r="BV324" s="202"/>
      <c r="BW324" s="202"/>
      <c r="BX324" s="267">
        <f t="shared" si="110"/>
        <v>0</v>
      </c>
      <c r="BY324" s="267">
        <f t="shared" si="111"/>
        <v>0</v>
      </c>
      <c r="BZ324" s="195"/>
      <c r="CA324" s="202"/>
      <c r="CB324" s="202"/>
      <c r="CC324" s="195"/>
      <c r="CD324" s="202"/>
      <c r="CE324" s="202"/>
      <c r="CF324" s="267">
        <f t="shared" si="112"/>
        <v>0</v>
      </c>
      <c r="CG324" s="267">
        <f t="shared" si="113"/>
        <v>0</v>
      </c>
      <c r="CH324" s="195"/>
      <c r="CI324" s="202"/>
      <c r="CJ324" s="202"/>
      <c r="CK324" s="195"/>
      <c r="CL324" s="202"/>
      <c r="CM324" s="202"/>
      <c r="CN324" s="267">
        <f t="shared" si="114"/>
        <v>0</v>
      </c>
      <c r="CO324" s="267">
        <f t="shared" si="115"/>
        <v>0</v>
      </c>
      <c r="CP324" s="92"/>
      <c r="CQ324" s="90"/>
      <c r="CR324" s="90"/>
      <c r="CS324" s="90"/>
      <c r="CT324" s="227" t="e">
        <f t="shared" si="116"/>
        <v>#REF!</v>
      </c>
      <c r="CU324" s="227">
        <f t="array" ref="CU324">BD324</f>
        <v>0</v>
      </c>
      <c r="CV324" s="92"/>
      <c r="CW324" s="92"/>
      <c r="CX324" s="92"/>
      <c r="CY324" s="92"/>
      <c r="CZ324" s="92"/>
      <c r="DA324" s="92"/>
      <c r="DB324" s="92"/>
    </row>
    <row r="325" spans="1:107" ht="90" customHeight="1" outlineLevel="2" x14ac:dyDescent="0.25">
      <c r="A325" s="2" t="b">
        <f t="array" ref="A325">A324</f>
        <v>1</v>
      </c>
      <c r="B325" s="8" t="b">
        <f t="array" ref="B325">A325</f>
        <v>1</v>
      </c>
      <c r="C325" s="2" t="s">
        <v>84</v>
      </c>
      <c r="D325" s="2" t="s">
        <v>85</v>
      </c>
      <c r="E325" s="2" t="s">
        <v>74</v>
      </c>
      <c r="F325" s="2" t="s">
        <v>75</v>
      </c>
      <c r="G325" s="2" t="s">
        <v>462</v>
      </c>
      <c r="H325" s="2" t="s">
        <v>74</v>
      </c>
      <c r="I325" s="2" t="s">
        <v>74</v>
      </c>
      <c r="J325" s="2" t="s">
        <v>74</v>
      </c>
      <c r="K325" s="5" t="s">
        <v>74</v>
      </c>
      <c r="L325" s="2" t="s">
        <v>136</v>
      </c>
      <c r="M325" s="8" t="str">
        <f t="array" ref="M325">Y107</f>
        <v>1ВО::1.1</v>
      </c>
      <c r="AA325" s="107" t="str">
        <f>AA324&amp;".1"</f>
        <v>4.4.1</v>
      </c>
      <c r="AB325" s="171" t="s">
        <v>463</v>
      </c>
      <c r="AC325" s="206" t="s">
        <v>114</v>
      </c>
      <c r="AD325" s="195"/>
      <c r="AE325" s="195">
        <v>145429.84</v>
      </c>
      <c r="AF325" s="195"/>
      <c r="AG325" s="202"/>
      <c r="AH325" s="202"/>
      <c r="AI325" s="195">
        <f t="array" ref="AI325">AF325</f>
        <v>0</v>
      </c>
      <c r="AJ325" s="202"/>
      <c r="AK325" s="202"/>
      <c r="AL325" s="202"/>
      <c r="AM325" s="202"/>
      <c r="AN325" s="195" t="e">
        <f t="array" ref="AN325">#REF!</f>
        <v>#REF!</v>
      </c>
      <c r="AO325" s="195"/>
      <c r="AP325" s="202"/>
      <c r="AQ325" s="202"/>
      <c r="AR325" s="195">
        <f t="array" ref="AR325">AO325</f>
        <v>0</v>
      </c>
      <c r="AS325" s="202"/>
      <c r="AT325" s="202"/>
      <c r="AU325" s="195" t="e">
        <f t="array" ref="AU325">#REF!</f>
        <v>#REF!</v>
      </c>
      <c r="AV325" s="195"/>
      <c r="AW325" s="202"/>
      <c r="AX325" s="202"/>
      <c r="AY325" s="195">
        <f t="array" ref="AY325">AV325</f>
        <v>0</v>
      </c>
      <c r="AZ325" s="202"/>
      <c r="BA325" s="202"/>
      <c r="BB325" s="202"/>
      <c r="BC325" s="202"/>
      <c r="BD325" s="195"/>
      <c r="BE325" s="202"/>
      <c r="BF325" s="202"/>
      <c r="BG325" s="267">
        <f t="shared" si="117"/>
        <v>0</v>
      </c>
      <c r="BH325" s="267" t="e">
        <f>BD325-#REF!</f>
        <v>#REF!</v>
      </c>
      <c r="BI325" s="267">
        <f t="shared" si="118"/>
        <v>0</v>
      </c>
      <c r="BJ325" s="195"/>
      <c r="BK325" s="202"/>
      <c r="BL325" s="202"/>
      <c r="BM325" s="195"/>
      <c r="BN325" s="202"/>
      <c r="BO325" s="202"/>
      <c r="BP325" s="267">
        <f t="shared" si="108"/>
        <v>0</v>
      </c>
      <c r="BQ325" s="267">
        <f t="shared" si="109"/>
        <v>0</v>
      </c>
      <c r="BR325" s="195"/>
      <c r="BS325" s="202"/>
      <c r="BT325" s="202"/>
      <c r="BU325" s="195"/>
      <c r="BV325" s="202"/>
      <c r="BW325" s="202"/>
      <c r="BX325" s="267">
        <f t="shared" si="110"/>
        <v>0</v>
      </c>
      <c r="BY325" s="267">
        <f t="shared" si="111"/>
        <v>0</v>
      </c>
      <c r="BZ325" s="195"/>
      <c r="CA325" s="202"/>
      <c r="CB325" s="202"/>
      <c r="CC325" s="195"/>
      <c r="CD325" s="202"/>
      <c r="CE325" s="202"/>
      <c r="CF325" s="267">
        <f t="shared" si="112"/>
        <v>0</v>
      </c>
      <c r="CG325" s="267">
        <f t="shared" si="113"/>
        <v>0</v>
      </c>
      <c r="CH325" s="195"/>
      <c r="CI325" s="202"/>
      <c r="CJ325" s="202"/>
      <c r="CK325" s="195"/>
      <c r="CL325" s="202"/>
      <c r="CM325" s="202"/>
      <c r="CN325" s="267">
        <f t="shared" si="114"/>
        <v>0</v>
      </c>
      <c r="CO325" s="267">
        <f t="shared" si="115"/>
        <v>0</v>
      </c>
      <c r="CP325" s="92"/>
      <c r="CQ325" s="90"/>
      <c r="CR325" s="90"/>
      <c r="CS325" s="90"/>
      <c r="CT325" s="227" t="e">
        <f t="shared" si="116"/>
        <v>#REF!</v>
      </c>
      <c r="CU325" s="227">
        <f t="array" ref="CU325">BD325</f>
        <v>0</v>
      </c>
      <c r="CV325" s="92"/>
      <c r="CW325" s="92"/>
      <c r="CX325" s="92"/>
      <c r="CY325" s="92"/>
      <c r="CZ325" s="92"/>
      <c r="DA325" s="92"/>
      <c r="DB325" s="92"/>
    </row>
    <row r="326" spans="1:107" ht="62.25" customHeight="1" outlineLevel="2" x14ac:dyDescent="0.25">
      <c r="A326" s="2" t="b">
        <f t="array" ref="A326">A325</f>
        <v>1</v>
      </c>
      <c r="B326" s="8" t="b">
        <f t="array" ref="B326">A326</f>
        <v>1</v>
      </c>
      <c r="C326" s="2" t="s">
        <v>84</v>
      </c>
      <c r="D326" s="2" t="s">
        <v>85</v>
      </c>
      <c r="E326" s="2" t="s">
        <v>74</v>
      </c>
      <c r="F326" s="2" t="s">
        <v>75</v>
      </c>
      <c r="G326" s="2" t="s">
        <v>464</v>
      </c>
      <c r="H326" s="2" t="s">
        <v>74</v>
      </c>
      <c r="I326" s="2" t="s">
        <v>74</v>
      </c>
      <c r="J326" s="2" t="s">
        <v>74</v>
      </c>
      <c r="K326" s="5" t="s">
        <v>74</v>
      </c>
      <c r="L326" s="2" t="s">
        <v>136</v>
      </c>
      <c r="M326" s="8" t="str">
        <f t="array" ref="M326">Y107</f>
        <v>1ВО::1.1</v>
      </c>
      <c r="AA326" s="107" t="str">
        <f>AA324&amp;".2"</f>
        <v>4.4.2</v>
      </c>
      <c r="AB326" s="171" t="s">
        <v>465</v>
      </c>
      <c r="AC326" s="206" t="s">
        <v>114</v>
      </c>
      <c r="AD326" s="195"/>
      <c r="AE326" s="195">
        <v>292839.09999999998</v>
      </c>
      <c r="AF326" s="195"/>
      <c r="AG326" s="202"/>
      <c r="AH326" s="202"/>
      <c r="AI326" s="195">
        <f t="array" ref="AI326">AF326</f>
        <v>0</v>
      </c>
      <c r="AJ326" s="202"/>
      <c r="AK326" s="202"/>
      <c r="AL326" s="202"/>
      <c r="AM326" s="202"/>
      <c r="AN326" s="195" t="e">
        <f t="array" ref="AN326">#REF!</f>
        <v>#REF!</v>
      </c>
      <c r="AO326" s="195"/>
      <c r="AP326" s="202"/>
      <c r="AQ326" s="202"/>
      <c r="AR326" s="195">
        <f t="array" ref="AR326">AO326</f>
        <v>0</v>
      </c>
      <c r="AS326" s="202"/>
      <c r="AT326" s="202"/>
      <c r="AU326" s="195" t="e">
        <f t="array" ref="AU326">#REF!</f>
        <v>#REF!</v>
      </c>
      <c r="AV326" s="195"/>
      <c r="AW326" s="202"/>
      <c r="AX326" s="202"/>
      <c r="AY326" s="195">
        <f t="array" ref="AY326">AV326</f>
        <v>0</v>
      </c>
      <c r="AZ326" s="202"/>
      <c r="BA326" s="202"/>
      <c r="BB326" s="202"/>
      <c r="BC326" s="202"/>
      <c r="BD326" s="195"/>
      <c r="BE326" s="202"/>
      <c r="BF326" s="202"/>
      <c r="BG326" s="267">
        <f t="shared" si="117"/>
        <v>0</v>
      </c>
      <c r="BH326" s="267" t="e">
        <f>BD326-#REF!</f>
        <v>#REF!</v>
      </c>
      <c r="BI326" s="267">
        <f t="shared" si="118"/>
        <v>0</v>
      </c>
      <c r="BJ326" s="195"/>
      <c r="BK326" s="202"/>
      <c r="BL326" s="202"/>
      <c r="BM326" s="195"/>
      <c r="BN326" s="202"/>
      <c r="BO326" s="202"/>
      <c r="BP326" s="267">
        <f t="shared" si="108"/>
        <v>0</v>
      </c>
      <c r="BQ326" s="267">
        <f t="shared" si="109"/>
        <v>0</v>
      </c>
      <c r="BR326" s="195"/>
      <c r="BS326" s="202"/>
      <c r="BT326" s="202"/>
      <c r="BU326" s="195"/>
      <c r="BV326" s="202"/>
      <c r="BW326" s="202"/>
      <c r="BX326" s="267">
        <f t="shared" si="110"/>
        <v>0</v>
      </c>
      <c r="BY326" s="267">
        <f t="shared" si="111"/>
        <v>0</v>
      </c>
      <c r="BZ326" s="195"/>
      <c r="CA326" s="202"/>
      <c r="CB326" s="202"/>
      <c r="CC326" s="195"/>
      <c r="CD326" s="202"/>
      <c r="CE326" s="202"/>
      <c r="CF326" s="267">
        <f t="shared" si="112"/>
        <v>0</v>
      </c>
      <c r="CG326" s="267">
        <f t="shared" si="113"/>
        <v>0</v>
      </c>
      <c r="CH326" s="195"/>
      <c r="CI326" s="202"/>
      <c r="CJ326" s="202"/>
      <c r="CK326" s="195"/>
      <c r="CL326" s="202"/>
      <c r="CM326" s="202"/>
      <c r="CN326" s="267">
        <f t="shared" si="114"/>
        <v>0</v>
      </c>
      <c r="CO326" s="267">
        <f t="shared" si="115"/>
        <v>0</v>
      </c>
      <c r="CP326" s="92"/>
      <c r="CQ326" s="90"/>
      <c r="CR326" s="90"/>
      <c r="CS326" s="90"/>
      <c r="CT326" s="227" t="e">
        <f t="shared" si="116"/>
        <v>#REF!</v>
      </c>
      <c r="CU326" s="227">
        <f t="array" ref="CU326">BD326</f>
        <v>0</v>
      </c>
      <c r="CV326" s="92"/>
      <c r="CW326" s="92"/>
      <c r="CX326" s="92"/>
      <c r="CY326" s="92"/>
      <c r="CZ326" s="92"/>
      <c r="DA326" s="92"/>
      <c r="DB326" s="92"/>
    </row>
    <row r="327" spans="1:107" ht="115.5" customHeight="1" outlineLevel="1" x14ac:dyDescent="0.25">
      <c r="A327" s="2" t="b">
        <f t="array" ref="A327">A326</f>
        <v>1</v>
      </c>
      <c r="B327" s="8" t="b">
        <f t="array" ref="B327">A327</f>
        <v>1</v>
      </c>
      <c r="C327" s="2" t="s">
        <v>84</v>
      </c>
      <c r="D327" s="2" t="s">
        <v>85</v>
      </c>
      <c r="E327" s="2" t="s">
        <v>74</v>
      </c>
      <c r="F327" s="2" t="s">
        <v>75</v>
      </c>
      <c r="G327" s="2" t="s">
        <v>466</v>
      </c>
      <c r="H327" s="2" t="s">
        <v>74</v>
      </c>
      <c r="I327" s="2" t="s">
        <v>74</v>
      </c>
      <c r="J327" s="2" t="s">
        <v>74</v>
      </c>
      <c r="K327" s="5" t="s">
        <v>74</v>
      </c>
      <c r="L327" s="2" t="s">
        <v>136</v>
      </c>
      <c r="M327" s="8" t="str">
        <f t="array" ref="M327">Y107</f>
        <v>1ВО::1.1</v>
      </c>
      <c r="AA327" s="191" t="str">
        <f>AA320&amp;".5"</f>
        <v>4.5</v>
      </c>
      <c r="AB327" s="190" t="s">
        <v>467</v>
      </c>
      <c r="AC327" s="191" t="s">
        <v>114</v>
      </c>
      <c r="AD327" s="195"/>
      <c r="AE327" s="195"/>
      <c r="AF327" s="195">
        <v>160035.85624751801</v>
      </c>
      <c r="AG327" s="202"/>
      <c r="AH327" s="202"/>
      <c r="AI327" s="195">
        <v>160035.85624751801</v>
      </c>
      <c r="AJ327" s="202"/>
      <c r="AK327" s="202"/>
      <c r="AL327" s="202"/>
      <c r="AM327" s="202"/>
      <c r="AN327" s="195" t="e">
        <f t="array" ref="AN327">#REF!</f>
        <v>#REF!</v>
      </c>
      <c r="AO327" s="195"/>
      <c r="AP327" s="202"/>
      <c r="AQ327" s="202"/>
      <c r="AR327" s="195">
        <f t="array" ref="AR327">AO327</f>
        <v>0</v>
      </c>
      <c r="AS327" s="202"/>
      <c r="AT327" s="202"/>
      <c r="AU327" s="195" t="e">
        <f t="array" ref="AU327">#REF!</f>
        <v>#REF!</v>
      </c>
      <c r="AV327" s="195"/>
      <c r="AW327" s="202"/>
      <c r="AX327" s="202"/>
      <c r="AY327" s="195">
        <f t="array" ref="AY327">AV327</f>
        <v>0</v>
      </c>
      <c r="AZ327" s="202"/>
      <c r="BA327" s="202"/>
      <c r="BB327" s="202"/>
      <c r="BC327" s="202"/>
      <c r="BD327" s="195">
        <f>IF(TYPE="Корректировка",MIN(AY340*0.03,MIN(1-[1]Показатели!AO123,0.03)*AI340*(1+AU114)*(1+BD114)),IF(PREVIOUS_REGULATION_METHODS="Метод индексации",MIN(BD156*0.03,MIN(1-[1]Показатели!AO123,0.03)*AI340*(1+AU114)*(1+BD114)),0))</f>
        <v>26220.255145288189</v>
      </c>
      <c r="BE327" s="202"/>
      <c r="BF327" s="202"/>
      <c r="BG327" s="267">
        <f t="shared" si="117"/>
        <v>0</v>
      </c>
      <c r="BH327" s="267" t="e">
        <f>BD327-#REF!</f>
        <v>#REF!</v>
      </c>
      <c r="BI327" s="267">
        <f t="shared" si="118"/>
        <v>26220.255145288189</v>
      </c>
      <c r="BJ327" s="195"/>
      <c r="BK327" s="202"/>
      <c r="BL327" s="202"/>
      <c r="BM327" s="195"/>
      <c r="BN327" s="202"/>
      <c r="BO327" s="202"/>
      <c r="BP327" s="267">
        <f t="shared" si="108"/>
        <v>0</v>
      </c>
      <c r="BQ327" s="267">
        <f t="shared" si="109"/>
        <v>0</v>
      </c>
      <c r="BR327" s="195"/>
      <c r="BS327" s="202"/>
      <c r="BT327" s="202"/>
      <c r="BU327" s="195"/>
      <c r="BV327" s="202"/>
      <c r="BW327" s="202"/>
      <c r="BX327" s="267">
        <f t="shared" si="110"/>
        <v>0</v>
      </c>
      <c r="BY327" s="267">
        <f t="shared" si="111"/>
        <v>0</v>
      </c>
      <c r="BZ327" s="195"/>
      <c r="CA327" s="202"/>
      <c r="CB327" s="202"/>
      <c r="CC327" s="195"/>
      <c r="CD327" s="202"/>
      <c r="CE327" s="202"/>
      <c r="CF327" s="267">
        <f t="shared" si="112"/>
        <v>0</v>
      </c>
      <c r="CG327" s="267">
        <f t="shared" si="113"/>
        <v>0</v>
      </c>
      <c r="CH327" s="195"/>
      <c r="CI327" s="202"/>
      <c r="CJ327" s="202"/>
      <c r="CK327" s="195"/>
      <c r="CL327" s="202"/>
      <c r="CM327" s="202"/>
      <c r="CN327" s="267">
        <f t="shared" si="114"/>
        <v>0</v>
      </c>
      <c r="CO327" s="267">
        <f t="shared" si="115"/>
        <v>0</v>
      </c>
      <c r="CP327" s="92"/>
      <c r="CQ327" s="90"/>
      <c r="CR327" s="90"/>
      <c r="CS327" s="90"/>
      <c r="CT327" s="227" t="e">
        <f t="shared" si="116"/>
        <v>#REF!</v>
      </c>
      <c r="CU327" s="227">
        <f t="array" ref="CU327">BD327</f>
        <v>26220.255145288189</v>
      </c>
      <c r="CV327" s="92"/>
      <c r="CW327" s="92"/>
      <c r="CX327" s="92"/>
      <c r="CY327" s="92"/>
      <c r="CZ327" s="92"/>
      <c r="DA327" s="92"/>
      <c r="DB327" s="92"/>
    </row>
    <row r="328" spans="1:107" ht="37.5" customHeight="1" outlineLevel="1" x14ac:dyDescent="0.25">
      <c r="A328" s="2" t="b">
        <f t="array" ref="A328">A327</f>
        <v>1</v>
      </c>
      <c r="B328" s="8" t="b">
        <f t="array" ref="B328">A328</f>
        <v>1</v>
      </c>
      <c r="C328" s="2" t="s">
        <v>84</v>
      </c>
      <c r="D328" s="2" t="s">
        <v>85</v>
      </c>
      <c r="E328" s="2" t="s">
        <v>74</v>
      </c>
      <c r="F328" s="2" t="s">
        <v>75</v>
      </c>
      <c r="G328" s="2" t="s">
        <v>468</v>
      </c>
      <c r="H328" s="2" t="s">
        <v>74</v>
      </c>
      <c r="I328" s="2" t="s">
        <v>74</v>
      </c>
      <c r="J328" s="2" t="s">
        <v>74</v>
      </c>
      <c r="K328" s="5" t="s">
        <v>74</v>
      </c>
      <c r="L328" s="2" t="s">
        <v>136</v>
      </c>
      <c r="M328" s="8" t="str">
        <f t="array" ref="M328">Y107</f>
        <v>1ВО::1.1</v>
      </c>
      <c r="AA328" s="191" t="str">
        <f>AA320&amp;".6"</f>
        <v>4.6</v>
      </c>
      <c r="AB328" s="190" t="s">
        <v>468</v>
      </c>
      <c r="AC328" s="191" t="s">
        <v>114</v>
      </c>
      <c r="AD328" s="195">
        <v>48503.775000000001</v>
      </c>
      <c r="AE328" s="195">
        <v>49914.54</v>
      </c>
      <c r="AF328" s="195">
        <v>-34761.957207692998</v>
      </c>
      <c r="AG328" s="202"/>
      <c r="AH328" s="202"/>
      <c r="AI328" s="195">
        <v>-34761.957207692998</v>
      </c>
      <c r="AJ328" s="202"/>
      <c r="AK328" s="202"/>
      <c r="AL328" s="202"/>
      <c r="AM328" s="202"/>
      <c r="AN328" s="195" t="e">
        <f t="array" ref="AN328">#REF!</f>
        <v>#REF!</v>
      </c>
      <c r="AO328" s="195">
        <v>-61645.935585296</v>
      </c>
      <c r="AP328" s="202"/>
      <c r="AQ328" s="202"/>
      <c r="AR328" s="195">
        <v>-61645.935585296</v>
      </c>
      <c r="AS328" s="202"/>
      <c r="AT328" s="202"/>
      <c r="AU328" s="195" t="e">
        <f t="array" ref="AU328">#REF!</f>
        <v>#REF!</v>
      </c>
      <c r="AV328" s="195"/>
      <c r="AW328" s="202"/>
      <c r="AX328" s="202"/>
      <c r="AY328" s="195">
        <f t="array" ref="AY328">AV328</f>
        <v>0</v>
      </c>
      <c r="AZ328" s="202"/>
      <c r="BA328" s="202"/>
      <c r="BB328" s="202"/>
      <c r="BC328" s="202"/>
      <c r="BD328" s="195" t="e">
        <f t="array" ref="BD328">IF('[1]Список листов'!$A$53,'[1]Корр по периодам'!AG90,'[1]Корр по факту'!AF103)</f>
        <v>#REF!</v>
      </c>
      <c r="BE328" s="202"/>
      <c r="BF328" s="202"/>
      <c r="BG328" s="267" t="e">
        <f t="shared" si="117"/>
        <v>#REF!</v>
      </c>
      <c r="BH328" s="267" t="e">
        <f>BD328-#REF!</f>
        <v>#REF!</v>
      </c>
      <c r="BI328" s="267" t="e">
        <f t="shared" si="118"/>
        <v>#REF!</v>
      </c>
      <c r="BJ328" s="195"/>
      <c r="BK328" s="202"/>
      <c r="BL328" s="202"/>
      <c r="BM328" s="195">
        <f t="array" ref="BM328">IF('[1]Список листов'!$A$53,'[1]Корр по периодам'!AH90,0)</f>
        <v>0</v>
      </c>
      <c r="BN328" s="202"/>
      <c r="BO328" s="202"/>
      <c r="BP328" s="267" t="e">
        <f t="shared" si="108"/>
        <v>#REF!</v>
      </c>
      <c r="BQ328" s="267">
        <f t="shared" si="109"/>
        <v>0</v>
      </c>
      <c r="BR328" s="195"/>
      <c r="BS328" s="202"/>
      <c r="BT328" s="202"/>
      <c r="BU328" s="195">
        <f t="array" ref="BU328">IF('[1]Список листов'!$A$53,'[1]Корр по периодам'!AI90,0)</f>
        <v>0</v>
      </c>
      <c r="BV328" s="202"/>
      <c r="BW328" s="202"/>
      <c r="BX328" s="267">
        <f t="shared" si="110"/>
        <v>0</v>
      </c>
      <c r="BY328" s="267">
        <f t="shared" si="111"/>
        <v>0</v>
      </c>
      <c r="BZ328" s="195"/>
      <c r="CA328" s="202"/>
      <c r="CB328" s="202"/>
      <c r="CC328" s="195">
        <f t="array" ref="CC328">IF('[1]Список листов'!$A$53,'[1]Корр по периодам'!AJ90,0)</f>
        <v>0</v>
      </c>
      <c r="CD328" s="202"/>
      <c r="CE328" s="202"/>
      <c r="CF328" s="267">
        <f t="shared" si="112"/>
        <v>0</v>
      </c>
      <c r="CG328" s="267">
        <f t="shared" si="113"/>
        <v>0</v>
      </c>
      <c r="CH328" s="195"/>
      <c r="CI328" s="202"/>
      <c r="CJ328" s="202"/>
      <c r="CK328" s="195">
        <f t="array" ref="CK328">IF('[1]Список листов'!$A$53,'[1]Корр по периодам'!AK90,0)</f>
        <v>0</v>
      </c>
      <c r="CL328" s="202"/>
      <c r="CM328" s="202"/>
      <c r="CN328" s="267">
        <f t="shared" si="114"/>
        <v>0</v>
      </c>
      <c r="CO328" s="267">
        <f t="shared" si="115"/>
        <v>0</v>
      </c>
      <c r="CP328" s="92"/>
      <c r="CQ328" s="90"/>
      <c r="CR328" s="90"/>
      <c r="CS328" s="90"/>
      <c r="CT328" s="227" t="e">
        <f t="shared" si="116"/>
        <v>#REF!</v>
      </c>
      <c r="CU328" s="227" t="e">
        <f t="array" ref="CU328">BD328</f>
        <v>#REF!</v>
      </c>
      <c r="CV328" s="92"/>
      <c r="CW328" s="92"/>
      <c r="CX328" s="92"/>
      <c r="CY328" s="92"/>
      <c r="CZ328" s="92"/>
      <c r="DA328" s="92"/>
      <c r="DB328" s="92"/>
    </row>
    <row r="329" spans="1:107" ht="14.25" customHeight="1" x14ac:dyDescent="0.25">
      <c r="A329" s="2" t="b">
        <f>REGULATION_METHODS="Метод индексации"</f>
        <v>1</v>
      </c>
      <c r="B329" s="8" t="b">
        <f t="array" ref="B329">A329</f>
        <v>1</v>
      </c>
      <c r="C329" s="2" t="s">
        <v>84</v>
      </c>
      <c r="D329" s="2" t="s">
        <v>85</v>
      </c>
      <c r="E329" s="2" t="s">
        <v>74</v>
      </c>
      <c r="F329" s="2" t="s">
        <v>75</v>
      </c>
      <c r="G329" s="2" t="s">
        <v>469</v>
      </c>
      <c r="H329" s="2" t="s">
        <v>74</v>
      </c>
      <c r="I329" s="2" t="s">
        <v>74</v>
      </c>
      <c r="J329" s="2" t="s">
        <v>74</v>
      </c>
      <c r="K329" s="5" t="s">
        <v>74</v>
      </c>
      <c r="L329" s="2" t="s">
        <v>136</v>
      </c>
      <c r="M329" s="8" t="str">
        <f t="array" ref="M329">Y107</f>
        <v>1ВО::1.1</v>
      </c>
      <c r="AA329" s="146">
        <f>COUNT(AA320,AA156,AA110)+2</f>
        <v>5</v>
      </c>
      <c r="AB329" s="186" t="s">
        <v>470</v>
      </c>
      <c r="AC329" s="146" t="s">
        <v>114</v>
      </c>
      <c r="AD329" s="195">
        <v>-75412.733999999997</v>
      </c>
      <c r="AE329" s="195">
        <v>19918.71</v>
      </c>
      <c r="AF329" s="195">
        <v>14639.1791297652</v>
      </c>
      <c r="AG329" s="202"/>
      <c r="AH329" s="202"/>
      <c r="AI329" s="195">
        <v>14639.1791297652</v>
      </c>
      <c r="AJ329" s="202"/>
      <c r="AK329" s="202"/>
      <c r="AL329" s="202"/>
      <c r="AM329" s="202"/>
      <c r="AN329" s="195" t="e">
        <f t="array" ref="AN329">#REF!</f>
        <v>#REF!</v>
      </c>
      <c r="AO329" s="195">
        <v>-30000</v>
      </c>
      <c r="AP329" s="202"/>
      <c r="AQ329" s="202"/>
      <c r="AR329" s="195">
        <v>-30000</v>
      </c>
      <c r="AS329" s="202"/>
      <c r="AT329" s="202"/>
      <c r="AU329" s="195" t="e">
        <f t="array" ref="AU329">#REF!</f>
        <v>#REF!</v>
      </c>
      <c r="AV329" s="195">
        <v>11000</v>
      </c>
      <c r="AW329" s="202"/>
      <c r="AX329" s="202"/>
      <c r="AY329" s="195">
        <v>11000</v>
      </c>
      <c r="AZ329" s="202"/>
      <c r="BA329" s="202"/>
      <c r="BB329" s="202"/>
      <c r="BC329" s="202"/>
      <c r="BD329" s="195">
        <f t="array" ref="BD329">IF('[1]Список листов'!$A$53,'[1]Корр по периодам'!AG95,0)</f>
        <v>0</v>
      </c>
      <c r="BE329" s="202"/>
      <c r="BF329" s="202"/>
      <c r="BG329" s="267">
        <f t="shared" si="117"/>
        <v>0</v>
      </c>
      <c r="BH329" s="267" t="e">
        <f>BD329-#REF!</f>
        <v>#REF!</v>
      </c>
      <c r="BI329" s="267">
        <f t="shared" si="118"/>
        <v>-11000</v>
      </c>
      <c r="BJ329" s="195"/>
      <c r="BK329" s="202"/>
      <c r="BL329" s="202"/>
      <c r="BM329" s="195">
        <f t="array" ref="BM329">IF('[1]Список листов'!$A$53,'[1]Корр по периодам'!AH95,0)</f>
        <v>0</v>
      </c>
      <c r="BN329" s="202"/>
      <c r="BO329" s="202"/>
      <c r="BP329" s="267">
        <f t="shared" si="108"/>
        <v>0</v>
      </c>
      <c r="BQ329" s="267">
        <f t="shared" si="109"/>
        <v>0</v>
      </c>
      <c r="BR329" s="195"/>
      <c r="BS329" s="202"/>
      <c r="BT329" s="202"/>
      <c r="BU329" s="195">
        <f t="array" ref="BU329">IF('[1]Список листов'!$A$53,'[1]Корр по периодам'!AI95,0)</f>
        <v>0</v>
      </c>
      <c r="BV329" s="202"/>
      <c r="BW329" s="202"/>
      <c r="BX329" s="267">
        <f t="shared" si="110"/>
        <v>0</v>
      </c>
      <c r="BY329" s="267">
        <f t="shared" si="111"/>
        <v>0</v>
      </c>
      <c r="BZ329" s="195"/>
      <c r="CA329" s="202"/>
      <c r="CB329" s="202"/>
      <c r="CC329" s="195">
        <f t="array" ref="CC329">IF('[1]Список листов'!$A$53,'[1]Корр по периодам'!AJ95,0)</f>
        <v>0</v>
      </c>
      <c r="CD329" s="202"/>
      <c r="CE329" s="202"/>
      <c r="CF329" s="267">
        <f t="shared" si="112"/>
        <v>0</v>
      </c>
      <c r="CG329" s="267">
        <f t="shared" si="113"/>
        <v>0</v>
      </c>
      <c r="CH329" s="195"/>
      <c r="CI329" s="202"/>
      <c r="CJ329" s="202"/>
      <c r="CK329" s="195">
        <f t="array" ref="CK329">IF('[1]Список листов'!$A$53,'[1]Корр по периодам'!AK95,0)</f>
        <v>0</v>
      </c>
      <c r="CL329" s="202"/>
      <c r="CM329" s="202"/>
      <c r="CN329" s="267">
        <f t="shared" si="114"/>
        <v>0</v>
      </c>
      <c r="CO329" s="267">
        <f t="shared" si="115"/>
        <v>0</v>
      </c>
      <c r="CP329" s="92"/>
      <c r="CQ329" s="90"/>
      <c r="CR329" s="90"/>
      <c r="CS329" s="90"/>
      <c r="CT329" s="227" t="e">
        <f t="shared" si="116"/>
        <v>#REF!</v>
      </c>
      <c r="CU329" s="227">
        <f t="array" ref="CU329">BD329</f>
        <v>0</v>
      </c>
      <c r="CV329" s="92"/>
      <c r="CW329" s="92"/>
      <c r="CX329" s="92"/>
      <c r="CY329" s="92"/>
      <c r="CZ329" s="92"/>
      <c r="DA329" s="92"/>
      <c r="DB329" s="92"/>
    </row>
    <row r="330" spans="1:107" ht="14.25" hidden="1" customHeight="1" x14ac:dyDescent="0.25">
      <c r="A330" s="2" t="b">
        <f>REGULATION_METHODS="МЭОР"</f>
        <v>0</v>
      </c>
      <c r="B330" s="8" t="b">
        <f t="array" ref="B330">A330</f>
        <v>0</v>
      </c>
      <c r="C330" s="2" t="s">
        <v>84</v>
      </c>
      <c r="D330" s="2" t="s">
        <v>85</v>
      </c>
      <c r="E330" s="2" t="s">
        <v>74</v>
      </c>
      <c r="F330" s="2" t="s">
        <v>75</v>
      </c>
      <c r="G330" s="2" t="s">
        <v>471</v>
      </c>
      <c r="H330" s="2" t="s">
        <v>74</v>
      </c>
      <c r="I330" s="2" t="s">
        <v>74</v>
      </c>
      <c r="J330" s="2" t="s">
        <v>74</v>
      </c>
      <c r="K330" s="5" t="s">
        <v>74</v>
      </c>
      <c r="L330" s="2" t="s">
        <v>472</v>
      </c>
      <c r="M330" s="8" t="str">
        <f t="array" ref="M330">Y107</f>
        <v>1ВО::1.1</v>
      </c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5"/>
      <c r="AA330" s="63"/>
      <c r="AB330" s="74"/>
      <c r="AC330" s="63"/>
      <c r="AD330" s="251"/>
      <c r="AE330" s="251"/>
      <c r="AF330" s="251"/>
      <c r="AG330" s="251"/>
      <c r="AH330" s="251"/>
      <c r="AI330" s="251"/>
      <c r="AJ330" s="251"/>
      <c r="AK330" s="251"/>
      <c r="AL330" s="251"/>
      <c r="AM330" s="251"/>
      <c r="AN330" s="251"/>
      <c r="AO330" s="251"/>
      <c r="AP330" s="251"/>
      <c r="AQ330" s="251"/>
      <c r="AR330" s="251"/>
      <c r="AS330" s="251"/>
      <c r="AT330" s="251"/>
      <c r="AU330" s="251"/>
      <c r="AV330" s="251"/>
      <c r="AW330" s="251"/>
      <c r="AX330" s="251"/>
      <c r="AY330" s="251"/>
      <c r="AZ330" s="251"/>
      <c r="BA330" s="251"/>
      <c r="BB330" s="251"/>
      <c r="BC330" s="251"/>
      <c r="BD330" s="251"/>
      <c r="BE330" s="251"/>
      <c r="BF330" s="251"/>
      <c r="BG330" s="275"/>
      <c r="BH330" s="275"/>
      <c r="BI330" s="275"/>
      <c r="BJ330" s="251"/>
      <c r="BK330" s="251"/>
      <c r="BL330" s="251"/>
      <c r="BM330" s="251"/>
      <c r="BN330" s="251"/>
      <c r="BO330" s="251"/>
      <c r="BP330" s="275"/>
      <c r="BQ330" s="275"/>
      <c r="BR330" s="251"/>
      <c r="BS330" s="251"/>
      <c r="BT330" s="251"/>
      <c r="BU330" s="251"/>
      <c r="BV330" s="251"/>
      <c r="BW330" s="251"/>
      <c r="BX330" s="275"/>
      <c r="BY330" s="275"/>
      <c r="BZ330" s="251"/>
      <c r="CA330" s="251"/>
      <c r="CB330" s="251"/>
      <c r="CC330" s="251"/>
      <c r="CD330" s="251"/>
      <c r="CE330" s="251"/>
      <c r="CF330" s="275"/>
      <c r="CG330" s="275"/>
      <c r="CH330" s="251"/>
      <c r="CI330" s="251"/>
      <c r="CJ330" s="251"/>
      <c r="CK330" s="251"/>
      <c r="CL330" s="251"/>
      <c r="CM330" s="251"/>
      <c r="CN330" s="275"/>
      <c r="CO330" s="275"/>
      <c r="CP330" s="68"/>
      <c r="CQ330" s="62"/>
      <c r="CR330" s="62"/>
      <c r="CS330" s="62"/>
      <c r="CT330" s="170"/>
      <c r="CU330" s="170"/>
      <c r="CV330" s="68"/>
      <c r="CW330" s="68"/>
      <c r="CX330" s="68"/>
      <c r="CY330" s="68"/>
      <c r="CZ330" s="68"/>
      <c r="DA330" s="68"/>
      <c r="DB330" s="68"/>
      <c r="DC330" s="15"/>
    </row>
    <row r="331" spans="1:107" ht="27" hidden="1" customHeight="1" outlineLevel="4" x14ac:dyDescent="0.25">
      <c r="A331" s="2" t="b">
        <f t="array" ref="A331">A330</f>
        <v>0</v>
      </c>
      <c r="B331" s="8" t="b">
        <f t="array" ref="B331">A331</f>
        <v>0</v>
      </c>
      <c r="C331" s="2" t="s">
        <v>84</v>
      </c>
      <c r="D331" s="2" t="s">
        <v>85</v>
      </c>
      <c r="E331" s="2" t="s">
        <v>74</v>
      </c>
      <c r="F331" s="2" t="s">
        <v>75</v>
      </c>
      <c r="G331" s="2" t="s">
        <v>473</v>
      </c>
      <c r="H331" s="2" t="s">
        <v>74</v>
      </c>
      <c r="I331" s="2" t="s">
        <v>74</v>
      </c>
      <c r="J331" s="2" t="s">
        <v>74</v>
      </c>
      <c r="K331" s="5" t="s">
        <v>74</v>
      </c>
      <c r="L331" s="2" t="s">
        <v>472</v>
      </c>
      <c r="M331" s="8" t="str">
        <f t="array" ref="M331">Y107</f>
        <v>1ВО::1.1</v>
      </c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5"/>
      <c r="AA331" s="167"/>
      <c r="AB331" s="182"/>
      <c r="AC331" s="209"/>
      <c r="AD331" s="252"/>
      <c r="AE331" s="252"/>
      <c r="AF331" s="252"/>
      <c r="AG331" s="252"/>
      <c r="AH331" s="252"/>
      <c r="AI331" s="252"/>
      <c r="AJ331" s="252"/>
      <c r="AK331" s="252"/>
      <c r="AL331" s="252"/>
      <c r="AM331" s="252"/>
      <c r="AN331" s="252"/>
      <c r="AO331" s="252"/>
      <c r="AP331" s="252"/>
      <c r="AQ331" s="252"/>
      <c r="AR331" s="252"/>
      <c r="AS331" s="252"/>
      <c r="AT331" s="252"/>
      <c r="AU331" s="252"/>
      <c r="AV331" s="252"/>
      <c r="AW331" s="252"/>
      <c r="AX331" s="252"/>
      <c r="AY331" s="252"/>
      <c r="AZ331" s="252"/>
      <c r="BA331" s="252"/>
      <c r="BB331" s="252"/>
      <c r="BC331" s="252"/>
      <c r="BD331" s="252"/>
      <c r="BE331" s="252"/>
      <c r="BF331" s="252"/>
      <c r="BG331" s="346"/>
      <c r="BH331" s="346"/>
      <c r="BI331" s="346"/>
      <c r="BJ331" s="252"/>
      <c r="BK331" s="252"/>
      <c r="BL331" s="252"/>
      <c r="BM331" s="252"/>
      <c r="BN331" s="252"/>
      <c r="BO331" s="252"/>
      <c r="BP331" s="346"/>
      <c r="BQ331" s="346"/>
      <c r="BR331" s="252"/>
      <c r="BS331" s="252"/>
      <c r="BT331" s="252"/>
      <c r="BU331" s="252"/>
      <c r="BV331" s="252"/>
      <c r="BW331" s="252"/>
      <c r="BX331" s="346"/>
      <c r="BY331" s="346"/>
      <c r="BZ331" s="252"/>
      <c r="CA331" s="252"/>
      <c r="CB331" s="252"/>
      <c r="CC331" s="252"/>
      <c r="CD331" s="252"/>
      <c r="CE331" s="252"/>
      <c r="CF331" s="346"/>
      <c r="CG331" s="346"/>
      <c r="CH331" s="252"/>
      <c r="CI331" s="252"/>
      <c r="CJ331" s="252"/>
      <c r="CK331" s="252"/>
      <c r="CL331" s="252"/>
      <c r="CM331" s="252"/>
      <c r="CN331" s="346"/>
      <c r="CO331" s="346"/>
      <c r="CP331" s="254"/>
      <c r="CQ331" s="253"/>
      <c r="CR331" s="253"/>
      <c r="CS331" s="253"/>
      <c r="CT331" s="170"/>
      <c r="CU331" s="170"/>
      <c r="CV331" s="254"/>
      <c r="CW331" s="254"/>
      <c r="CX331" s="254"/>
      <c r="CY331" s="254"/>
      <c r="CZ331" s="254"/>
      <c r="DA331" s="254"/>
      <c r="DB331" s="254"/>
      <c r="DC331" s="15"/>
    </row>
    <row r="332" spans="1:107" ht="14.25" hidden="1" customHeight="1" outlineLevel="4" x14ac:dyDescent="0.25">
      <c r="A332" s="2" t="b">
        <f t="array" ref="A332">A331</f>
        <v>0</v>
      </c>
      <c r="B332" s="8" t="b">
        <f t="array" ref="B332">A332</f>
        <v>0</v>
      </c>
      <c r="C332" s="2" t="s">
        <v>84</v>
      </c>
      <c r="D332" s="2" t="s">
        <v>85</v>
      </c>
      <c r="E332" s="2" t="s">
        <v>74</v>
      </c>
      <c r="F332" s="2" t="s">
        <v>75</v>
      </c>
      <c r="G332" s="2" t="s">
        <v>474</v>
      </c>
      <c r="H332" s="2" t="s">
        <v>74</v>
      </c>
      <c r="I332" s="2" t="s">
        <v>74</v>
      </c>
      <c r="J332" s="2" t="s">
        <v>74</v>
      </c>
      <c r="K332" s="5" t="s">
        <v>74</v>
      </c>
      <c r="L332" s="2" t="s">
        <v>472</v>
      </c>
      <c r="M332" s="8" t="str">
        <f t="array" ref="M332">Y107</f>
        <v>1ВО::1.1</v>
      </c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5"/>
      <c r="AA332" s="167"/>
      <c r="AB332" s="182"/>
      <c r="AC332" s="209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75"/>
      <c r="BH332" s="275"/>
      <c r="BI332" s="275"/>
      <c r="BJ332" s="202"/>
      <c r="BK332" s="202"/>
      <c r="BL332" s="202"/>
      <c r="BM332" s="202"/>
      <c r="BN332" s="202"/>
      <c r="BO332" s="202"/>
      <c r="BP332" s="275"/>
      <c r="BQ332" s="275"/>
      <c r="BR332" s="202"/>
      <c r="BS332" s="202"/>
      <c r="BT332" s="202"/>
      <c r="BU332" s="202"/>
      <c r="BV332" s="202"/>
      <c r="BW332" s="202"/>
      <c r="BX332" s="275"/>
      <c r="BY332" s="275"/>
      <c r="BZ332" s="202"/>
      <c r="CA332" s="202"/>
      <c r="CB332" s="202"/>
      <c r="CC332" s="202"/>
      <c r="CD332" s="202"/>
      <c r="CE332" s="202"/>
      <c r="CF332" s="275"/>
      <c r="CG332" s="275"/>
      <c r="CH332" s="202"/>
      <c r="CI332" s="202"/>
      <c r="CJ332" s="202"/>
      <c r="CK332" s="202"/>
      <c r="CL332" s="202"/>
      <c r="CM332" s="202"/>
      <c r="CN332" s="275"/>
      <c r="CO332" s="275"/>
      <c r="CP332" s="309"/>
      <c r="CQ332" s="67"/>
      <c r="CR332" s="67"/>
      <c r="CS332" s="67"/>
      <c r="CT332" s="170"/>
      <c r="CU332" s="170"/>
      <c r="CV332" s="68"/>
      <c r="CW332" s="68"/>
      <c r="CX332" s="68"/>
      <c r="CY332" s="68"/>
      <c r="CZ332" s="68"/>
      <c r="DA332" s="68"/>
      <c r="DB332" s="68"/>
      <c r="DC332" s="15"/>
    </row>
    <row r="333" spans="1:107" ht="28.5" hidden="1" customHeight="1" outlineLevel="4" x14ac:dyDescent="0.25">
      <c r="A333" s="2" t="b">
        <f t="array" ref="A333">A332</f>
        <v>0</v>
      </c>
      <c r="B333" s="8" t="b">
        <f t="array" ref="B333">A333</f>
        <v>0</v>
      </c>
      <c r="C333" s="2" t="s">
        <v>84</v>
      </c>
      <c r="D333" s="2" t="s">
        <v>85</v>
      </c>
      <c r="E333" s="2" t="s">
        <v>74</v>
      </c>
      <c r="F333" s="2" t="s">
        <v>75</v>
      </c>
      <c r="G333" s="2" t="s">
        <v>475</v>
      </c>
      <c r="H333" s="2" t="s">
        <v>74</v>
      </c>
      <c r="I333" s="2" t="s">
        <v>74</v>
      </c>
      <c r="J333" s="2" t="s">
        <v>74</v>
      </c>
      <c r="K333" s="5" t="s">
        <v>74</v>
      </c>
      <c r="L333" s="2" t="s">
        <v>472</v>
      </c>
      <c r="M333" s="8" t="str">
        <f t="array" ref="M333">Y107</f>
        <v>1ВО::1.1</v>
      </c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5"/>
      <c r="AA333" s="167"/>
      <c r="AB333" s="182"/>
      <c r="AC333" s="209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75"/>
      <c r="BH333" s="275"/>
      <c r="BI333" s="275"/>
      <c r="BJ333" s="202"/>
      <c r="BK333" s="202"/>
      <c r="BL333" s="202"/>
      <c r="BM333" s="202"/>
      <c r="BN333" s="202"/>
      <c r="BO333" s="202"/>
      <c r="BP333" s="275"/>
      <c r="BQ333" s="275"/>
      <c r="BR333" s="202"/>
      <c r="BS333" s="202"/>
      <c r="BT333" s="202"/>
      <c r="BU333" s="202"/>
      <c r="BV333" s="202"/>
      <c r="BW333" s="202"/>
      <c r="BX333" s="275"/>
      <c r="BY333" s="275"/>
      <c r="BZ333" s="202"/>
      <c r="CA333" s="202"/>
      <c r="CB333" s="202"/>
      <c r="CC333" s="202"/>
      <c r="CD333" s="202"/>
      <c r="CE333" s="202"/>
      <c r="CF333" s="275"/>
      <c r="CG333" s="275"/>
      <c r="CH333" s="202"/>
      <c r="CI333" s="202"/>
      <c r="CJ333" s="202"/>
      <c r="CK333" s="202"/>
      <c r="CL333" s="202"/>
      <c r="CM333" s="202"/>
      <c r="CN333" s="275"/>
      <c r="CO333" s="275"/>
      <c r="CP333" s="309"/>
      <c r="CQ333" s="67"/>
      <c r="CR333" s="67"/>
      <c r="CS333" s="67"/>
      <c r="CT333" s="170"/>
      <c r="CU333" s="170"/>
      <c r="CV333" s="68"/>
      <c r="CW333" s="68"/>
      <c r="CX333" s="68"/>
      <c r="CY333" s="68"/>
      <c r="CZ333" s="68"/>
      <c r="DA333" s="68"/>
      <c r="DB333" s="68"/>
      <c r="DC333" s="15"/>
    </row>
    <row r="334" spans="1:107" ht="14.25" customHeight="1" x14ac:dyDescent="0.25">
      <c r="C334" s="2" t="s">
        <v>84</v>
      </c>
      <c r="D334" s="2" t="s">
        <v>85</v>
      </c>
      <c r="E334" s="2" t="s">
        <v>74</v>
      </c>
      <c r="F334" s="2" t="s">
        <v>75</v>
      </c>
      <c r="G334" s="93" t="s">
        <v>476</v>
      </c>
      <c r="H334" s="2" t="s">
        <v>74</v>
      </c>
      <c r="I334" s="2" t="s">
        <v>74</v>
      </c>
      <c r="J334" s="2" t="s">
        <v>74</v>
      </c>
      <c r="K334" s="5" t="s">
        <v>74</v>
      </c>
      <c r="L334" s="235" t="s">
        <v>74</v>
      </c>
      <c r="M334" s="8" t="str">
        <f t="array" ref="M334">Y107</f>
        <v>1ВО::1.1</v>
      </c>
      <c r="AA334" s="146">
        <f>COUNT(AA320,AA156,AA110,AA329,AA330)+2</f>
        <v>6</v>
      </c>
      <c r="AB334" s="186" t="s">
        <v>477</v>
      </c>
      <c r="AC334" s="146" t="s">
        <v>114</v>
      </c>
      <c r="AD334" s="136"/>
      <c r="AE334" s="136"/>
      <c r="AF334" s="195"/>
      <c r="AG334" s="202"/>
      <c r="AH334" s="202"/>
      <c r="AI334" s="136">
        <f t="array" ref="AI334">AF334</f>
        <v>0</v>
      </c>
      <c r="AJ334" s="202"/>
      <c r="AK334" s="202"/>
      <c r="AL334" s="202"/>
      <c r="AM334" s="202"/>
      <c r="AN334" s="136" t="e">
        <f t="array" ref="AN334">#REF!</f>
        <v>#REF!</v>
      </c>
      <c r="AO334" s="195">
        <v>-56394.298699999898</v>
      </c>
      <c r="AP334" s="202"/>
      <c r="AQ334" s="202"/>
      <c r="AR334" s="136">
        <v>-56394.298699999898</v>
      </c>
      <c r="AS334" s="202"/>
      <c r="AT334" s="202"/>
      <c r="AU334" s="136" t="e">
        <f t="array" ref="AU334">#REF!</f>
        <v>#REF!</v>
      </c>
      <c r="AV334" s="195"/>
      <c r="AW334" s="202"/>
      <c r="AX334" s="202"/>
      <c r="AY334" s="136">
        <f t="array" ref="AY334">AV334</f>
        <v>0</v>
      </c>
      <c r="AZ334" s="202"/>
      <c r="BA334" s="202"/>
      <c r="BB334" s="202"/>
      <c r="BC334" s="202"/>
      <c r="BD334" s="136"/>
      <c r="BE334" s="202"/>
      <c r="BF334" s="202"/>
      <c r="BG334" s="267">
        <f t="shared" ref="BG334:BG340" si="119">IF(AR334=0,0,BD334/AR334)*100</f>
        <v>0</v>
      </c>
      <c r="BH334" s="267" t="e">
        <f>BD334-#REF!</f>
        <v>#REF!</v>
      </c>
      <c r="BI334" s="267">
        <f t="shared" ref="BI334:BI340" si="120">BD334-AY334</f>
        <v>0</v>
      </c>
      <c r="BJ334" s="136"/>
      <c r="BK334" s="202"/>
      <c r="BL334" s="202"/>
      <c r="BM334" s="136"/>
      <c r="BN334" s="202"/>
      <c r="BO334" s="202"/>
      <c r="BP334" s="267">
        <f t="shared" ref="BP334:BP340" si="121">IF(BD334=0,0,BM334/BD334)*100</f>
        <v>0</v>
      </c>
      <c r="BQ334" s="267">
        <f t="shared" ref="BQ334:BQ340" si="122">BM334-BJ334</f>
        <v>0</v>
      </c>
      <c r="BR334" s="136"/>
      <c r="BS334" s="202"/>
      <c r="BT334" s="202"/>
      <c r="BU334" s="136"/>
      <c r="BV334" s="202"/>
      <c r="BW334" s="202"/>
      <c r="BX334" s="267">
        <f t="shared" ref="BX334:BX340" si="123">IF(BM334=0,0,BU334/BM334)*100</f>
        <v>0</v>
      </c>
      <c r="BY334" s="267">
        <f t="shared" ref="BY334:BY340" si="124">BU334-BR334</f>
        <v>0</v>
      </c>
      <c r="BZ334" s="136"/>
      <c r="CA334" s="202"/>
      <c r="CB334" s="202"/>
      <c r="CC334" s="136"/>
      <c r="CD334" s="202"/>
      <c r="CE334" s="202"/>
      <c r="CF334" s="267">
        <f t="shared" ref="CF334:CF340" si="125">IF(BU334=0,0,CC334/BU334)*100</f>
        <v>0</v>
      </c>
      <c r="CG334" s="267">
        <f t="shared" ref="CG334:CG340" si="126">CC334-BZ334</f>
        <v>0</v>
      </c>
      <c r="CH334" s="136"/>
      <c r="CI334" s="202"/>
      <c r="CJ334" s="202"/>
      <c r="CK334" s="136"/>
      <c r="CL334" s="202"/>
      <c r="CM334" s="202"/>
      <c r="CN334" s="267">
        <f t="shared" ref="CN334:CN340" si="127">IF(CC334=0,0,CK334/CC334)*100</f>
        <v>0</v>
      </c>
      <c r="CO334" s="267">
        <f t="shared" ref="CO334:CO340" si="128">CK334-CH334</f>
        <v>0</v>
      </c>
      <c r="CP334" s="311"/>
      <c r="CQ334" s="255"/>
      <c r="CR334" s="255"/>
      <c r="CS334" s="255"/>
      <c r="CT334" s="99" t="e">
        <f t="shared" ref="CT334:CT340" si="129">SUM(AD334:CO334)</f>
        <v>#REF!</v>
      </c>
      <c r="CU334" s="99">
        <f t="array" ref="CU334">BD334</f>
        <v>0</v>
      </c>
      <c r="CV334" s="101"/>
      <c r="CW334" s="101"/>
      <c r="CX334" s="101"/>
      <c r="CY334" s="101"/>
      <c r="CZ334" s="101"/>
      <c r="DA334" s="101"/>
      <c r="DB334" s="101"/>
    </row>
    <row r="335" spans="1:107" ht="25.5" customHeight="1" x14ac:dyDescent="0.25">
      <c r="C335" s="235" t="s">
        <v>84</v>
      </c>
      <c r="D335" s="235" t="s">
        <v>85</v>
      </c>
      <c r="E335" s="235" t="s">
        <v>74</v>
      </c>
      <c r="F335" s="235" t="s">
        <v>75</v>
      </c>
      <c r="G335" s="235" t="s">
        <v>478</v>
      </c>
      <c r="H335" s="235" t="s">
        <v>74</v>
      </c>
      <c r="I335" s="235" t="s">
        <v>74</v>
      </c>
      <c r="J335" s="235" t="s">
        <v>74</v>
      </c>
      <c r="K335" s="236" t="s">
        <v>74</v>
      </c>
      <c r="L335" s="235" t="s">
        <v>74</v>
      </c>
      <c r="M335" s="8" t="str">
        <f t="array" ref="M335">Y107</f>
        <v>1ВО::1.1</v>
      </c>
      <c r="AA335" s="107" t="str">
        <f>AA334&amp;".1"</f>
        <v>6.1</v>
      </c>
      <c r="AB335" s="256" t="s">
        <v>478</v>
      </c>
      <c r="AC335" s="206" t="s">
        <v>114</v>
      </c>
      <c r="AD335" s="136"/>
      <c r="AE335" s="136"/>
      <c r="AF335" s="195"/>
      <c r="AG335" s="202"/>
      <c r="AH335" s="202"/>
      <c r="AI335" s="136">
        <f t="array" ref="AI335">AF335</f>
        <v>0</v>
      </c>
      <c r="AJ335" s="202"/>
      <c r="AK335" s="202"/>
      <c r="AL335" s="202"/>
      <c r="AM335" s="202"/>
      <c r="AN335" s="136" t="e">
        <f t="array" ref="AN335">#REF!</f>
        <v>#REF!</v>
      </c>
      <c r="AO335" s="195"/>
      <c r="AP335" s="202"/>
      <c r="AQ335" s="202"/>
      <c r="AR335" s="136">
        <f t="array" ref="AR335">AO335</f>
        <v>0</v>
      </c>
      <c r="AS335" s="202"/>
      <c r="AT335" s="202"/>
      <c r="AU335" s="136" t="e">
        <f t="array" ref="AU335">#REF!</f>
        <v>#REF!</v>
      </c>
      <c r="AV335" s="195"/>
      <c r="AW335" s="202"/>
      <c r="AX335" s="202"/>
      <c r="AY335" s="136">
        <f t="array" ref="AY335">AV335</f>
        <v>0</v>
      </c>
      <c r="AZ335" s="202"/>
      <c r="BA335" s="202"/>
      <c r="BB335" s="202"/>
      <c r="BC335" s="202"/>
      <c r="BD335" s="136"/>
      <c r="BE335" s="202"/>
      <c r="BF335" s="202"/>
      <c r="BG335" s="267">
        <f t="shared" si="119"/>
        <v>0</v>
      </c>
      <c r="BH335" s="267" t="e">
        <f>BD335-#REF!</f>
        <v>#REF!</v>
      </c>
      <c r="BI335" s="267">
        <f t="shared" si="120"/>
        <v>0</v>
      </c>
      <c r="BJ335" s="136"/>
      <c r="BK335" s="202"/>
      <c r="BL335" s="202"/>
      <c r="BM335" s="136"/>
      <c r="BN335" s="202"/>
      <c r="BO335" s="202"/>
      <c r="BP335" s="267">
        <f t="shared" si="121"/>
        <v>0</v>
      </c>
      <c r="BQ335" s="267">
        <f t="shared" si="122"/>
        <v>0</v>
      </c>
      <c r="BR335" s="136"/>
      <c r="BS335" s="202"/>
      <c r="BT335" s="202"/>
      <c r="BU335" s="136"/>
      <c r="BV335" s="202"/>
      <c r="BW335" s="202"/>
      <c r="BX335" s="267">
        <f t="shared" si="123"/>
        <v>0</v>
      </c>
      <c r="BY335" s="267">
        <f t="shared" si="124"/>
        <v>0</v>
      </c>
      <c r="BZ335" s="136"/>
      <c r="CA335" s="202"/>
      <c r="CB335" s="202"/>
      <c r="CC335" s="136"/>
      <c r="CD335" s="202"/>
      <c r="CE335" s="202"/>
      <c r="CF335" s="267">
        <f t="shared" si="125"/>
        <v>0</v>
      </c>
      <c r="CG335" s="267">
        <f t="shared" si="126"/>
        <v>0</v>
      </c>
      <c r="CH335" s="136"/>
      <c r="CI335" s="202"/>
      <c r="CJ335" s="202"/>
      <c r="CK335" s="136"/>
      <c r="CL335" s="202"/>
      <c r="CM335" s="202"/>
      <c r="CN335" s="267">
        <f t="shared" si="127"/>
        <v>0</v>
      </c>
      <c r="CO335" s="267">
        <f t="shared" si="128"/>
        <v>0</v>
      </c>
      <c r="CP335" s="311"/>
      <c r="CQ335" s="255"/>
      <c r="CR335" s="255"/>
      <c r="CS335" s="255"/>
      <c r="CT335" s="99" t="e">
        <f t="shared" si="129"/>
        <v>#REF!</v>
      </c>
      <c r="CU335" s="99">
        <f t="array" ref="CU335">BD335</f>
        <v>0</v>
      </c>
      <c r="CV335" s="101"/>
      <c r="CW335" s="101"/>
      <c r="CX335" s="101"/>
      <c r="CY335" s="101"/>
      <c r="CZ335" s="101"/>
      <c r="DA335" s="101"/>
      <c r="DB335" s="101"/>
    </row>
    <row r="336" spans="1:107" ht="25.5" customHeight="1" x14ac:dyDescent="0.25">
      <c r="C336" s="235" t="s">
        <v>84</v>
      </c>
      <c r="D336" s="235" t="s">
        <v>85</v>
      </c>
      <c r="E336" s="235" t="s">
        <v>74</v>
      </c>
      <c r="F336" s="235" t="s">
        <v>75</v>
      </c>
      <c r="G336" s="235" t="s">
        <v>479</v>
      </c>
      <c r="H336" s="235" t="s">
        <v>74</v>
      </c>
      <c r="I336" s="235" t="s">
        <v>74</v>
      </c>
      <c r="J336" s="235" t="s">
        <v>74</v>
      </c>
      <c r="K336" s="236" t="s">
        <v>74</v>
      </c>
      <c r="L336" s="235" t="s">
        <v>74</v>
      </c>
      <c r="M336" s="8" t="str">
        <f t="array" ref="M336">Y107</f>
        <v>1ВО::1.1</v>
      </c>
      <c r="AA336" s="107" t="str">
        <f>AA334&amp;".2"</f>
        <v>6.2</v>
      </c>
      <c r="AB336" s="257" t="s">
        <v>479</v>
      </c>
      <c r="AC336" s="206" t="s">
        <v>114</v>
      </c>
      <c r="AD336" s="136"/>
      <c r="AE336" s="136"/>
      <c r="AF336" s="195"/>
      <c r="AG336" s="202"/>
      <c r="AH336" s="202"/>
      <c r="AI336" s="136">
        <f t="array" ref="AI336">AF336</f>
        <v>0</v>
      </c>
      <c r="AJ336" s="202"/>
      <c r="AK336" s="202"/>
      <c r="AL336" s="202"/>
      <c r="AM336" s="202"/>
      <c r="AN336" s="136" t="e">
        <f t="array" ref="AN336">#REF!</f>
        <v>#REF!</v>
      </c>
      <c r="AO336" s="195">
        <v>-56394.298699999898</v>
      </c>
      <c r="AP336" s="202"/>
      <c r="AQ336" s="202"/>
      <c r="AR336" s="136">
        <v>-56394.298699999898</v>
      </c>
      <c r="AS336" s="202"/>
      <c r="AT336" s="202"/>
      <c r="AU336" s="136" t="e">
        <f t="array" ref="AU336">#REF!</f>
        <v>#REF!</v>
      </c>
      <c r="AV336" s="195"/>
      <c r="AW336" s="202"/>
      <c r="AX336" s="202"/>
      <c r="AY336" s="136">
        <f t="array" ref="AY336">AV336</f>
        <v>0</v>
      </c>
      <c r="AZ336" s="202"/>
      <c r="BA336" s="202"/>
      <c r="BB336" s="202"/>
      <c r="BC336" s="202"/>
      <c r="BD336" s="136"/>
      <c r="BE336" s="202"/>
      <c r="BF336" s="202"/>
      <c r="BG336" s="267">
        <f t="shared" si="119"/>
        <v>0</v>
      </c>
      <c r="BH336" s="267" t="e">
        <f>BD336-#REF!</f>
        <v>#REF!</v>
      </c>
      <c r="BI336" s="267">
        <f t="shared" si="120"/>
        <v>0</v>
      </c>
      <c r="BJ336" s="136"/>
      <c r="BK336" s="202"/>
      <c r="BL336" s="202"/>
      <c r="BM336" s="136"/>
      <c r="BN336" s="202"/>
      <c r="BO336" s="202"/>
      <c r="BP336" s="267">
        <f t="shared" si="121"/>
        <v>0</v>
      </c>
      <c r="BQ336" s="267">
        <f t="shared" si="122"/>
        <v>0</v>
      </c>
      <c r="BR336" s="136"/>
      <c r="BS336" s="202"/>
      <c r="BT336" s="202"/>
      <c r="BU336" s="136"/>
      <c r="BV336" s="202"/>
      <c r="BW336" s="202"/>
      <c r="BX336" s="267">
        <f t="shared" si="123"/>
        <v>0</v>
      </c>
      <c r="BY336" s="267">
        <f t="shared" si="124"/>
        <v>0</v>
      </c>
      <c r="BZ336" s="136"/>
      <c r="CA336" s="202"/>
      <c r="CB336" s="202"/>
      <c r="CC336" s="136"/>
      <c r="CD336" s="202"/>
      <c r="CE336" s="202"/>
      <c r="CF336" s="267">
        <f t="shared" si="125"/>
        <v>0</v>
      </c>
      <c r="CG336" s="267">
        <f t="shared" si="126"/>
        <v>0</v>
      </c>
      <c r="CH336" s="136"/>
      <c r="CI336" s="202"/>
      <c r="CJ336" s="202"/>
      <c r="CK336" s="136"/>
      <c r="CL336" s="202"/>
      <c r="CM336" s="202"/>
      <c r="CN336" s="267">
        <f t="shared" si="127"/>
        <v>0</v>
      </c>
      <c r="CO336" s="267">
        <f t="shared" si="128"/>
        <v>0</v>
      </c>
      <c r="CP336" s="311"/>
      <c r="CQ336" s="255"/>
      <c r="CR336" s="255"/>
      <c r="CS336" s="255"/>
      <c r="CT336" s="99" t="e">
        <f t="shared" si="129"/>
        <v>#REF!</v>
      </c>
      <c r="CU336" s="99">
        <f t="array" ref="CU336">BD336</f>
        <v>0</v>
      </c>
      <c r="CV336" s="101"/>
      <c r="CW336" s="101"/>
      <c r="CX336" s="101"/>
      <c r="CY336" s="101"/>
      <c r="CZ336" s="101"/>
      <c r="DA336" s="101"/>
      <c r="DB336" s="101"/>
    </row>
    <row r="337" spans="1:107" ht="26.25" customHeight="1" x14ac:dyDescent="0.25">
      <c r="A337" s="2" t="b">
        <f>$U107="Водоотведение"</f>
        <v>1</v>
      </c>
      <c r="C337" s="235" t="s">
        <v>84</v>
      </c>
      <c r="D337" s="235" t="s">
        <v>85</v>
      </c>
      <c r="E337" s="235" t="s">
        <v>74</v>
      </c>
      <c r="F337" s="235" t="s">
        <v>75</v>
      </c>
      <c r="G337" s="235" t="s">
        <v>480</v>
      </c>
      <c r="H337" s="235" t="s">
        <v>74</v>
      </c>
      <c r="I337" s="235" t="s">
        <v>74</v>
      </c>
      <c r="J337" s="235" t="s">
        <v>74</v>
      </c>
      <c r="K337" s="236" t="s">
        <v>74</v>
      </c>
      <c r="L337" s="235" t="s">
        <v>74</v>
      </c>
      <c r="M337" s="8" t="str">
        <f t="array" ref="M337">Y107</f>
        <v>1ВО::1.1</v>
      </c>
      <c r="AA337" s="146">
        <f>COUNT(AA320,AA156,AA110,AA329,AA330,AA334)+2</f>
        <v>7</v>
      </c>
      <c r="AB337" s="186" t="s">
        <v>571</v>
      </c>
      <c r="AC337" s="146" t="s">
        <v>114</v>
      </c>
      <c r="AD337" s="136"/>
      <c r="AE337" s="136"/>
      <c r="AF337" s="195"/>
      <c r="AG337" s="202"/>
      <c r="AH337" s="202"/>
      <c r="AI337" s="136">
        <f t="array" ref="AI337">AF337</f>
        <v>0</v>
      </c>
      <c r="AJ337" s="202"/>
      <c r="AK337" s="202"/>
      <c r="AL337" s="202"/>
      <c r="AM337" s="202"/>
      <c r="AN337" s="136" t="e">
        <f t="array" ref="AN337">#REF!</f>
        <v>#REF!</v>
      </c>
      <c r="AO337" s="195">
        <v>-42632.487999999998</v>
      </c>
      <c r="AP337" s="202"/>
      <c r="AQ337" s="202"/>
      <c r="AR337" s="136">
        <v>-42632.487999999998</v>
      </c>
      <c r="AS337" s="202"/>
      <c r="AT337" s="202"/>
      <c r="AU337" s="136" t="e">
        <f t="array" ref="AU337">#REF!</f>
        <v>#REF!</v>
      </c>
      <c r="AV337" s="195">
        <v>-71219.465500000006</v>
      </c>
      <c r="AW337" s="202"/>
      <c r="AX337" s="202"/>
      <c r="AY337" s="136">
        <v>-71219.465500000006</v>
      </c>
      <c r="AZ337" s="202"/>
      <c r="BA337" s="202"/>
      <c r="BB337" s="202"/>
      <c r="BC337" s="202"/>
      <c r="BD337" s="136"/>
      <c r="BE337" s="202"/>
      <c r="BF337" s="202"/>
      <c r="BG337" s="267">
        <f t="shared" si="119"/>
        <v>0</v>
      </c>
      <c r="BH337" s="267" t="e">
        <f>BD337-#REF!</f>
        <v>#REF!</v>
      </c>
      <c r="BI337" s="267">
        <f t="shared" si="120"/>
        <v>71219.465500000006</v>
      </c>
      <c r="BJ337" s="136"/>
      <c r="BK337" s="202"/>
      <c r="BL337" s="202"/>
      <c r="BM337" s="136"/>
      <c r="BN337" s="202"/>
      <c r="BO337" s="202"/>
      <c r="BP337" s="267">
        <f t="shared" si="121"/>
        <v>0</v>
      </c>
      <c r="BQ337" s="267">
        <f t="shared" si="122"/>
        <v>0</v>
      </c>
      <c r="BR337" s="136"/>
      <c r="BS337" s="202"/>
      <c r="BT337" s="202"/>
      <c r="BU337" s="136"/>
      <c r="BV337" s="202"/>
      <c r="BW337" s="202"/>
      <c r="BX337" s="267">
        <f t="shared" si="123"/>
        <v>0</v>
      </c>
      <c r="BY337" s="267">
        <f t="shared" si="124"/>
        <v>0</v>
      </c>
      <c r="BZ337" s="136"/>
      <c r="CA337" s="202"/>
      <c r="CB337" s="202"/>
      <c r="CC337" s="136"/>
      <c r="CD337" s="202"/>
      <c r="CE337" s="202"/>
      <c r="CF337" s="267">
        <f t="shared" si="125"/>
        <v>0</v>
      </c>
      <c r="CG337" s="267">
        <f t="shared" si="126"/>
        <v>0</v>
      </c>
      <c r="CH337" s="136"/>
      <c r="CI337" s="202"/>
      <c r="CJ337" s="202"/>
      <c r="CK337" s="136"/>
      <c r="CL337" s="202"/>
      <c r="CM337" s="202"/>
      <c r="CN337" s="267">
        <f t="shared" si="127"/>
        <v>0</v>
      </c>
      <c r="CO337" s="267">
        <f t="shared" si="128"/>
        <v>0</v>
      </c>
      <c r="CP337" s="311"/>
      <c r="CQ337" s="255"/>
      <c r="CR337" s="255"/>
      <c r="CS337" s="255"/>
      <c r="CT337" s="99" t="e">
        <f t="shared" si="129"/>
        <v>#REF!</v>
      </c>
      <c r="CU337" s="99">
        <f t="array" ref="CU337">BD337</f>
        <v>0</v>
      </c>
      <c r="CV337" s="101"/>
      <c r="CW337" s="101"/>
      <c r="CX337" s="101"/>
      <c r="CY337" s="101"/>
      <c r="CZ337" s="101"/>
      <c r="DA337" s="101"/>
      <c r="DB337" s="101"/>
    </row>
    <row r="338" spans="1:107" ht="25.5" customHeight="1" x14ac:dyDescent="0.25">
      <c r="C338" s="4" t="s">
        <v>84</v>
      </c>
      <c r="D338" s="235" t="s">
        <v>85</v>
      </c>
      <c r="E338" s="235" t="s">
        <v>74</v>
      </c>
      <c r="F338" s="235" t="s">
        <v>75</v>
      </c>
      <c r="G338" s="235" t="s">
        <v>481</v>
      </c>
      <c r="H338" s="235" t="s">
        <v>74</v>
      </c>
      <c r="I338" s="235" t="s">
        <v>74</v>
      </c>
      <c r="J338" s="235" t="s">
        <v>74</v>
      </c>
      <c r="K338" s="236" t="s">
        <v>74</v>
      </c>
      <c r="L338" s="235" t="s">
        <v>74</v>
      </c>
      <c r="M338" s="8" t="str">
        <f t="array" ref="M338">Y107</f>
        <v>1ВО::1.1</v>
      </c>
      <c r="AA338" s="146">
        <f>COUNT(AA320,AA156,AA110,AA329,AA330,AA334,AA337)+2</f>
        <v>8</v>
      </c>
      <c r="AB338" s="186" t="s">
        <v>481</v>
      </c>
      <c r="AC338" s="146" t="s">
        <v>114</v>
      </c>
      <c r="AD338" s="136"/>
      <c r="AE338" s="136"/>
      <c r="AF338" s="195"/>
      <c r="AG338" s="202"/>
      <c r="AH338" s="202"/>
      <c r="AI338" s="136">
        <f t="array" ref="AI338">AF338</f>
        <v>0</v>
      </c>
      <c r="AJ338" s="202"/>
      <c r="AK338" s="202"/>
      <c r="AL338" s="202"/>
      <c r="AM338" s="202"/>
      <c r="AN338" s="136" t="e">
        <f t="array" ref="AN338">#REF!</f>
        <v>#REF!</v>
      </c>
      <c r="AO338" s="195"/>
      <c r="AP338" s="202"/>
      <c r="AQ338" s="202"/>
      <c r="AR338" s="136">
        <f t="array" ref="AR338">AO338</f>
        <v>0</v>
      </c>
      <c r="AS338" s="202"/>
      <c r="AT338" s="202"/>
      <c r="AU338" s="136" t="e">
        <f t="array" ref="AU338">#REF!</f>
        <v>#REF!</v>
      </c>
      <c r="AV338" s="195"/>
      <c r="AW338" s="202"/>
      <c r="AX338" s="202"/>
      <c r="AY338" s="136">
        <f t="array" ref="AY338">AV338</f>
        <v>0</v>
      </c>
      <c r="AZ338" s="202"/>
      <c r="BA338" s="202"/>
      <c r="BB338" s="202"/>
      <c r="BC338" s="202"/>
      <c r="BD338" s="136"/>
      <c r="BE338" s="202"/>
      <c r="BF338" s="202"/>
      <c r="BG338" s="267">
        <f t="shared" si="119"/>
        <v>0</v>
      </c>
      <c r="BH338" s="267" t="e">
        <f>BD338-#REF!</f>
        <v>#REF!</v>
      </c>
      <c r="BI338" s="267">
        <f t="shared" si="120"/>
        <v>0</v>
      </c>
      <c r="BJ338" s="136"/>
      <c r="BK338" s="202"/>
      <c r="BL338" s="202"/>
      <c r="BM338" s="136"/>
      <c r="BN338" s="202"/>
      <c r="BO338" s="202"/>
      <c r="BP338" s="267">
        <f t="shared" si="121"/>
        <v>0</v>
      </c>
      <c r="BQ338" s="267">
        <f t="shared" si="122"/>
        <v>0</v>
      </c>
      <c r="BR338" s="136"/>
      <c r="BS338" s="202"/>
      <c r="BT338" s="202"/>
      <c r="BU338" s="136"/>
      <c r="BV338" s="202"/>
      <c r="BW338" s="202"/>
      <c r="BX338" s="267">
        <f t="shared" si="123"/>
        <v>0</v>
      </c>
      <c r="BY338" s="267">
        <f t="shared" si="124"/>
        <v>0</v>
      </c>
      <c r="BZ338" s="136"/>
      <c r="CA338" s="202"/>
      <c r="CB338" s="202"/>
      <c r="CC338" s="136"/>
      <c r="CD338" s="202"/>
      <c r="CE338" s="202"/>
      <c r="CF338" s="267">
        <f t="shared" si="125"/>
        <v>0</v>
      </c>
      <c r="CG338" s="267">
        <f t="shared" si="126"/>
        <v>0</v>
      </c>
      <c r="CH338" s="136"/>
      <c r="CI338" s="202"/>
      <c r="CJ338" s="202"/>
      <c r="CK338" s="136"/>
      <c r="CL338" s="202"/>
      <c r="CM338" s="202"/>
      <c r="CN338" s="267">
        <f t="shared" si="127"/>
        <v>0</v>
      </c>
      <c r="CO338" s="267">
        <f t="shared" si="128"/>
        <v>0</v>
      </c>
      <c r="CP338" s="311"/>
      <c r="CQ338" s="255"/>
      <c r="CR338" s="255"/>
      <c r="CS338" s="255"/>
      <c r="CT338" s="99" t="e">
        <f t="shared" si="129"/>
        <v>#REF!</v>
      </c>
      <c r="CU338" s="99">
        <f t="array" ref="CU338">BD338</f>
        <v>0</v>
      </c>
      <c r="CV338" s="101"/>
      <c r="CW338" s="101"/>
      <c r="CX338" s="101"/>
      <c r="CY338" s="101"/>
      <c r="CZ338" s="101"/>
      <c r="DA338" s="101"/>
      <c r="DB338" s="101"/>
    </row>
    <row r="339" spans="1:107" ht="14.25" customHeight="1" x14ac:dyDescent="0.25">
      <c r="C339" s="4" t="s">
        <v>84</v>
      </c>
      <c r="D339" s="235" t="s">
        <v>85</v>
      </c>
      <c r="E339" s="235" t="s">
        <v>74</v>
      </c>
      <c r="F339" s="235" t="s">
        <v>75</v>
      </c>
      <c r="G339" s="235" t="s">
        <v>482</v>
      </c>
      <c r="H339" s="235" t="s">
        <v>74</v>
      </c>
      <c r="I339" s="235" t="s">
        <v>74</v>
      </c>
      <c r="J339" s="235" t="s">
        <v>74</v>
      </c>
      <c r="K339" s="236" t="s">
        <v>74</v>
      </c>
      <c r="L339" s="235" t="s">
        <v>74</v>
      </c>
      <c r="M339" s="8" t="str">
        <f t="array" ref="M339">Y107</f>
        <v>1ВО::1.1</v>
      </c>
      <c r="AA339" s="146">
        <f>COUNT(AA320,AA156,AA110,AA329,AA330,AA334,AA338,AA337)+2</f>
        <v>9</v>
      </c>
      <c r="AB339" s="186" t="s">
        <v>482</v>
      </c>
      <c r="AC339" s="146" t="s">
        <v>114</v>
      </c>
      <c r="AD339" s="136"/>
      <c r="AE339" s="136"/>
      <c r="AF339" s="195"/>
      <c r="AG339" s="202"/>
      <c r="AH339" s="202"/>
      <c r="AI339" s="136">
        <f t="array" ref="AI339">AF339</f>
        <v>0</v>
      </c>
      <c r="AJ339" s="202"/>
      <c r="AK339" s="202"/>
      <c r="AL339" s="202"/>
      <c r="AM339" s="202"/>
      <c r="AN339" s="136" t="e">
        <f t="array" ref="AN339">#REF!</f>
        <v>#REF!</v>
      </c>
      <c r="AO339" s="195"/>
      <c r="AP339" s="202"/>
      <c r="AQ339" s="202"/>
      <c r="AR339" s="136">
        <f t="array" ref="AR339">AO339</f>
        <v>0</v>
      </c>
      <c r="AS339" s="202"/>
      <c r="AT339" s="202"/>
      <c r="AU339" s="136" t="e">
        <f t="array" ref="AU339">#REF!</f>
        <v>#REF!</v>
      </c>
      <c r="AV339" s="195"/>
      <c r="AW339" s="202"/>
      <c r="AX339" s="202"/>
      <c r="AY339" s="136">
        <f t="array" ref="AY339">AV339</f>
        <v>0</v>
      </c>
      <c r="AZ339" s="202"/>
      <c r="BA339" s="202"/>
      <c r="BB339" s="202"/>
      <c r="BC339" s="202"/>
      <c r="BD339" s="136"/>
      <c r="BE339" s="202"/>
      <c r="BF339" s="202"/>
      <c r="BG339" s="267">
        <f t="shared" si="119"/>
        <v>0</v>
      </c>
      <c r="BH339" s="267" t="e">
        <f>BD339-#REF!</f>
        <v>#REF!</v>
      </c>
      <c r="BI339" s="267">
        <f t="shared" si="120"/>
        <v>0</v>
      </c>
      <c r="BJ339" s="136"/>
      <c r="BK339" s="202"/>
      <c r="BL339" s="202"/>
      <c r="BM339" s="136"/>
      <c r="BN339" s="202"/>
      <c r="BO339" s="202"/>
      <c r="BP339" s="267">
        <f t="shared" si="121"/>
        <v>0</v>
      </c>
      <c r="BQ339" s="267">
        <f t="shared" si="122"/>
        <v>0</v>
      </c>
      <c r="BR339" s="136"/>
      <c r="BS339" s="202"/>
      <c r="BT339" s="202"/>
      <c r="BU339" s="136"/>
      <c r="BV339" s="202"/>
      <c r="BW339" s="202"/>
      <c r="BX339" s="267">
        <f t="shared" si="123"/>
        <v>0</v>
      </c>
      <c r="BY339" s="267">
        <f t="shared" si="124"/>
        <v>0</v>
      </c>
      <c r="BZ339" s="136"/>
      <c r="CA339" s="202"/>
      <c r="CB339" s="202"/>
      <c r="CC339" s="136"/>
      <c r="CD339" s="202"/>
      <c r="CE339" s="202"/>
      <c r="CF339" s="267">
        <f t="shared" si="125"/>
        <v>0</v>
      </c>
      <c r="CG339" s="267">
        <f t="shared" si="126"/>
        <v>0</v>
      </c>
      <c r="CH339" s="136"/>
      <c r="CI339" s="202"/>
      <c r="CJ339" s="202"/>
      <c r="CK339" s="136"/>
      <c r="CL339" s="202"/>
      <c r="CM339" s="202"/>
      <c r="CN339" s="267">
        <f t="shared" si="127"/>
        <v>0</v>
      </c>
      <c r="CO339" s="267">
        <f t="shared" si="128"/>
        <v>0</v>
      </c>
      <c r="CP339" s="311"/>
      <c r="CQ339" s="255"/>
      <c r="CR339" s="255"/>
      <c r="CS339" s="255"/>
      <c r="CT339" s="99" t="e">
        <f t="shared" si="129"/>
        <v>#REF!</v>
      </c>
      <c r="CU339" s="99">
        <f t="array" ref="CU339">BD339</f>
        <v>0</v>
      </c>
      <c r="CV339" s="101"/>
      <c r="CW339" s="101"/>
      <c r="CX339" s="101"/>
      <c r="CY339" s="101"/>
      <c r="CZ339" s="101"/>
      <c r="DA339" s="101"/>
      <c r="DB339" s="101"/>
    </row>
    <row r="340" spans="1:107" ht="14.25" customHeight="1" x14ac:dyDescent="0.25">
      <c r="C340" s="2" t="s">
        <v>84</v>
      </c>
      <c r="D340" s="2" t="s">
        <v>85</v>
      </c>
      <c r="E340" s="2" t="s">
        <v>74</v>
      </c>
      <c r="F340" s="2" t="s">
        <v>75</v>
      </c>
      <c r="G340" s="2" t="s">
        <v>86</v>
      </c>
      <c r="H340" s="2" t="s">
        <v>74</v>
      </c>
      <c r="I340" s="2" t="s">
        <v>74</v>
      </c>
      <c r="J340" s="2" t="s">
        <v>74</v>
      </c>
      <c r="K340" s="5" t="s">
        <v>74</v>
      </c>
      <c r="L340" s="2" t="s">
        <v>136</v>
      </c>
      <c r="M340" s="8" t="str">
        <f t="array" ref="M340">Y107</f>
        <v>1ВО::1.1</v>
      </c>
      <c r="AA340" s="146">
        <f>COUNT(AA320,AA156,AA110,AA329,AA330,AA334,AA338,AA339,AA337)+2</f>
        <v>10</v>
      </c>
      <c r="AB340" s="186" t="s">
        <v>483</v>
      </c>
      <c r="AC340" s="146" t="s">
        <v>114</v>
      </c>
      <c r="AD340" s="173">
        <v>655400.01245319995</v>
      </c>
      <c r="AE340" s="173">
        <v>681208.66686497699</v>
      </c>
      <c r="AF340" s="173">
        <v>782112.12142498232</v>
      </c>
      <c r="AG340" s="174"/>
      <c r="AH340" s="174"/>
      <c r="AI340" s="173">
        <f>AI156+AI329+AI330+AI334+AI320+AI338+AI339+AI337</f>
        <v>782443.80142498249</v>
      </c>
      <c r="AJ340" s="174"/>
      <c r="AK340" s="174"/>
      <c r="AL340" s="174"/>
      <c r="AM340" s="174"/>
      <c r="AN340" s="173" t="e">
        <f>AN156+AN329+AN330+AN334+AN320+AN338+AN339+AN337</f>
        <v>#REF!</v>
      </c>
      <c r="AO340" s="173">
        <v>828015.413554542</v>
      </c>
      <c r="AP340" s="174"/>
      <c r="AQ340" s="174"/>
      <c r="AR340" s="173">
        <f>AR156+AR329+AR330+AR334+AR320+AR338+AR339+AR337</f>
        <v>828015.413554542</v>
      </c>
      <c r="AS340" s="174"/>
      <c r="AT340" s="174"/>
      <c r="AU340" s="173" t="e">
        <f>AU156+AU329+AU330+AU334+AU320+AU338+AU339+AU337</f>
        <v>#REF!</v>
      </c>
      <c r="AV340" s="173">
        <v>902747.39021909004</v>
      </c>
      <c r="AW340" s="174"/>
      <c r="AX340" s="174"/>
      <c r="AY340" s="173">
        <f>AY156+AY329+AY330+AY334+AY320+AY338+AY339+AY337</f>
        <v>902747.39021909004</v>
      </c>
      <c r="AZ340" s="174"/>
      <c r="BA340" s="174"/>
      <c r="BB340" s="174"/>
      <c r="BC340" s="174"/>
      <c r="BD340" s="173" t="e">
        <f>BD156+BD329+BD330+BD334+BD320+BD338+BD339+BD337</f>
        <v>#REF!</v>
      </c>
      <c r="BE340" s="174"/>
      <c r="BF340" s="174"/>
      <c r="BG340" s="267" t="e">
        <f t="shared" si="119"/>
        <v>#REF!</v>
      </c>
      <c r="BH340" s="267" t="e">
        <f>BD340-#REF!</f>
        <v>#REF!</v>
      </c>
      <c r="BI340" s="267" t="e">
        <f t="shared" si="120"/>
        <v>#REF!</v>
      </c>
      <c r="BJ340" s="173" t="e">
        <f>BJ156+BJ329+BJ330+BJ334+BJ320+BJ338+BJ339+BJ337</f>
        <v>#REF!</v>
      </c>
      <c r="BK340" s="174"/>
      <c r="BL340" s="174"/>
      <c r="BM340" s="173" t="e">
        <f>BM156+BM329+BM330+BM334+BM320+BM338+BM339+BM337</f>
        <v>#REF!</v>
      </c>
      <c r="BN340" s="174"/>
      <c r="BO340" s="174"/>
      <c r="BP340" s="267" t="e">
        <f t="shared" si="121"/>
        <v>#REF!</v>
      </c>
      <c r="BQ340" s="267" t="e">
        <f t="shared" si="122"/>
        <v>#REF!</v>
      </c>
      <c r="BR340" s="173" t="e">
        <f>BR156+BR329+BR330+BR334+BR320+BR338+BR339+BR337</f>
        <v>#REF!</v>
      </c>
      <c r="BS340" s="174"/>
      <c r="BT340" s="174"/>
      <c r="BU340" s="173" t="e">
        <f>BU156+BU329+BU330+BU334+BU320+BU338+BU339+BU337</f>
        <v>#REF!</v>
      </c>
      <c r="BV340" s="174"/>
      <c r="BW340" s="174"/>
      <c r="BX340" s="267" t="e">
        <f t="shared" si="123"/>
        <v>#REF!</v>
      </c>
      <c r="BY340" s="267" t="e">
        <f t="shared" si="124"/>
        <v>#REF!</v>
      </c>
      <c r="BZ340" s="173" t="e">
        <f>BZ156+BZ329+BZ330+BZ334+BZ320+BZ338+BZ339+BZ337</f>
        <v>#REF!</v>
      </c>
      <c r="CA340" s="174"/>
      <c r="CB340" s="174"/>
      <c r="CC340" s="173" t="e">
        <f>CC156+CC329+CC330+CC334+CC320+CC338+CC339+CC337</f>
        <v>#REF!</v>
      </c>
      <c r="CD340" s="174"/>
      <c r="CE340" s="174"/>
      <c r="CF340" s="267" t="e">
        <f t="shared" si="125"/>
        <v>#REF!</v>
      </c>
      <c r="CG340" s="267" t="e">
        <f t="shared" si="126"/>
        <v>#REF!</v>
      </c>
      <c r="CH340" s="173" t="e">
        <f>CH156+CH329+CH330+CH334+CH320+CH338+CH339+CH337</f>
        <v>#REF!</v>
      </c>
      <c r="CI340" s="174"/>
      <c r="CJ340" s="174"/>
      <c r="CK340" s="173" t="e">
        <f>CK156+CK329+CK330+CK334+CK320+CK338+CK339+CK337</f>
        <v>#REF!</v>
      </c>
      <c r="CL340" s="174"/>
      <c r="CM340" s="174"/>
      <c r="CN340" s="267" t="e">
        <f t="shared" si="127"/>
        <v>#REF!</v>
      </c>
      <c r="CO340" s="267" t="e">
        <f t="shared" si="128"/>
        <v>#REF!</v>
      </c>
      <c r="CP340" s="347"/>
      <c r="CQ340" s="258"/>
      <c r="CR340" s="258"/>
      <c r="CS340" s="258"/>
      <c r="CT340" s="99" t="e">
        <f t="shared" si="129"/>
        <v>#REF!</v>
      </c>
      <c r="CU340" s="100" t="e">
        <f>CU156+CU329+CU330+CU334+CU320+CU338+CU339+CU337</f>
        <v>#REF!</v>
      </c>
      <c r="CV340" s="101"/>
      <c r="CW340" s="101"/>
      <c r="CX340" s="101"/>
      <c r="CY340" s="101"/>
      <c r="CZ340" s="101"/>
      <c r="DA340" s="101"/>
      <c r="DB340" s="101"/>
    </row>
    <row r="341" spans="1:107" ht="14.25" hidden="1" customHeight="1" x14ac:dyDescent="0.25">
      <c r="A341" s="2" t="b">
        <f>$W107&lt;&gt;"одноставочный"</f>
        <v>0</v>
      </c>
      <c r="B341" s="8" t="b">
        <f t="array" ref="B341">A341</f>
        <v>0</v>
      </c>
      <c r="C341" s="2" t="s">
        <v>84</v>
      </c>
      <c r="D341" s="2" t="s">
        <v>85</v>
      </c>
      <c r="E341" s="2" t="s">
        <v>74</v>
      </c>
      <c r="F341" s="2" t="s">
        <v>75</v>
      </c>
      <c r="G341" s="8">
        <f t="array" ref="G341">AB341</f>
        <v>0</v>
      </c>
      <c r="H341" s="2" t="s">
        <v>74</v>
      </c>
      <c r="I341" s="2" t="s">
        <v>74</v>
      </c>
      <c r="J341" s="12"/>
      <c r="K341" s="5" t="s">
        <v>74</v>
      </c>
      <c r="L341" s="259"/>
      <c r="M341" s="8" t="str">
        <f t="array" ref="M341">Y107</f>
        <v>1ВО::1.1</v>
      </c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5"/>
      <c r="AA341" s="260"/>
      <c r="AB341" s="72"/>
      <c r="AC341" s="261"/>
      <c r="AD341" s="174"/>
      <c r="AE341" s="174"/>
      <c r="AF341" s="174"/>
      <c r="AG341" s="174"/>
      <c r="AH341" s="174"/>
      <c r="AI341" s="174"/>
      <c r="AJ341" s="174"/>
      <c r="AK341" s="174"/>
      <c r="AL341" s="174"/>
      <c r="AM341" s="174"/>
      <c r="AN341" s="174"/>
      <c r="AO341" s="174"/>
      <c r="AP341" s="174"/>
      <c r="AQ341" s="174"/>
      <c r="AR341" s="174"/>
      <c r="AS341" s="174"/>
      <c r="AT341" s="174"/>
      <c r="AU341" s="174"/>
      <c r="AV341" s="174"/>
      <c r="AW341" s="174"/>
      <c r="AX341" s="174"/>
      <c r="AY341" s="174"/>
      <c r="AZ341" s="174"/>
      <c r="BA341" s="174"/>
      <c r="BB341" s="174"/>
      <c r="BC341" s="174"/>
      <c r="BD341" s="174"/>
      <c r="BE341" s="174"/>
      <c r="BF341" s="174"/>
      <c r="BG341" s="275"/>
      <c r="BH341" s="275"/>
      <c r="BI341" s="275"/>
      <c r="BJ341" s="174"/>
      <c r="BK341" s="174"/>
      <c r="BL341" s="174"/>
      <c r="BM341" s="174"/>
      <c r="BN341" s="174"/>
      <c r="BO341" s="174"/>
      <c r="BP341" s="275"/>
      <c r="BQ341" s="275"/>
      <c r="BR341" s="174"/>
      <c r="BS341" s="174"/>
      <c r="BT341" s="174"/>
      <c r="BU341" s="174"/>
      <c r="BV341" s="174"/>
      <c r="BW341" s="174"/>
      <c r="BX341" s="275"/>
      <c r="BY341" s="275"/>
      <c r="BZ341" s="174"/>
      <c r="CA341" s="174"/>
      <c r="CB341" s="174"/>
      <c r="CC341" s="174"/>
      <c r="CD341" s="174"/>
      <c r="CE341" s="174"/>
      <c r="CF341" s="275"/>
      <c r="CG341" s="275"/>
      <c r="CH341" s="174"/>
      <c r="CI341" s="174"/>
      <c r="CJ341" s="174"/>
      <c r="CK341" s="174"/>
      <c r="CL341" s="174"/>
      <c r="CM341" s="174"/>
      <c r="CN341" s="275"/>
      <c r="CO341" s="275"/>
      <c r="CP341" s="348"/>
      <c r="CQ341" s="262"/>
      <c r="CR341" s="262"/>
      <c r="CS341" s="262"/>
      <c r="CT341" s="170"/>
      <c r="CU341" s="178"/>
      <c r="CV341" s="68"/>
      <c r="CW341" s="68"/>
      <c r="CX341" s="68"/>
      <c r="CY341" s="68"/>
      <c r="CZ341" s="68"/>
      <c r="DA341" s="68"/>
      <c r="DB341" s="68"/>
      <c r="DC341" s="15"/>
    </row>
    <row r="342" spans="1:107" ht="14.25" hidden="1" customHeight="1" x14ac:dyDescent="0.25">
      <c r="A342" s="2" t="b">
        <f>$W107&lt;&gt;"одноставочный"</f>
        <v>0</v>
      </c>
      <c r="B342" s="8" t="b">
        <f t="array" ref="B342">A342</f>
        <v>0</v>
      </c>
      <c r="C342" s="2" t="s">
        <v>84</v>
      </c>
      <c r="D342" s="2" t="s">
        <v>85</v>
      </c>
      <c r="E342" s="2" t="s">
        <v>74</v>
      </c>
      <c r="F342" s="2" t="s">
        <v>75</v>
      </c>
      <c r="G342" s="8">
        <f t="array" ref="G342">AB342</f>
        <v>0</v>
      </c>
      <c r="H342" s="2" t="s">
        <v>74</v>
      </c>
      <c r="I342" s="2" t="s">
        <v>74</v>
      </c>
      <c r="J342" s="12"/>
      <c r="K342" s="5" t="s">
        <v>74</v>
      </c>
      <c r="L342" s="259"/>
      <c r="M342" s="8" t="str">
        <f t="array" ref="M342">Y107</f>
        <v>1ВО::1.1</v>
      </c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5"/>
      <c r="AA342" s="260"/>
      <c r="AB342" s="72"/>
      <c r="AC342" s="261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75"/>
      <c r="BH342" s="275"/>
      <c r="BI342" s="275"/>
      <c r="BJ342" s="202"/>
      <c r="BK342" s="202"/>
      <c r="BL342" s="202"/>
      <c r="BM342" s="202"/>
      <c r="BN342" s="202"/>
      <c r="BO342" s="202"/>
      <c r="BP342" s="275"/>
      <c r="BQ342" s="275"/>
      <c r="BR342" s="202"/>
      <c r="BS342" s="202"/>
      <c r="BT342" s="202"/>
      <c r="BU342" s="202"/>
      <c r="BV342" s="202"/>
      <c r="BW342" s="202"/>
      <c r="BX342" s="275"/>
      <c r="BY342" s="275"/>
      <c r="BZ342" s="202"/>
      <c r="CA342" s="202"/>
      <c r="CB342" s="202"/>
      <c r="CC342" s="202"/>
      <c r="CD342" s="202"/>
      <c r="CE342" s="202"/>
      <c r="CF342" s="275"/>
      <c r="CG342" s="275"/>
      <c r="CH342" s="202"/>
      <c r="CI342" s="202"/>
      <c r="CJ342" s="202"/>
      <c r="CK342" s="202"/>
      <c r="CL342" s="202"/>
      <c r="CM342" s="202"/>
      <c r="CN342" s="275"/>
      <c r="CO342" s="275"/>
      <c r="CP342" s="348"/>
      <c r="CQ342" s="262"/>
      <c r="CR342" s="262"/>
      <c r="CS342" s="262"/>
      <c r="CT342" s="170"/>
      <c r="CU342" s="178"/>
      <c r="CV342" s="68"/>
      <c r="CW342" s="68"/>
      <c r="CX342" s="68"/>
      <c r="CY342" s="68"/>
      <c r="CZ342" s="68"/>
      <c r="DA342" s="68"/>
      <c r="DB342" s="68"/>
      <c r="DC342" s="15"/>
    </row>
    <row r="343" spans="1:107" ht="27.75" hidden="1" customHeight="1" x14ac:dyDescent="0.25">
      <c r="A343" s="2" t="b">
        <f>$W107&lt;&gt;"одноставочный"</f>
        <v>0</v>
      </c>
      <c r="B343" s="8" t="b">
        <f t="array" ref="B343">A343</f>
        <v>0</v>
      </c>
      <c r="C343" s="2" t="s">
        <v>84</v>
      </c>
      <c r="D343" s="2" t="s">
        <v>85</v>
      </c>
      <c r="E343" s="2" t="s">
        <v>74</v>
      </c>
      <c r="F343" s="2" t="s">
        <v>75</v>
      </c>
      <c r="G343" s="8">
        <f t="array" ref="G343">AB343</f>
        <v>0</v>
      </c>
      <c r="H343" s="2" t="s">
        <v>74</v>
      </c>
      <c r="I343" s="2" t="s">
        <v>74</v>
      </c>
      <c r="J343" s="12"/>
      <c r="K343" s="5" t="s">
        <v>74</v>
      </c>
      <c r="L343" s="259"/>
      <c r="M343" s="8" t="str">
        <f t="array" ref="M343">Y107</f>
        <v>1ВО::1.1</v>
      </c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5"/>
      <c r="AA343" s="63"/>
      <c r="AB343" s="74"/>
      <c r="AC343" s="63"/>
      <c r="AD343" s="263"/>
      <c r="AE343" s="263"/>
      <c r="AF343" s="263"/>
      <c r="AG343" s="263"/>
      <c r="AH343" s="263"/>
      <c r="AI343" s="263"/>
      <c r="AJ343" s="263"/>
      <c r="AK343" s="263"/>
      <c r="AL343" s="263"/>
      <c r="AM343" s="263"/>
      <c r="AN343" s="263"/>
      <c r="AO343" s="263"/>
      <c r="AP343" s="263"/>
      <c r="AQ343" s="263"/>
      <c r="AR343" s="263"/>
      <c r="AS343" s="263"/>
      <c r="AT343" s="263"/>
      <c r="AU343" s="263"/>
      <c r="AV343" s="263"/>
      <c r="AW343" s="263"/>
      <c r="AX343" s="263"/>
      <c r="AY343" s="263"/>
      <c r="AZ343" s="263"/>
      <c r="BA343" s="263"/>
      <c r="BB343" s="263"/>
      <c r="BC343" s="263"/>
      <c r="BD343" s="263"/>
      <c r="BE343" s="263"/>
      <c r="BF343" s="263"/>
      <c r="BG343" s="275"/>
      <c r="BH343" s="275"/>
      <c r="BI343" s="275"/>
      <c r="BJ343" s="263"/>
      <c r="BK343" s="263"/>
      <c r="BL343" s="263"/>
      <c r="BM343" s="263"/>
      <c r="BN343" s="263"/>
      <c r="BO343" s="263"/>
      <c r="BP343" s="275"/>
      <c r="BQ343" s="275"/>
      <c r="BR343" s="263"/>
      <c r="BS343" s="263"/>
      <c r="BT343" s="263"/>
      <c r="BU343" s="263"/>
      <c r="BV343" s="263"/>
      <c r="BW343" s="263"/>
      <c r="BX343" s="275"/>
      <c r="BY343" s="275"/>
      <c r="BZ343" s="263"/>
      <c r="CA343" s="263"/>
      <c r="CB343" s="263"/>
      <c r="CC343" s="263"/>
      <c r="CD343" s="263"/>
      <c r="CE343" s="263"/>
      <c r="CF343" s="275"/>
      <c r="CG343" s="275"/>
      <c r="CH343" s="263"/>
      <c r="CI343" s="263"/>
      <c r="CJ343" s="263"/>
      <c r="CK343" s="263"/>
      <c r="CL343" s="263"/>
      <c r="CM343" s="263"/>
      <c r="CN343" s="275"/>
      <c r="CO343" s="275"/>
      <c r="CP343" s="348"/>
      <c r="CQ343" s="262"/>
      <c r="CR343" s="262"/>
      <c r="CS343" s="262"/>
      <c r="CT343" s="170"/>
      <c r="CU343" s="170"/>
      <c r="CV343" s="68"/>
      <c r="CW343" s="68"/>
      <c r="CX343" s="68"/>
      <c r="CY343" s="68"/>
      <c r="CZ343" s="68"/>
      <c r="DA343" s="68"/>
      <c r="DB343" s="68"/>
      <c r="DC343" s="15"/>
    </row>
    <row r="344" spans="1:107" ht="14.25" hidden="1" customHeight="1" x14ac:dyDescent="0.25">
      <c r="A344" s="2" t="b">
        <f>region_name="Белгородская область"</f>
        <v>0</v>
      </c>
      <c r="B344" s="8" t="b">
        <f t="array" ref="B344">A344</f>
        <v>0</v>
      </c>
      <c r="C344" s="2" t="s">
        <v>84</v>
      </c>
      <c r="D344" s="2" t="s">
        <v>85</v>
      </c>
      <c r="E344" s="2" t="s">
        <v>74</v>
      </c>
      <c r="F344" s="2" t="s">
        <v>75</v>
      </c>
      <c r="G344" s="8">
        <f t="array" ref="G344">AB344</f>
        <v>0</v>
      </c>
      <c r="H344" s="2" t="s">
        <v>74</v>
      </c>
      <c r="I344" s="2" t="s">
        <v>74</v>
      </c>
      <c r="J344" s="12"/>
      <c r="K344" s="5" t="s">
        <v>74</v>
      </c>
      <c r="L344" s="259"/>
      <c r="M344" s="8" t="str">
        <f t="array" ref="M344">Y107</f>
        <v>1ВО::1.1</v>
      </c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5"/>
      <c r="AA344" s="63"/>
      <c r="AB344" s="74"/>
      <c r="AC344" s="63"/>
      <c r="AD344" s="174"/>
      <c r="AE344" s="174"/>
      <c r="AF344" s="174"/>
      <c r="AG344" s="174"/>
      <c r="AH344" s="174"/>
      <c r="AI344" s="174"/>
      <c r="AJ344" s="174"/>
      <c r="AK344" s="174"/>
      <c r="AL344" s="174"/>
      <c r="AM344" s="174"/>
      <c r="AN344" s="202"/>
      <c r="AO344" s="174"/>
      <c r="AP344" s="174"/>
      <c r="AQ344" s="174"/>
      <c r="AR344" s="174"/>
      <c r="AS344" s="174"/>
      <c r="AT344" s="174"/>
      <c r="AU344" s="202"/>
      <c r="AV344" s="174"/>
      <c r="AW344" s="174"/>
      <c r="AX344" s="174"/>
      <c r="AY344" s="174"/>
      <c r="AZ344" s="174"/>
      <c r="BA344" s="174"/>
      <c r="BB344" s="174"/>
      <c r="BC344" s="174"/>
      <c r="BD344" s="174"/>
      <c r="BE344" s="174"/>
      <c r="BF344" s="174"/>
      <c r="BG344" s="275"/>
      <c r="BH344" s="275"/>
      <c r="BI344" s="275"/>
      <c r="BJ344" s="174"/>
      <c r="BK344" s="174"/>
      <c r="BL344" s="174"/>
      <c r="BM344" s="174"/>
      <c r="BN344" s="174"/>
      <c r="BO344" s="174"/>
      <c r="BP344" s="275"/>
      <c r="BQ344" s="275"/>
      <c r="BR344" s="174"/>
      <c r="BS344" s="174"/>
      <c r="BT344" s="174"/>
      <c r="BU344" s="174"/>
      <c r="BV344" s="174"/>
      <c r="BW344" s="174"/>
      <c r="BX344" s="275"/>
      <c r="BY344" s="275"/>
      <c r="BZ344" s="174"/>
      <c r="CA344" s="174"/>
      <c r="CB344" s="174"/>
      <c r="CC344" s="174"/>
      <c r="CD344" s="174"/>
      <c r="CE344" s="174"/>
      <c r="CF344" s="275"/>
      <c r="CG344" s="275"/>
      <c r="CH344" s="174"/>
      <c r="CI344" s="174"/>
      <c r="CJ344" s="174"/>
      <c r="CK344" s="174"/>
      <c r="CL344" s="174"/>
      <c r="CM344" s="174"/>
      <c r="CN344" s="275"/>
      <c r="CO344" s="275"/>
      <c r="CP344" s="348"/>
      <c r="CQ344" s="262"/>
      <c r="CR344" s="262"/>
      <c r="CS344" s="262"/>
      <c r="CT344" s="170"/>
      <c r="CU344" s="170"/>
      <c r="CV344" s="68"/>
      <c r="CW344" s="68"/>
      <c r="CX344" s="68"/>
      <c r="CY344" s="68"/>
      <c r="CZ344" s="68"/>
      <c r="DA344" s="68"/>
      <c r="DB344" s="68"/>
      <c r="DC344" s="15"/>
    </row>
    <row r="345" spans="1:107" ht="14.25" hidden="1" customHeight="1" x14ac:dyDescent="0.25">
      <c r="A345" s="2" t="b">
        <f>region_name="Белгородская область"</f>
        <v>0</v>
      </c>
      <c r="B345" s="8" t="b">
        <f t="array" ref="B345">A345</f>
        <v>0</v>
      </c>
      <c r="C345" s="2" t="s">
        <v>84</v>
      </c>
      <c r="D345" s="2" t="s">
        <v>85</v>
      </c>
      <c r="E345" s="2" t="s">
        <v>74</v>
      </c>
      <c r="F345" s="2" t="s">
        <v>75</v>
      </c>
      <c r="G345" s="8">
        <f t="array" ref="G345">AB345</f>
        <v>0</v>
      </c>
      <c r="H345" s="2" t="s">
        <v>74</v>
      </c>
      <c r="I345" s="2" t="s">
        <v>74</v>
      </c>
      <c r="J345" s="12"/>
      <c r="K345" s="5" t="s">
        <v>74</v>
      </c>
      <c r="L345" s="259"/>
      <c r="M345" s="8" t="str">
        <f t="array" ref="M345">Y107</f>
        <v>1ВО::1.1</v>
      </c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5"/>
      <c r="AA345" s="63"/>
      <c r="AB345" s="74"/>
      <c r="AC345" s="63"/>
      <c r="AD345" s="174"/>
      <c r="AE345" s="174"/>
      <c r="AF345" s="174"/>
      <c r="AG345" s="174"/>
      <c r="AH345" s="174"/>
      <c r="AI345" s="174"/>
      <c r="AJ345" s="174"/>
      <c r="AK345" s="174"/>
      <c r="AL345" s="174"/>
      <c r="AM345" s="174"/>
      <c r="AN345" s="264"/>
      <c r="AO345" s="174"/>
      <c r="AP345" s="174"/>
      <c r="AQ345" s="174"/>
      <c r="AR345" s="174"/>
      <c r="AS345" s="174"/>
      <c r="AT345" s="174"/>
      <c r="AU345" s="174"/>
      <c r="AV345" s="174"/>
      <c r="AW345" s="174"/>
      <c r="AX345" s="174"/>
      <c r="AY345" s="174"/>
      <c r="AZ345" s="174"/>
      <c r="BA345" s="174"/>
      <c r="BB345" s="174"/>
      <c r="BC345" s="174"/>
      <c r="BD345" s="174"/>
      <c r="BE345" s="174"/>
      <c r="BF345" s="174"/>
      <c r="BG345" s="275"/>
      <c r="BH345" s="275"/>
      <c r="BI345" s="275"/>
      <c r="BJ345" s="174"/>
      <c r="BK345" s="174"/>
      <c r="BL345" s="174"/>
      <c r="BM345" s="174"/>
      <c r="BN345" s="174"/>
      <c r="BO345" s="174"/>
      <c r="BP345" s="275"/>
      <c r="BQ345" s="275"/>
      <c r="BR345" s="174"/>
      <c r="BS345" s="174"/>
      <c r="BT345" s="174"/>
      <c r="BU345" s="174"/>
      <c r="BV345" s="174"/>
      <c r="BW345" s="174"/>
      <c r="BX345" s="275"/>
      <c r="BY345" s="275"/>
      <c r="BZ345" s="174"/>
      <c r="CA345" s="174"/>
      <c r="CB345" s="174"/>
      <c r="CC345" s="174"/>
      <c r="CD345" s="174"/>
      <c r="CE345" s="174"/>
      <c r="CF345" s="275"/>
      <c r="CG345" s="275"/>
      <c r="CH345" s="174"/>
      <c r="CI345" s="174"/>
      <c r="CJ345" s="349"/>
      <c r="CK345" s="174"/>
      <c r="CL345" s="350"/>
      <c r="CM345" s="174"/>
      <c r="CN345" s="275"/>
      <c r="CO345" s="275"/>
      <c r="CP345" s="348"/>
      <c r="CQ345" s="262"/>
      <c r="CR345" s="262"/>
      <c r="CS345" s="262"/>
      <c r="CT345" s="170"/>
      <c r="CU345" s="178"/>
      <c r="CV345" s="68"/>
      <c r="CW345" s="68"/>
      <c r="CX345" s="68"/>
      <c r="CY345" s="68"/>
      <c r="CZ345" s="68"/>
      <c r="DA345" s="68"/>
      <c r="DB345" s="68"/>
      <c r="DC345" s="15"/>
    </row>
    <row r="346" spans="1:107" ht="14.25" customHeight="1" x14ac:dyDescent="0.25">
      <c r="A346" s="2" t="b">
        <f>$W107="одноставочный"</f>
        <v>1</v>
      </c>
      <c r="B346" s="8" t="b">
        <f t="array" ref="B346">A346</f>
        <v>1</v>
      </c>
      <c r="C346" s="2" t="s">
        <v>91</v>
      </c>
      <c r="D346" s="2" t="s">
        <v>92</v>
      </c>
      <c r="E346" s="2" t="s">
        <v>74</v>
      </c>
      <c r="F346" s="2" t="s">
        <v>75</v>
      </c>
      <c r="G346" s="2" t="s">
        <v>74</v>
      </c>
      <c r="H346" s="2" t="s">
        <v>74</v>
      </c>
      <c r="I346" s="2" t="s">
        <v>74</v>
      </c>
      <c r="J346" s="2" t="s">
        <v>74</v>
      </c>
      <c r="K346" s="5" t="s">
        <v>74</v>
      </c>
      <c r="L346" s="2" t="s">
        <v>136</v>
      </c>
      <c r="M346" s="8" t="str">
        <f t="array" ref="M346">Y107</f>
        <v>1ВО::1.1</v>
      </c>
      <c r="AA346" s="146">
        <f>COUNT(AA320,AA156,AA110,AA329,AA330,AA334,AA340,AA338,AA339,AA343,AA344,AA345,AA337)+2</f>
        <v>11</v>
      </c>
      <c r="AB346" s="186" t="s">
        <v>484</v>
      </c>
      <c r="AC346" s="146" t="s">
        <v>485</v>
      </c>
      <c r="AD346" s="173">
        <v>18.276421201652081</v>
      </c>
      <c r="AE346" s="173">
        <v>18.81583307727222</v>
      </c>
      <c r="AF346" s="173">
        <v>20.044208864569224</v>
      </c>
      <c r="AG346" s="202"/>
      <c r="AH346" s="202"/>
      <c r="AI346" s="173">
        <f>IF($U107="Водоснабжение",IF(AI$121=0,0,AI340/AI$121),IF(AI$138=0,0,AI340/AI$138))</f>
        <v>20.048498539507548</v>
      </c>
      <c r="AJ346" s="202"/>
      <c r="AK346" s="202"/>
      <c r="AL346" s="202"/>
      <c r="AM346" s="202"/>
      <c r="AN346" s="173" t="e">
        <f>IF($U107="Водоснабжение",IF(AN$121=0,0,AN340/AN$121),IF(AN$138=0,0,AN340/AN$138))</f>
        <v>#REF!</v>
      </c>
      <c r="AO346" s="173">
        <v>22.01500005994302</v>
      </c>
      <c r="AP346" s="202"/>
      <c r="AQ346" s="202"/>
      <c r="AR346" s="173">
        <f>IF($U107="Водоснабжение",IF(AR$121=0,0,AR340/AR$121),IF(AR$138=0,0,AR340/AR$138))</f>
        <v>22.01500005994302</v>
      </c>
      <c r="AS346" s="202"/>
      <c r="AT346" s="202"/>
      <c r="AU346" s="173" t="e">
        <f>IF($U107="Водоснабжение",IF(AU$121=0,0,AU340/AU$121),IF(AU$138=0,0,AU340/AU$138))</f>
        <v>#REF!</v>
      </c>
      <c r="AV346" s="173">
        <v>24.001949147867592</v>
      </c>
      <c r="AW346" s="202"/>
      <c r="AX346" s="202"/>
      <c r="AY346" s="173">
        <f>IF($U107="Водоснабжение",IF(AY$121=0,0,AY340/AY$121),IF(AY$138=0,0,AY340/AY$138))</f>
        <v>24.001949147867592</v>
      </c>
      <c r="AZ346" s="202"/>
      <c r="BA346" s="202"/>
      <c r="BB346" s="202"/>
      <c r="BC346" s="202"/>
      <c r="BD346" s="173" t="e">
        <f>IF($U107="Водоснабжение",IF(BD$121=0,0,BD340/BD$121),IF(BD$138=0,0,BD340/BD$138))</f>
        <v>#REF!</v>
      </c>
      <c r="BE346" s="202"/>
      <c r="BF346" s="202"/>
      <c r="BG346" s="267" t="e">
        <f t="shared" ref="BG346:BG353" si="130">IF(AR346=0,0,BD346/AR346)*100</f>
        <v>#REF!</v>
      </c>
      <c r="BH346" s="267" t="e">
        <f>BD346-#REF!</f>
        <v>#REF!</v>
      </c>
      <c r="BI346" s="267" t="e">
        <f t="shared" ref="BI346:BI353" si="131">BD346-AY346</f>
        <v>#REF!</v>
      </c>
      <c r="BJ346" s="173">
        <f>IF($U107="Водоснабжение",IF(BJ$121=0,0,BJ340/BJ$121),IF(BJ$138=0,0,BJ340/BJ$138))</f>
        <v>0</v>
      </c>
      <c r="BK346" s="202"/>
      <c r="BL346" s="202"/>
      <c r="BM346" s="173" t="e">
        <f>IF($U107="Водоснабжение",IF(BM$121=0,0,BM340/BM$121),IF(BM$138=0,0,BM340/BM$138))</f>
        <v>#REF!</v>
      </c>
      <c r="BN346" s="202"/>
      <c r="BO346" s="202"/>
      <c r="BP346" s="267" t="e">
        <f t="shared" ref="BP346:BP353" si="132">IF(BD346=0,0,BM346/BD346)*100</f>
        <v>#REF!</v>
      </c>
      <c r="BQ346" s="267" t="e">
        <f t="shared" ref="BQ346:BQ353" si="133">BM346-BJ346</f>
        <v>#REF!</v>
      </c>
      <c r="BR346" s="173">
        <f>IF($U107="Водоснабжение",IF(BR$121=0,0,BR340/BR$121),IF(BR$138=0,0,BR340/BR$138))</f>
        <v>0</v>
      </c>
      <c r="BS346" s="202"/>
      <c r="BT346" s="202"/>
      <c r="BU346" s="173" t="e">
        <f>IF($U107="Водоснабжение",IF(BU$121=0,0,BU340/BU$121),IF(BU$138=0,0,BU340/BU$138))</f>
        <v>#REF!</v>
      </c>
      <c r="BV346" s="202"/>
      <c r="BW346" s="202"/>
      <c r="BX346" s="267" t="e">
        <f t="shared" ref="BX346:BX353" si="134">IF(BM346=0,0,BU346/BM346)*100</f>
        <v>#REF!</v>
      </c>
      <c r="BY346" s="267" t="e">
        <f t="shared" ref="BY346:BY353" si="135">BU346-BR346</f>
        <v>#REF!</v>
      </c>
      <c r="BZ346" s="173">
        <f>IF($U107="Водоснабжение",IF(BZ$121=0,0,BZ340/BZ$121),IF(BZ$138=0,0,BZ340/BZ$138))</f>
        <v>0</v>
      </c>
      <c r="CA346" s="202"/>
      <c r="CB346" s="202"/>
      <c r="CC346" s="173" t="e">
        <f>IF($U107="Водоснабжение",IF(CC$121=0,0,CC340/CC$121),IF(CC$138=0,0,CC340/CC$138))</f>
        <v>#REF!</v>
      </c>
      <c r="CD346" s="202"/>
      <c r="CE346" s="202"/>
      <c r="CF346" s="267" t="e">
        <f t="shared" ref="CF346:CF353" si="136">IF(BU346=0,0,CC346/BU346)*100</f>
        <v>#REF!</v>
      </c>
      <c r="CG346" s="267" t="e">
        <f t="shared" ref="CG346:CG353" si="137">CC346-BZ346</f>
        <v>#REF!</v>
      </c>
      <c r="CH346" s="173">
        <f>IF($U107="Водоснабжение",IF(CH$121=0,0,CH340/CH$121),IF(CH$138=0,0,CH340/CH$138))</f>
        <v>0</v>
      </c>
      <c r="CI346" s="202"/>
      <c r="CJ346" s="351"/>
      <c r="CK346" s="272" t="e">
        <f>IF($U107="Водоснабжение",IF(CK$121=0,0,CK340/CK$121),IF(CK$138=0,0,CK340/CK$138))</f>
        <v>#REF!</v>
      </c>
      <c r="CL346" s="352"/>
      <c r="CM346" s="202"/>
      <c r="CN346" s="267" t="e">
        <f t="shared" ref="CN346:CN353" si="138">IF(CC346=0,0,CK346/CC346)*100</f>
        <v>#REF!</v>
      </c>
      <c r="CO346" s="267" t="e">
        <f t="shared" ref="CO346:CO353" si="139">CK346-CH346</f>
        <v>#REF!</v>
      </c>
      <c r="CP346" s="347"/>
      <c r="CQ346" s="265"/>
      <c r="CR346" s="265"/>
      <c r="CS346" s="265"/>
      <c r="CT346" s="227" t="e">
        <f t="shared" ref="CT346:CT353" si="140">SUM(AD346:CO346)</f>
        <v>#REF!</v>
      </c>
      <c r="CU346" s="238" t="e">
        <f>IF($U107="Водоснабжение",IF(CU$121=0,0,CU340/CU$121),IF(CU$138=0,0,CU340/CU$138))</f>
        <v>#REF!</v>
      </c>
      <c r="CV346" s="92"/>
      <c r="CW346" s="92"/>
      <c r="CX346" s="92"/>
      <c r="CY346" s="92"/>
      <c r="CZ346" s="92"/>
      <c r="DA346" s="92"/>
      <c r="DB346" s="92"/>
    </row>
    <row r="347" spans="1:107" ht="14.25" customHeight="1" outlineLevel="1" x14ac:dyDescent="0.25">
      <c r="B347" s="2" t="b">
        <f>AND(OR(isFIRST_PERIOD="да",$AC$56="нет"),$W107="одноставочный")</f>
        <v>1</v>
      </c>
      <c r="C347" s="2" t="s">
        <v>93</v>
      </c>
      <c r="D347" s="2" t="s">
        <v>94</v>
      </c>
      <c r="E347" s="2" t="s">
        <v>74</v>
      </c>
      <c r="F347" s="2" t="s">
        <v>75</v>
      </c>
      <c r="G347" s="2" t="s">
        <v>74</v>
      </c>
      <c r="H347" s="2" t="s">
        <v>74</v>
      </c>
      <c r="I347" s="2" t="s">
        <v>74</v>
      </c>
      <c r="J347" s="2" t="s">
        <v>74</v>
      </c>
      <c r="K347" s="5" t="s">
        <v>74</v>
      </c>
      <c r="L347" s="2" t="s">
        <v>136</v>
      </c>
      <c r="M347" s="8" t="str">
        <f t="array" ref="M347">Y107</f>
        <v>1ВО::1.1</v>
      </c>
      <c r="AA347" s="192" t="str">
        <f>AA346&amp;".1"</f>
        <v>11.1</v>
      </c>
      <c r="AB347" s="266" t="s">
        <v>486</v>
      </c>
      <c r="AC347" s="194" t="s">
        <v>485</v>
      </c>
      <c r="AD347" s="195">
        <v>17.829999999999998</v>
      </c>
      <c r="AE347" s="195">
        <v>18.72</v>
      </c>
      <c r="AF347" s="195">
        <v>20.039999866399999</v>
      </c>
      <c r="AG347" s="15"/>
      <c r="AH347" s="15"/>
      <c r="AI347" s="195">
        <v>20.039999866399999</v>
      </c>
      <c r="AJ347" s="15"/>
      <c r="AK347" s="15"/>
      <c r="AL347" s="15"/>
      <c r="AM347" s="15"/>
      <c r="AN347" s="195">
        <f t="array" ref="AN347">AI347</f>
        <v>20.039999866399999</v>
      </c>
      <c r="AO347" s="195">
        <v>20.04</v>
      </c>
      <c r="AP347" s="15"/>
      <c r="AQ347" s="15"/>
      <c r="AR347" s="195">
        <v>20.04</v>
      </c>
      <c r="AS347" s="15"/>
      <c r="AT347" s="15"/>
      <c r="AU347" s="195">
        <f t="array" ref="AU347">IF(AND(isFIRST_PERIOD="да",FIRST_PERIOD_IN_LT=god-1),ROUND(AU346,2),AR347)</f>
        <v>20.04</v>
      </c>
      <c r="AV347" s="195">
        <v>23.99</v>
      </c>
      <c r="AW347" s="15"/>
      <c r="AX347" s="15"/>
      <c r="AY347" s="195">
        <v>23.99</v>
      </c>
      <c r="AZ347" s="15"/>
      <c r="BA347" s="15"/>
      <c r="BB347" s="15"/>
      <c r="BC347" s="15"/>
      <c r="BD347" s="195" t="e">
        <f>ROUND(MIN(AR348,BD346),2)</f>
        <v>#REF!</v>
      </c>
      <c r="BE347" s="15"/>
      <c r="BF347" s="15"/>
      <c r="BG347" s="267" t="e">
        <f t="shared" si="130"/>
        <v>#REF!</v>
      </c>
      <c r="BH347" s="267" t="e">
        <f>BD347-#REF!</f>
        <v>#REF!</v>
      </c>
      <c r="BI347" s="267" t="e">
        <f t="shared" si="131"/>
        <v>#REF!</v>
      </c>
      <c r="BJ347" s="195" t="e">
        <f>ROUND(MIN(#REF!,BJ346),2)</f>
        <v>#REF!</v>
      </c>
      <c r="BK347" s="15"/>
      <c r="BL347" s="15"/>
      <c r="BM347" s="195" t="e">
        <f>ROUND(MIN(BD348,BM346),2)</f>
        <v>#REF!</v>
      </c>
      <c r="BN347" s="15"/>
      <c r="BO347" s="15"/>
      <c r="BP347" s="267" t="e">
        <f t="shared" si="132"/>
        <v>#REF!</v>
      </c>
      <c r="BQ347" s="267" t="e">
        <f t="shared" si="133"/>
        <v>#REF!</v>
      </c>
      <c r="BR347" s="195">
        <f>ROUND(MIN(BJ348,BR346),2)</f>
        <v>0</v>
      </c>
      <c r="BS347" s="15"/>
      <c r="BT347" s="15"/>
      <c r="BU347" s="195" t="e">
        <f>ROUND(MIN(BM348,BU346),2)</f>
        <v>#REF!</v>
      </c>
      <c r="BV347" s="15"/>
      <c r="BW347" s="15"/>
      <c r="BX347" s="267" t="e">
        <f t="shared" si="134"/>
        <v>#REF!</v>
      </c>
      <c r="BY347" s="267" t="e">
        <f t="shared" si="135"/>
        <v>#REF!</v>
      </c>
      <c r="BZ347" s="195">
        <f>ROUND(MIN(BR348,BZ346),2)</f>
        <v>0</v>
      </c>
      <c r="CA347" s="15"/>
      <c r="CB347" s="15"/>
      <c r="CC347" s="195" t="e">
        <f>ROUND(MIN(BU348,CC346),2)</f>
        <v>#REF!</v>
      </c>
      <c r="CD347" s="15"/>
      <c r="CE347" s="15"/>
      <c r="CF347" s="267" t="e">
        <f t="shared" si="136"/>
        <v>#REF!</v>
      </c>
      <c r="CG347" s="267" t="e">
        <f t="shared" si="137"/>
        <v>#REF!</v>
      </c>
      <c r="CH347" s="195">
        <f>ROUND(MIN(BZ348,CH346),2)</f>
        <v>0</v>
      </c>
      <c r="CI347" s="15"/>
      <c r="CJ347" s="15"/>
      <c r="CK347" s="324" t="e">
        <f>ROUND(MIN(CC348,CK346),2)</f>
        <v>#REF!</v>
      </c>
      <c r="CL347" s="15"/>
      <c r="CM347" s="15"/>
      <c r="CN347" s="267" t="e">
        <f t="shared" si="138"/>
        <v>#REF!</v>
      </c>
      <c r="CO347" s="267" t="e">
        <f t="shared" si="139"/>
        <v>#REF!</v>
      </c>
      <c r="CP347" s="347"/>
      <c r="CQ347" s="265"/>
      <c r="CR347" s="265"/>
      <c r="CS347" s="265"/>
      <c r="CT347" s="227" t="e">
        <f t="shared" si="140"/>
        <v>#REF!</v>
      </c>
      <c r="CU347" s="227" t="e">
        <f t="array" ref="CU347">BD347</f>
        <v>#REF!</v>
      </c>
      <c r="CV347" s="92"/>
      <c r="CW347" s="92"/>
      <c r="CX347" s="92"/>
      <c r="CY347" s="92"/>
      <c r="CZ347" s="92"/>
      <c r="DA347" s="92"/>
      <c r="DB347" s="92"/>
    </row>
    <row r="348" spans="1:107" ht="14.25" customHeight="1" outlineLevel="1" x14ac:dyDescent="0.25">
      <c r="B348" s="2" t="b">
        <f>AND(OR(isFIRST_PERIOD="да",$AC$56="нет"),$W107="одноставочный")</f>
        <v>1</v>
      </c>
      <c r="C348" s="2" t="s">
        <v>95</v>
      </c>
      <c r="D348" s="2" t="s">
        <v>96</v>
      </c>
      <c r="E348" s="2" t="s">
        <v>74</v>
      </c>
      <c r="F348" s="2" t="s">
        <v>75</v>
      </c>
      <c r="G348" s="2" t="s">
        <v>74</v>
      </c>
      <c r="H348" s="2" t="s">
        <v>74</v>
      </c>
      <c r="I348" s="2" t="s">
        <v>74</v>
      </c>
      <c r="J348" s="2" t="s">
        <v>74</v>
      </c>
      <c r="K348" s="5" t="s">
        <v>74</v>
      </c>
      <c r="L348" s="2" t="s">
        <v>136</v>
      </c>
      <c r="M348" s="8" t="str">
        <f t="array" ref="M348">Y107</f>
        <v>1ВО::1.1</v>
      </c>
      <c r="AA348" s="192" t="str">
        <f>AA346&amp;".2"</f>
        <v>11.2</v>
      </c>
      <c r="AB348" s="266" t="s">
        <v>487</v>
      </c>
      <c r="AC348" s="194" t="s">
        <v>485</v>
      </c>
      <c r="AD348" s="195">
        <v>18.72</v>
      </c>
      <c r="AE348" s="195">
        <v>18.91</v>
      </c>
      <c r="AF348" s="195">
        <v>20.04</v>
      </c>
      <c r="AG348" s="15"/>
      <c r="AH348" s="15"/>
      <c r="AI348" s="195">
        <v>20.04</v>
      </c>
      <c r="AJ348" s="15"/>
      <c r="AK348" s="15"/>
      <c r="AL348" s="15"/>
      <c r="AM348" s="15"/>
      <c r="AN348" s="195">
        <f t="array" ref="AN348">AI348</f>
        <v>20.04</v>
      </c>
      <c r="AO348" s="195">
        <v>23.99</v>
      </c>
      <c r="AP348" s="15"/>
      <c r="AQ348" s="15"/>
      <c r="AR348" s="195">
        <v>23.99</v>
      </c>
      <c r="AS348" s="15"/>
      <c r="AT348" s="15"/>
      <c r="AU348" s="195">
        <f t="array" ref="AU348">IF(AND(isFIRST_PERIOD="да",FIRST_PERIOD_IN_LT=god-1),ROUND(IF($U107="Водоснабжение",IF(AU123=0,0,(AU340-AU122*AU347)/AU123),IF(AU140=0,0,(AU340-AU139*AU347)/AU140)),2),AR348)</f>
        <v>23.99</v>
      </c>
      <c r="AV348" s="195">
        <v>24.01</v>
      </c>
      <c r="AW348" s="15"/>
      <c r="AX348" s="15"/>
      <c r="AY348" s="195">
        <v>24.01</v>
      </c>
      <c r="AZ348" s="15"/>
      <c r="BA348" s="15"/>
      <c r="BB348" s="15"/>
      <c r="BC348" s="15"/>
      <c r="BD348" s="195" t="e">
        <f>ROUND(IF(ROUND(BD346,2)=BD347,BD347,IF($U107="Водоснабжение",IF(BD123=0,0,(BD340-BD122*BD347)/BD123),IF(BD140=0,0,(BD340-BD139*BD347)/BD140))),2)</f>
        <v>#REF!</v>
      </c>
      <c r="BE348" s="15"/>
      <c r="BF348" s="15"/>
      <c r="BG348" s="267" t="e">
        <f t="shared" si="130"/>
        <v>#REF!</v>
      </c>
      <c r="BH348" s="267" t="e">
        <f>BD348-#REF!</f>
        <v>#REF!</v>
      </c>
      <c r="BI348" s="267" t="e">
        <f t="shared" si="131"/>
        <v>#REF!</v>
      </c>
      <c r="BJ348" s="173">
        <f>ROUND(IF($U107="Водоснабжение",IF(BJ123=0,0,(BJ340-BJ122*BJ347)/BJ123),IF(BJ140=0,0,(BJ340-BJ139*BJ347)/BJ140)),2)</f>
        <v>0</v>
      </c>
      <c r="BK348" s="15"/>
      <c r="BL348" s="15"/>
      <c r="BM348" s="195" t="e">
        <f>ROUND(IF(ROUND(BM346,2)=BM347,BM347,IF($U107="Водоснабжение",IF(BM123=0,0,(BM340-BM122*BM347)/BM123),IF(BM140=0,0,(BM340-BM139*BM347)/BM140))),2)</f>
        <v>#REF!</v>
      </c>
      <c r="BN348" s="15"/>
      <c r="BO348" s="15"/>
      <c r="BP348" s="267" t="e">
        <f t="shared" si="132"/>
        <v>#REF!</v>
      </c>
      <c r="BQ348" s="267" t="e">
        <f t="shared" si="133"/>
        <v>#REF!</v>
      </c>
      <c r="BR348" s="173">
        <f>ROUND(IF($U107="Водоснабжение",IF(BR123=0,0,(BR340-BR122*BR347)/BR123),IF(BR140=0,0,(BR340-BR139*BR347)/BR140)),2)</f>
        <v>0</v>
      </c>
      <c r="BS348" s="15"/>
      <c r="BT348" s="15"/>
      <c r="BU348" s="195" t="e">
        <f>ROUND(IF(ROUND(BU346,2)=BU347,BU347,IF($U107="Водоснабжение",IF(BU123=0,0,(BU340-BU122*BU347)/BU123),IF(BU140=0,0,(BU340-BU139*BU347)/BU140))),2)</f>
        <v>#REF!</v>
      </c>
      <c r="BV348" s="15"/>
      <c r="BW348" s="15"/>
      <c r="BX348" s="267" t="e">
        <f t="shared" si="134"/>
        <v>#REF!</v>
      </c>
      <c r="BY348" s="267" t="e">
        <f t="shared" si="135"/>
        <v>#REF!</v>
      </c>
      <c r="BZ348" s="173">
        <f>ROUND(IF($U107="Водоснабжение",IF(BZ123=0,0,(BZ340-BZ122*BZ347)/BZ123),IF(BZ140=0,0,(BZ340-BZ139*BZ347)/BZ140)),2)</f>
        <v>0</v>
      </c>
      <c r="CA348" s="15"/>
      <c r="CB348" s="15"/>
      <c r="CC348" s="195" t="e">
        <f>ROUND(IF(ROUND(CC346,2)=CC347,CC347,IF($U107="Водоснабжение",IF(CC123=0,0,(CC340-CC122*CC347)/CC123),IF(CC140=0,0,(CC340-CC139*CC347)/CC140))),2)</f>
        <v>#REF!</v>
      </c>
      <c r="CD348" s="15"/>
      <c r="CE348" s="15"/>
      <c r="CF348" s="267" t="e">
        <f t="shared" si="136"/>
        <v>#REF!</v>
      </c>
      <c r="CG348" s="267" t="e">
        <f t="shared" si="137"/>
        <v>#REF!</v>
      </c>
      <c r="CH348" s="173">
        <f>ROUND(IF($U107="Водоснабжение",IF(CH123=0,0,(CH340-CH122*CH347)/CH123),IF(CH140=0,0,(CH340-CH139*CH347)/CH140)),2)</f>
        <v>0</v>
      </c>
      <c r="CI348" s="15"/>
      <c r="CJ348" s="15"/>
      <c r="CK348" s="195" t="e">
        <f>ROUND(IF(ROUND(CK346,2)=CK347,CK347,IF($U107="Водоснабжение",IF(CK123=0,0,(CK340-CK122*CK347)/CK123),IF(CK140=0,0,(CK340-CK139*CK347)/CK140))),2)</f>
        <v>#REF!</v>
      </c>
      <c r="CL348" s="15"/>
      <c r="CM348" s="15"/>
      <c r="CN348" s="267" t="e">
        <f t="shared" si="138"/>
        <v>#REF!</v>
      </c>
      <c r="CO348" s="267" t="e">
        <f t="shared" si="139"/>
        <v>#REF!</v>
      </c>
      <c r="CP348" s="347"/>
      <c r="CQ348" s="265"/>
      <c r="CR348" s="265"/>
      <c r="CS348" s="265"/>
      <c r="CT348" s="227" t="e">
        <f t="shared" si="140"/>
        <v>#REF!</v>
      </c>
      <c r="CU348" s="238" t="e">
        <f>ROUND(IF(ROUND(CU346,2)=CU347,CU347,IF($U107="Водоснабжение",IF(CU123=0,0,(CU340-CU122*CU347)/CU123),IF(CU140=0,0,(CU340-CU139*CU347)/CU140))),2)</f>
        <v>#REF!</v>
      </c>
      <c r="CV348" s="92"/>
      <c r="CW348" s="92"/>
      <c r="CX348" s="92"/>
      <c r="CY348" s="92"/>
      <c r="CZ348" s="92"/>
      <c r="DA348" s="92"/>
      <c r="DB348" s="92"/>
    </row>
    <row r="349" spans="1:107" ht="14.25" customHeight="1" outlineLevel="1" x14ac:dyDescent="0.25">
      <c r="A349" s="2" t="b">
        <f>$W107="одноставочный"</f>
        <v>1</v>
      </c>
      <c r="B349" s="8" t="b">
        <f t="array" ref="B349">A349</f>
        <v>1</v>
      </c>
      <c r="C349" s="2" t="s">
        <v>97</v>
      </c>
      <c r="D349" s="2" t="s">
        <v>98</v>
      </c>
      <c r="E349" s="2" t="s">
        <v>74</v>
      </c>
      <c r="F349" s="2" t="s">
        <v>75</v>
      </c>
      <c r="G349" s="2" t="s">
        <v>74</v>
      </c>
      <c r="H349" s="2" t="s">
        <v>74</v>
      </c>
      <c r="I349" s="2" t="s">
        <v>74</v>
      </c>
      <c r="J349" s="2" t="s">
        <v>74</v>
      </c>
      <c r="K349" s="5" t="s">
        <v>74</v>
      </c>
      <c r="L349" s="2" t="s">
        <v>136</v>
      </c>
      <c r="M349" s="8" t="str">
        <f t="array" ref="M349">Y107</f>
        <v>1ВО::1.1</v>
      </c>
      <c r="AA349" s="192" t="str">
        <f>AA346&amp;".3"</f>
        <v>11.3</v>
      </c>
      <c r="AB349" s="266" t="s">
        <v>98</v>
      </c>
      <c r="AC349" s="194" t="s">
        <v>122</v>
      </c>
      <c r="AD349" s="12"/>
      <c r="AE349" s="267">
        <v>101.01495726495726</v>
      </c>
      <c r="AF349" s="267">
        <v>100.00000066666668</v>
      </c>
      <c r="AG349" s="15"/>
      <c r="AH349" s="268"/>
      <c r="AI349" s="267">
        <f>IF(AI347=0,0,AI348/AI347)*100</f>
        <v>100.00000066666668</v>
      </c>
      <c r="AJ349" s="15"/>
      <c r="AK349" s="268"/>
      <c r="AL349" s="15"/>
      <c r="AM349" s="268"/>
      <c r="AN349" s="267">
        <f>IF(AN347=0,0,AN348/AN347)*100</f>
        <v>100.00000066666668</v>
      </c>
      <c r="AO349" s="267">
        <v>119.71057884231537</v>
      </c>
      <c r="AP349" s="15"/>
      <c r="AQ349" s="268"/>
      <c r="AR349" s="267">
        <f>IF(AR347=0,0,AR348/AR347)*100</f>
        <v>119.71057884231537</v>
      </c>
      <c r="AS349" s="15"/>
      <c r="AT349" s="268"/>
      <c r="AU349" s="267">
        <f>IF(AU347=0,0,AU348/AU347)*100</f>
        <v>119.71057884231537</v>
      </c>
      <c r="AV349" s="267">
        <v>100.08336807002919</v>
      </c>
      <c r="AW349" s="15"/>
      <c r="AX349" s="268"/>
      <c r="AY349" s="267">
        <f>IF(AY347=0,0,AY348/AY347)*100</f>
        <v>100.08336807002919</v>
      </c>
      <c r="AZ349" s="15"/>
      <c r="BA349" s="268"/>
      <c r="BB349" s="15"/>
      <c r="BC349" s="268"/>
      <c r="BD349" s="267" t="e">
        <f>IF(BD347=0,0,BD348/BD347)*100</f>
        <v>#REF!</v>
      </c>
      <c r="BE349" s="15"/>
      <c r="BF349" s="268"/>
      <c r="BG349" s="267" t="e">
        <f t="shared" si="130"/>
        <v>#REF!</v>
      </c>
      <c r="BH349" s="267" t="e">
        <f>BD349-#REF!</f>
        <v>#REF!</v>
      </c>
      <c r="BI349" s="267" t="e">
        <f t="shared" si="131"/>
        <v>#REF!</v>
      </c>
      <c r="BJ349" s="267" t="e">
        <f>IF(BJ347=0,0,BJ348/BJ347)*100</f>
        <v>#REF!</v>
      </c>
      <c r="BK349" s="15"/>
      <c r="BL349" s="268"/>
      <c r="BM349" s="267" t="e">
        <f>IF(BM347=0,0,BM348/BM347)*100</f>
        <v>#REF!</v>
      </c>
      <c r="BN349" s="15"/>
      <c r="BO349" s="268"/>
      <c r="BP349" s="267" t="e">
        <f t="shared" si="132"/>
        <v>#REF!</v>
      </c>
      <c r="BQ349" s="267" t="e">
        <f t="shared" si="133"/>
        <v>#REF!</v>
      </c>
      <c r="BR349" s="267">
        <f>IF(BR347=0,0,BR348/BR347)*100</f>
        <v>0</v>
      </c>
      <c r="BS349" s="15"/>
      <c r="BT349" s="268"/>
      <c r="BU349" s="267" t="e">
        <f>IF(BU347=0,0,BU348/BU347)*100</f>
        <v>#REF!</v>
      </c>
      <c r="BV349" s="15"/>
      <c r="BW349" s="268"/>
      <c r="BX349" s="267" t="e">
        <f t="shared" si="134"/>
        <v>#REF!</v>
      </c>
      <c r="BY349" s="267" t="e">
        <f t="shared" si="135"/>
        <v>#REF!</v>
      </c>
      <c r="BZ349" s="267">
        <f>IF(BZ347=0,0,BZ348/BZ347)*100</f>
        <v>0</v>
      </c>
      <c r="CA349" s="15"/>
      <c r="CB349" s="268"/>
      <c r="CC349" s="267" t="e">
        <f>IF(CC347=0,0,CC348/CC347)*100</f>
        <v>#REF!</v>
      </c>
      <c r="CD349" s="15"/>
      <c r="CE349" s="268"/>
      <c r="CF349" s="267" t="e">
        <f t="shared" si="136"/>
        <v>#REF!</v>
      </c>
      <c r="CG349" s="267" t="e">
        <f t="shared" si="137"/>
        <v>#REF!</v>
      </c>
      <c r="CH349" s="267">
        <f>IF(CH347=0,0,CH348/CH347)*100</f>
        <v>0</v>
      </c>
      <c r="CI349" s="15"/>
      <c r="CJ349" s="353"/>
      <c r="CK349" s="97" t="e">
        <f>IF(CK347=0,0,CK348/CK347)*100</f>
        <v>#REF!</v>
      </c>
      <c r="CL349" s="15"/>
      <c r="CM349" s="268"/>
      <c r="CN349" s="267" t="e">
        <f t="shared" si="138"/>
        <v>#REF!</v>
      </c>
      <c r="CO349" s="267" t="e">
        <f t="shared" si="139"/>
        <v>#REF!</v>
      </c>
      <c r="CP349" s="347"/>
      <c r="CQ349" s="265"/>
      <c r="CR349" s="265"/>
      <c r="CS349" s="265"/>
      <c r="CT349" s="227" t="e">
        <f t="shared" si="140"/>
        <v>#REF!</v>
      </c>
      <c r="CU349" s="238" t="e">
        <f>IF(CU347=0,0,CU348/CU347)*100</f>
        <v>#REF!</v>
      </c>
      <c r="CV349" s="92"/>
      <c r="CW349" s="92"/>
      <c r="CX349" s="92"/>
      <c r="CY349" s="92"/>
      <c r="CZ349" s="92"/>
      <c r="DA349" s="92"/>
      <c r="DB349" s="92"/>
    </row>
    <row r="350" spans="1:107" ht="14.25" customHeight="1" x14ac:dyDescent="0.25">
      <c r="A350" s="2" t="b">
        <f>$W107="одноставочный"</f>
        <v>1</v>
      </c>
      <c r="B350" s="81" t="b">
        <f>AND(A350,NDS="да")</f>
        <v>1</v>
      </c>
      <c r="C350" s="2" t="s">
        <v>99</v>
      </c>
      <c r="D350" s="2" t="s">
        <v>100</v>
      </c>
      <c r="E350" s="2" t="s">
        <v>74</v>
      </c>
      <c r="F350" s="2" t="s">
        <v>75</v>
      </c>
      <c r="G350" s="2" t="s">
        <v>74</v>
      </c>
      <c r="H350" s="2" t="s">
        <v>74</v>
      </c>
      <c r="I350" s="2" t="s">
        <v>74</v>
      </c>
      <c r="J350" s="2" t="s">
        <v>74</v>
      </c>
      <c r="K350" s="5" t="s">
        <v>74</v>
      </c>
      <c r="L350" s="2" t="s">
        <v>136</v>
      </c>
      <c r="M350" s="8" t="str">
        <f t="array" ref="M350">Y107</f>
        <v>1ВО::1.1</v>
      </c>
      <c r="AA350" s="146">
        <f>COUNT(AA320,AA156,AA110,AA329,AA330,AA334,AA340,AA346,AA338,AA339,AA343,AA344,AA345,AA337)+2</f>
        <v>12</v>
      </c>
      <c r="AB350" s="186" t="s">
        <v>488</v>
      </c>
      <c r="AC350" s="146" t="s">
        <v>485</v>
      </c>
      <c r="AD350" s="269">
        <v>21.93</v>
      </c>
      <c r="AE350" s="269">
        <v>22.58</v>
      </c>
      <c r="AF350" s="269">
        <v>24.05</v>
      </c>
      <c r="AG350" s="76"/>
      <c r="AH350" s="76"/>
      <c r="AI350" s="269" t="e">
        <f>ROUND(AI346*(1+SUMIF([1]Справочники!$GM$18:$GZ$20,AI$84,[1]Справочники!$GM$26:$GZ$26)/100),2)</f>
        <v>#VALUE!</v>
      </c>
      <c r="AJ350" s="76"/>
      <c r="AK350" s="76"/>
      <c r="AL350" s="76"/>
      <c r="AM350" s="76"/>
      <c r="AN350" s="269" t="e">
        <f>ROUND(AN346*(1+SUMIF([1]Справочники!$GM$18:$GZ$20,AN$84,[1]Справочники!$GM$26:$GZ$26)/100),2)</f>
        <v>#REF!</v>
      </c>
      <c r="AO350" s="269">
        <f>AO346*1.2</f>
        <v>26.418000071931623</v>
      </c>
      <c r="AP350" s="76"/>
      <c r="AQ350" s="76"/>
      <c r="AR350" s="269" t="e">
        <f>ROUND(AR346*(1+SUMIF([1]Справочники!$GM$18:$GZ$20,AR$84,[1]Справочники!$GM$26:$GZ$26)/100),2)</f>
        <v>#VALUE!</v>
      </c>
      <c r="AS350" s="76"/>
      <c r="AT350" s="76"/>
      <c r="AU350" s="269" t="e">
        <f>ROUND(AU346*(1+SUMIF([1]Справочники!$GM$18:$GZ$20,AU$84,[1]Справочники!$GM$26:$GZ$26)/100),2)</f>
        <v>#REF!</v>
      </c>
      <c r="AV350" s="269">
        <v>28.8</v>
      </c>
      <c r="AW350" s="76"/>
      <c r="AX350" s="76"/>
      <c r="AY350" s="269" t="e">
        <f>ROUND(AY346*(1+SUMIF([1]Справочники!$GM$18:$GZ$20,AY$84,[1]Справочники!$GM$26:$GZ$26)/100),2)</f>
        <v>#VALUE!</v>
      </c>
      <c r="AZ350" s="76"/>
      <c r="BA350" s="76"/>
      <c r="BB350" s="76"/>
      <c r="BC350" s="76"/>
      <c r="BD350" s="269" t="e">
        <f>ROUND(BD346*(1+SUMIF([1]Справочники!$GM$18:$GZ$20,BD$84,[1]Справочники!$GM$26:$GZ$26)/100),2)</f>
        <v>#REF!</v>
      </c>
      <c r="BE350" s="76"/>
      <c r="BF350" s="76"/>
      <c r="BG350" s="267" t="e">
        <f t="shared" si="130"/>
        <v>#VALUE!</v>
      </c>
      <c r="BH350" s="267" t="e">
        <f>BD350-#REF!</f>
        <v>#REF!</v>
      </c>
      <c r="BI350" s="267" t="e">
        <f t="shared" si="131"/>
        <v>#REF!</v>
      </c>
      <c r="BJ350" s="269" t="e">
        <f>ROUND(BJ346*(1+SUMIF([1]Справочники!$GM$18:$GZ$20,BJ$84,[1]Справочники!$GM$26:$GZ$26)/100),2)</f>
        <v>#VALUE!</v>
      </c>
      <c r="BK350" s="76"/>
      <c r="BL350" s="76"/>
      <c r="BM350" s="269" t="e">
        <f>ROUND(BM346*(1+SUMIF([1]Справочники!$GM$18:$GZ$20,BM$84,[1]Справочники!$GM$26:$GZ$26)/100),2)</f>
        <v>#REF!</v>
      </c>
      <c r="BN350" s="76"/>
      <c r="BO350" s="76"/>
      <c r="BP350" s="267" t="e">
        <f t="shared" si="132"/>
        <v>#REF!</v>
      </c>
      <c r="BQ350" s="267" t="e">
        <f t="shared" si="133"/>
        <v>#REF!</v>
      </c>
      <c r="BR350" s="269" t="e">
        <f>ROUND(BR346*(1+SUMIF([1]Справочники!$GM$18:$GZ$20,BR$84,[1]Справочники!$GM$26:$GZ$26)/100),2)</f>
        <v>#VALUE!</v>
      </c>
      <c r="BS350" s="76"/>
      <c r="BT350" s="76"/>
      <c r="BU350" s="269" t="e">
        <f>ROUND(BU346*(1+SUMIF([1]Справочники!$GM$18:$GZ$20,BU$84,[1]Справочники!$GM$26:$GZ$26)/100),2)</f>
        <v>#REF!</v>
      </c>
      <c r="BV350" s="76"/>
      <c r="BW350" s="76"/>
      <c r="BX350" s="267" t="e">
        <f t="shared" si="134"/>
        <v>#REF!</v>
      </c>
      <c r="BY350" s="267" t="e">
        <f t="shared" si="135"/>
        <v>#REF!</v>
      </c>
      <c r="BZ350" s="269" t="e">
        <f>ROUND(BZ346*(1+SUMIF([1]Справочники!$GM$18:$GZ$20,BZ$84,[1]Справочники!$GM$26:$GZ$26)/100),2)</f>
        <v>#VALUE!</v>
      </c>
      <c r="CA350" s="76"/>
      <c r="CB350" s="76"/>
      <c r="CC350" s="269" t="e">
        <f>ROUND(CC346*(1+SUMIF([1]Справочники!$GM$18:$GZ$20,CC$84,[1]Справочники!$GM$26:$GZ$26)/100),2)</f>
        <v>#REF!</v>
      </c>
      <c r="CD350" s="76"/>
      <c r="CE350" s="76"/>
      <c r="CF350" s="267" t="e">
        <f t="shared" si="136"/>
        <v>#REF!</v>
      </c>
      <c r="CG350" s="267" t="e">
        <f t="shared" si="137"/>
        <v>#REF!</v>
      </c>
      <c r="CH350" s="269" t="e">
        <f>ROUND(CH346*(1+SUMIF([1]Справочники!$GM$18:$GZ$20,CH$84,[1]Справочники!$GM$26:$GZ$26)/100),2)</f>
        <v>#VALUE!</v>
      </c>
      <c r="CI350" s="76"/>
      <c r="CJ350" s="354"/>
      <c r="CK350" s="272" t="e">
        <f>ROUND(CK346*(1+SUMIF([1]Справочники!$GM$18:$GZ$20,CK$84,[1]Справочники!$GM$26:$GZ$26)/100),2)</f>
        <v>#REF!</v>
      </c>
      <c r="CL350" s="355"/>
      <c r="CM350" s="76"/>
      <c r="CN350" s="267" t="e">
        <f t="shared" si="138"/>
        <v>#REF!</v>
      </c>
      <c r="CO350" s="267" t="e">
        <f t="shared" si="139"/>
        <v>#REF!</v>
      </c>
      <c r="CP350" s="347"/>
      <c r="CQ350" s="265"/>
      <c r="CR350" s="265"/>
      <c r="CS350" s="265"/>
      <c r="CT350" s="227" t="e">
        <f t="shared" si="140"/>
        <v>#VALUE!</v>
      </c>
      <c r="CU350" s="238" t="e">
        <f>ROUND(CU346*(1+SUMIF([1]Справочники!$GM$18:$GZ$20,CU$84,[1]Справочники!$GM$26:$GZ$26)/100),2)</f>
        <v>#REF!</v>
      </c>
      <c r="CV350" s="92"/>
      <c r="CW350" s="92"/>
      <c r="CX350" s="92"/>
      <c r="CY350" s="92"/>
      <c r="CZ350" s="92"/>
      <c r="DA350" s="92"/>
      <c r="DB350" s="92"/>
    </row>
    <row r="351" spans="1:107" ht="14.25" customHeight="1" outlineLevel="1" x14ac:dyDescent="0.25">
      <c r="B351" s="81" t="b">
        <f>AND(B347,NDS="да")</f>
        <v>1</v>
      </c>
      <c r="C351" s="2" t="s">
        <v>101</v>
      </c>
      <c r="D351" s="2" t="s">
        <v>102</v>
      </c>
      <c r="E351" s="2" t="s">
        <v>74</v>
      </c>
      <c r="F351" s="2" t="s">
        <v>75</v>
      </c>
      <c r="G351" s="2" t="s">
        <v>74</v>
      </c>
      <c r="H351" s="2" t="s">
        <v>74</v>
      </c>
      <c r="I351" s="2" t="s">
        <v>74</v>
      </c>
      <c r="J351" s="2" t="s">
        <v>74</v>
      </c>
      <c r="K351" s="5" t="s">
        <v>74</v>
      </c>
      <c r="L351" s="2" t="s">
        <v>136</v>
      </c>
      <c r="M351" s="8" t="str">
        <f t="array" ref="M351">Y107</f>
        <v>1ВО::1.1</v>
      </c>
      <c r="AA351" s="192" t="str">
        <f>AA350&amp;".1"</f>
        <v>12.1</v>
      </c>
      <c r="AB351" s="266" t="s">
        <v>486</v>
      </c>
      <c r="AC351" s="270" t="s">
        <v>485</v>
      </c>
      <c r="AD351" s="271">
        <v>21.4</v>
      </c>
      <c r="AE351" s="269">
        <v>22.46</v>
      </c>
      <c r="AF351" s="269">
        <v>24.05</v>
      </c>
      <c r="AG351" s="15"/>
      <c r="AH351" s="15"/>
      <c r="AI351" s="269" t="e">
        <f>ROUND(AI347*(1+SUMIF([1]Справочники!$GM$18:$GZ$20,AI$84,[1]Справочники!$GM$26:$GZ$26)/100),2)</f>
        <v>#VALUE!</v>
      </c>
      <c r="AJ351" s="15"/>
      <c r="AK351" s="15"/>
      <c r="AL351" s="15"/>
      <c r="AM351" s="15"/>
      <c r="AN351" s="269" t="e">
        <f>ROUND(AN347*(1+SUMIF([1]Справочники!$GM$18:$GZ$20,AN$84,[1]Справочники!$GM$26:$GZ$26)/100),2)</f>
        <v>#VALUE!</v>
      </c>
      <c r="AO351" s="269">
        <f>AO347*1.2</f>
        <v>24.047999999999998</v>
      </c>
      <c r="AP351" s="15"/>
      <c r="AQ351" s="15"/>
      <c r="AR351" s="269" t="e">
        <f>ROUND(AR347*(1+SUMIF([1]Справочники!$GM$18:$GZ$20,AR$84,[1]Справочники!$GM$26:$GZ$26)/100),2)</f>
        <v>#VALUE!</v>
      </c>
      <c r="AS351" s="15"/>
      <c r="AT351" s="15"/>
      <c r="AU351" s="269" t="e">
        <f>ROUND(AU347*(1+SUMIF([1]Справочники!$GM$18:$GZ$20,AU$84,[1]Справочники!$GM$26:$GZ$26)/100),2)</f>
        <v>#VALUE!</v>
      </c>
      <c r="AV351" s="269">
        <v>28.79</v>
      </c>
      <c r="AW351" s="15"/>
      <c r="AX351" s="15"/>
      <c r="AY351" s="269" t="e">
        <f>ROUND(AY347*(1+SUMIF([1]Справочники!$GM$18:$GZ$20,AY$84,[1]Справочники!$GM$26:$GZ$26)/100),2)</f>
        <v>#VALUE!</v>
      </c>
      <c r="AZ351" s="15"/>
      <c r="BA351" s="15"/>
      <c r="BB351" s="15"/>
      <c r="BC351" s="15"/>
      <c r="BD351" s="269" t="e">
        <f>BD347*(1+SUMIF([1]Справочники!$GM$18:$GZ$20,BD$84,[1]Справочники!$GM$26:$GZ$26)/100)</f>
        <v>#REF!</v>
      </c>
      <c r="BE351" s="15"/>
      <c r="BF351" s="15"/>
      <c r="BG351" s="267" t="e">
        <f t="shared" si="130"/>
        <v>#VALUE!</v>
      </c>
      <c r="BH351" s="267" t="e">
        <f>BD351-#REF!</f>
        <v>#REF!</v>
      </c>
      <c r="BI351" s="267" t="e">
        <f t="shared" si="131"/>
        <v>#REF!</v>
      </c>
      <c r="BJ351" s="269" t="e">
        <f>ROUND(BJ347*(1+SUMIF([1]Справочники!$GM$18:$GZ$20,BJ$84,[1]Справочники!$GM$26:$GZ$26)/100),2)</f>
        <v>#REF!</v>
      </c>
      <c r="BK351" s="15"/>
      <c r="BL351" s="15"/>
      <c r="BM351" s="269" t="e">
        <f>BM347*(1+SUMIF([1]Справочники!$GM$18:$GZ$20,BM$84,[1]Справочники!$GM$26:$GZ$26)/100)</f>
        <v>#REF!</v>
      </c>
      <c r="BN351" s="15"/>
      <c r="BO351" s="15"/>
      <c r="BP351" s="267" t="e">
        <f t="shared" si="132"/>
        <v>#REF!</v>
      </c>
      <c r="BQ351" s="267" t="e">
        <f t="shared" si="133"/>
        <v>#REF!</v>
      </c>
      <c r="BR351" s="269" t="e">
        <f>ROUND(BR347*(1+SUMIF([1]Справочники!$GM$18:$GZ$20,BR$84,[1]Справочники!$GM$26:$GZ$26)/100),2)</f>
        <v>#VALUE!</v>
      </c>
      <c r="BS351" s="15"/>
      <c r="BT351" s="15"/>
      <c r="BU351" s="269" t="e">
        <f>BU347*(1+SUMIF([1]Справочники!$GM$18:$GZ$20,BU$84,[1]Справочники!$GM$26:$GZ$26)/100)</f>
        <v>#REF!</v>
      </c>
      <c r="BV351" s="15"/>
      <c r="BW351" s="15"/>
      <c r="BX351" s="267" t="e">
        <f t="shared" si="134"/>
        <v>#REF!</v>
      </c>
      <c r="BY351" s="267" t="e">
        <f t="shared" si="135"/>
        <v>#REF!</v>
      </c>
      <c r="BZ351" s="269" t="e">
        <f>ROUND(BZ347*(1+SUMIF([1]Справочники!$GM$18:$GZ$20,BZ$84,[1]Справочники!$GM$26:$GZ$26)/100),2)</f>
        <v>#VALUE!</v>
      </c>
      <c r="CA351" s="15"/>
      <c r="CB351" s="15"/>
      <c r="CC351" s="269" t="e">
        <f>CC347*(1+SUMIF([1]Справочники!$GM$18:$GZ$20,CC$84,[1]Справочники!$GM$26:$GZ$26)/100)</f>
        <v>#REF!</v>
      </c>
      <c r="CD351" s="15"/>
      <c r="CE351" s="15"/>
      <c r="CF351" s="267" t="e">
        <f t="shared" si="136"/>
        <v>#REF!</v>
      </c>
      <c r="CG351" s="267" t="e">
        <f t="shared" si="137"/>
        <v>#REF!</v>
      </c>
      <c r="CH351" s="269" t="e">
        <f>ROUND(CH347*(1+SUMIF([1]Справочники!$GM$18:$GZ$20,CH$84,[1]Справочники!$GM$26:$GZ$26)/100),2)</f>
        <v>#VALUE!</v>
      </c>
      <c r="CI351" s="15"/>
      <c r="CJ351" s="15"/>
      <c r="CK351" s="272" t="e">
        <f>CK347*(1+SUMIF([1]Справочники!$GM$18:$GZ$20,CK$84,[1]Справочники!$GM$26:$GZ$26)/100)</f>
        <v>#REF!</v>
      </c>
      <c r="CL351" s="15"/>
      <c r="CM351" s="15"/>
      <c r="CN351" s="267" t="e">
        <f t="shared" si="138"/>
        <v>#REF!</v>
      </c>
      <c r="CO351" s="267" t="e">
        <f t="shared" si="139"/>
        <v>#REF!</v>
      </c>
      <c r="CP351" s="347"/>
      <c r="CQ351" s="265"/>
      <c r="CR351" s="265"/>
      <c r="CS351" s="265"/>
      <c r="CT351" s="227" t="e">
        <f t="shared" si="140"/>
        <v>#VALUE!</v>
      </c>
      <c r="CU351" s="238" t="e">
        <f>CU347*(1+SUMIF([1]Справочники!$GM$18:$GZ$20,CU$84,[1]Справочники!$GM$26:$GZ$26)/100)</f>
        <v>#REF!</v>
      </c>
      <c r="CV351" s="92"/>
      <c r="CW351" s="92"/>
      <c r="CX351" s="92"/>
      <c r="CY351" s="92"/>
      <c r="CZ351" s="92"/>
      <c r="DA351" s="92"/>
      <c r="DB351" s="92"/>
    </row>
    <row r="352" spans="1:107" ht="14.25" customHeight="1" outlineLevel="1" x14ac:dyDescent="0.25">
      <c r="B352" s="81" t="b">
        <f>AND(B348,NDS="да")</f>
        <v>1</v>
      </c>
      <c r="C352" s="2" t="s">
        <v>103</v>
      </c>
      <c r="D352" s="2" t="s">
        <v>104</v>
      </c>
      <c r="E352" s="2" t="s">
        <v>74</v>
      </c>
      <c r="F352" s="2" t="s">
        <v>75</v>
      </c>
      <c r="G352" s="2" t="s">
        <v>74</v>
      </c>
      <c r="H352" s="2" t="s">
        <v>74</v>
      </c>
      <c r="I352" s="2" t="s">
        <v>74</v>
      </c>
      <c r="J352" s="2" t="s">
        <v>74</v>
      </c>
      <c r="K352" s="5" t="s">
        <v>74</v>
      </c>
      <c r="L352" s="2" t="s">
        <v>136</v>
      </c>
      <c r="M352" s="8" t="str">
        <f t="array" ref="M352">Y107</f>
        <v>1ВО::1.1</v>
      </c>
      <c r="AA352" s="192" t="str">
        <f>AA350&amp;".2"</f>
        <v>12.2</v>
      </c>
      <c r="AB352" s="266" t="s">
        <v>487</v>
      </c>
      <c r="AC352" s="270" t="s">
        <v>485</v>
      </c>
      <c r="AD352" s="272">
        <v>22.46</v>
      </c>
      <c r="AE352" s="271">
        <v>22.69</v>
      </c>
      <c r="AF352" s="271">
        <v>24.05</v>
      </c>
      <c r="AG352" s="15"/>
      <c r="AH352" s="15"/>
      <c r="AI352" s="271" t="e">
        <f>ROUND(AI348*(1+SUMIF([1]Справочники!$GM$18:$GZ$20,AI$84,[1]Справочники!$GM$26:$GZ$26)/100),2)</f>
        <v>#VALUE!</v>
      </c>
      <c r="AJ352" s="15"/>
      <c r="AK352" s="15"/>
      <c r="AL352" s="15"/>
      <c r="AM352" s="15"/>
      <c r="AN352" s="271" t="e">
        <f>ROUND(AN348*(1+SUMIF([1]Справочники!$GM$18:$GZ$20,AN$84,[1]Справочники!$GM$26:$GZ$26)/100),2)</f>
        <v>#VALUE!</v>
      </c>
      <c r="AO352" s="271">
        <f>AO348*1.2</f>
        <v>28.787999999999997</v>
      </c>
      <c r="AP352" s="15"/>
      <c r="AQ352" s="15"/>
      <c r="AR352" s="271" t="e">
        <f>ROUND(AR348*(1+SUMIF([1]Справочники!$GM$18:$GZ$20,AR$84,[1]Справочники!$GM$26:$GZ$26)/100),2)</f>
        <v>#VALUE!</v>
      </c>
      <c r="AS352" s="15"/>
      <c r="AT352" s="15"/>
      <c r="AU352" s="271" t="e">
        <f>ROUND(AU348*(1+SUMIF([1]Справочники!$GM$18:$GZ$20,AU$84,[1]Справочники!$GM$26:$GZ$26)/100),2)</f>
        <v>#VALUE!</v>
      </c>
      <c r="AV352" s="271">
        <v>28.81</v>
      </c>
      <c r="AW352" s="15"/>
      <c r="AX352" s="15"/>
      <c r="AY352" s="271" t="e">
        <f>ROUND(AY348*(1+SUMIF([1]Справочники!$GM$18:$GZ$20,AY$84,[1]Справочники!$GM$26:$GZ$26)/100),2)</f>
        <v>#VALUE!</v>
      </c>
      <c r="AZ352" s="15"/>
      <c r="BA352" s="15"/>
      <c r="BB352" s="15"/>
      <c r="BC352" s="15"/>
      <c r="BD352" s="271" t="e">
        <f>BD348*(1+SUMIF([1]Справочники!$GM$18:$GZ$20,BD$84,[1]Справочники!$GM$26:$GZ$26)/100)</f>
        <v>#REF!</v>
      </c>
      <c r="BE352" s="15"/>
      <c r="BF352" s="15"/>
      <c r="BG352" s="316" t="e">
        <f t="shared" si="130"/>
        <v>#VALUE!</v>
      </c>
      <c r="BH352" s="316" t="e">
        <f>BD352-#REF!</f>
        <v>#REF!</v>
      </c>
      <c r="BI352" s="316" t="e">
        <f t="shared" si="131"/>
        <v>#REF!</v>
      </c>
      <c r="BJ352" s="271" t="e">
        <f>ROUND(BJ348*(1+SUMIF([1]Справочники!$GM$18:$GZ$20,BJ$84,[1]Справочники!$GM$26:$GZ$26)/100),2)</f>
        <v>#VALUE!</v>
      </c>
      <c r="BK352" s="15"/>
      <c r="BL352" s="15"/>
      <c r="BM352" s="271" t="e">
        <f>BM348*(1+SUMIF([1]Справочники!$GM$18:$GZ$20,BM$84,[1]Справочники!$GM$26:$GZ$26)/100)</f>
        <v>#REF!</v>
      </c>
      <c r="BN352" s="15"/>
      <c r="BO352" s="15"/>
      <c r="BP352" s="316" t="e">
        <f t="shared" si="132"/>
        <v>#REF!</v>
      </c>
      <c r="BQ352" s="316" t="e">
        <f t="shared" si="133"/>
        <v>#REF!</v>
      </c>
      <c r="BR352" s="271" t="e">
        <f>ROUND(BR348*(1+SUMIF([1]Справочники!$GM$18:$GZ$20,BR$84,[1]Справочники!$GM$26:$GZ$26)/100),2)</f>
        <v>#VALUE!</v>
      </c>
      <c r="BS352" s="15"/>
      <c r="BT352" s="15"/>
      <c r="BU352" s="271" t="e">
        <f>BU348*(1+SUMIF([1]Справочники!$GM$18:$GZ$20,BU$84,[1]Справочники!$GM$26:$GZ$26)/100)</f>
        <v>#REF!</v>
      </c>
      <c r="BV352" s="15"/>
      <c r="BW352" s="15"/>
      <c r="BX352" s="316" t="e">
        <f t="shared" si="134"/>
        <v>#REF!</v>
      </c>
      <c r="BY352" s="316" t="e">
        <f t="shared" si="135"/>
        <v>#REF!</v>
      </c>
      <c r="BZ352" s="271" t="e">
        <f>ROUND(BZ348*(1+SUMIF([1]Справочники!$GM$18:$GZ$20,BZ$84,[1]Справочники!$GM$26:$GZ$26)/100),2)</f>
        <v>#VALUE!</v>
      </c>
      <c r="CA352" s="15"/>
      <c r="CB352" s="15"/>
      <c r="CC352" s="271" t="e">
        <f>CC348*(1+SUMIF([1]Справочники!$GM$18:$GZ$20,CC$84,[1]Справочники!$GM$26:$GZ$26)/100)</f>
        <v>#REF!</v>
      </c>
      <c r="CD352" s="15"/>
      <c r="CE352" s="15"/>
      <c r="CF352" s="316" t="e">
        <f t="shared" si="136"/>
        <v>#REF!</v>
      </c>
      <c r="CG352" s="316" t="e">
        <f t="shared" si="137"/>
        <v>#REF!</v>
      </c>
      <c r="CH352" s="271" t="e">
        <f>ROUND(CH348*(1+SUMIF([1]Справочники!$GM$18:$GZ$20,CH$84,[1]Справочники!$GM$26:$GZ$26)/100),2)</f>
        <v>#VALUE!</v>
      </c>
      <c r="CI352" s="15"/>
      <c r="CJ352" s="15"/>
      <c r="CK352" s="272" t="e">
        <f>CK348*(1+SUMIF([1]Справочники!$GM$18:$GZ$20,CK$84,[1]Справочники!$GM$26:$GZ$26)/100)</f>
        <v>#REF!</v>
      </c>
      <c r="CL352" s="15"/>
      <c r="CM352" s="15"/>
      <c r="CN352" s="316" t="e">
        <f t="shared" si="138"/>
        <v>#REF!</v>
      </c>
      <c r="CO352" s="316" t="e">
        <f t="shared" si="139"/>
        <v>#REF!</v>
      </c>
      <c r="CP352" s="347"/>
      <c r="CQ352" s="265"/>
      <c r="CR352" s="265"/>
      <c r="CS352" s="265"/>
      <c r="CT352" s="227" t="e">
        <f t="shared" si="140"/>
        <v>#VALUE!</v>
      </c>
      <c r="CU352" s="238" t="e">
        <f>CU348*(1+SUMIF([1]Справочники!$GM$18:$GZ$20,CU$84,[1]Справочники!$GM$26:$GZ$26)/100)</f>
        <v>#REF!</v>
      </c>
      <c r="CV352" s="92"/>
      <c r="CW352" s="92"/>
      <c r="CX352" s="92"/>
      <c r="CY352" s="92"/>
      <c r="CZ352" s="92"/>
      <c r="DA352" s="92"/>
      <c r="DB352" s="92"/>
    </row>
    <row r="353" spans="1:107" ht="14.25" customHeight="1" outlineLevel="1" x14ac:dyDescent="0.25">
      <c r="A353" s="2" t="b">
        <f>$W107="одноставочный"</f>
        <v>1</v>
      </c>
      <c r="B353" s="81" t="b">
        <f>AND(A353,NDS="да")</f>
        <v>1</v>
      </c>
      <c r="C353" s="2" t="s">
        <v>105</v>
      </c>
      <c r="D353" s="2" t="s">
        <v>106</v>
      </c>
      <c r="E353" s="2" t="s">
        <v>74</v>
      </c>
      <c r="F353" s="2" t="s">
        <v>75</v>
      </c>
      <c r="G353" s="2" t="s">
        <v>74</v>
      </c>
      <c r="H353" s="2" t="s">
        <v>74</v>
      </c>
      <c r="I353" s="2" t="s">
        <v>74</v>
      </c>
      <c r="J353" s="2" t="s">
        <v>74</v>
      </c>
      <c r="K353" s="5" t="s">
        <v>74</v>
      </c>
      <c r="L353" s="2" t="s">
        <v>136</v>
      </c>
      <c r="M353" s="8" t="str">
        <f t="array" ref="M353">Y107</f>
        <v>1ВО::1.1</v>
      </c>
      <c r="AA353" s="192" t="str">
        <f>AA350&amp;".3"</f>
        <v>12.3</v>
      </c>
      <c r="AB353" s="266" t="s">
        <v>489</v>
      </c>
      <c r="AC353" s="270" t="s">
        <v>122</v>
      </c>
      <c r="AD353" s="12"/>
      <c r="AE353" s="273">
        <v>101.02404274265362</v>
      </c>
      <c r="AF353" s="273">
        <v>100</v>
      </c>
      <c r="AG353" s="15"/>
      <c r="AH353" s="268"/>
      <c r="AI353" s="273" t="e">
        <f>IF(AI351=0,0,AI352/AI351)*100</f>
        <v>#VALUE!</v>
      </c>
      <c r="AJ353" s="15"/>
      <c r="AK353" s="268"/>
      <c r="AL353" s="15"/>
      <c r="AM353" s="268"/>
      <c r="AN353" s="273" t="e">
        <f>IF(AN351=0,0,AN352/AN351)*100</f>
        <v>#VALUE!</v>
      </c>
      <c r="AO353" s="273" t="e">
        <v>#VALUE!</v>
      </c>
      <c r="AP353" s="15"/>
      <c r="AQ353" s="268"/>
      <c r="AR353" s="273" t="e">
        <f>IF(AR351=0,0,AR352/AR351)*100</f>
        <v>#VALUE!</v>
      </c>
      <c r="AS353" s="15"/>
      <c r="AT353" s="268"/>
      <c r="AU353" s="273" t="e">
        <f>IF(AU351=0,0,AU352/AU351)*100</f>
        <v>#VALUE!</v>
      </c>
      <c r="AV353" s="273">
        <v>100.06946856547412</v>
      </c>
      <c r="AW353" s="15"/>
      <c r="AX353" s="268"/>
      <c r="AY353" s="273" t="e">
        <f>IF(AY351=0,0,AY352/AY351)*100</f>
        <v>#VALUE!</v>
      </c>
      <c r="AZ353" s="15"/>
      <c r="BA353" s="268"/>
      <c r="BB353" s="15"/>
      <c r="BC353" s="268"/>
      <c r="BD353" s="273" t="e">
        <f>IF(BD351=0,0,BD352/BD351)*100</f>
        <v>#REF!</v>
      </c>
      <c r="BE353" s="15"/>
      <c r="BF353" s="268"/>
      <c r="BG353" s="273" t="e">
        <f t="shared" si="130"/>
        <v>#VALUE!</v>
      </c>
      <c r="BH353" s="273" t="e">
        <f>BD353-#REF!</f>
        <v>#REF!</v>
      </c>
      <c r="BI353" s="273" t="e">
        <f t="shared" si="131"/>
        <v>#REF!</v>
      </c>
      <c r="BJ353" s="273" t="e">
        <f>IF(BJ351=0,0,BJ352/BJ351)*100</f>
        <v>#REF!</v>
      </c>
      <c r="BK353" s="15"/>
      <c r="BL353" s="268"/>
      <c r="BM353" s="273" t="e">
        <f>IF(BM351=0,0,BM352/BM351)*100</f>
        <v>#REF!</v>
      </c>
      <c r="BN353" s="15"/>
      <c r="BO353" s="268"/>
      <c r="BP353" s="273" t="e">
        <f t="shared" si="132"/>
        <v>#REF!</v>
      </c>
      <c r="BQ353" s="273" t="e">
        <f t="shared" si="133"/>
        <v>#REF!</v>
      </c>
      <c r="BR353" s="273" t="e">
        <f>IF(BR351=0,0,BR352/BR351)*100</f>
        <v>#VALUE!</v>
      </c>
      <c r="BS353" s="15"/>
      <c r="BT353" s="268"/>
      <c r="BU353" s="273" t="e">
        <f>IF(BU351=0,0,BU352/BU351)*100</f>
        <v>#REF!</v>
      </c>
      <c r="BV353" s="15"/>
      <c r="BW353" s="268"/>
      <c r="BX353" s="273" t="e">
        <f t="shared" si="134"/>
        <v>#REF!</v>
      </c>
      <c r="BY353" s="273" t="e">
        <f t="shared" si="135"/>
        <v>#REF!</v>
      </c>
      <c r="BZ353" s="273" t="e">
        <f>IF(BZ351=0,0,BZ352/BZ351)*100</f>
        <v>#VALUE!</v>
      </c>
      <c r="CA353" s="15"/>
      <c r="CB353" s="268"/>
      <c r="CC353" s="273" t="e">
        <f>IF(CC351=0,0,CC352/CC351)*100</f>
        <v>#REF!</v>
      </c>
      <c r="CD353" s="15"/>
      <c r="CE353" s="268"/>
      <c r="CF353" s="273" t="e">
        <f t="shared" si="136"/>
        <v>#REF!</v>
      </c>
      <c r="CG353" s="273" t="e">
        <f t="shared" si="137"/>
        <v>#REF!</v>
      </c>
      <c r="CH353" s="273" t="e">
        <f>IF(CH351=0,0,CH352/CH351)*100</f>
        <v>#VALUE!</v>
      </c>
      <c r="CI353" s="15"/>
      <c r="CJ353" s="353"/>
      <c r="CK353" s="97" t="e">
        <f>IF(CK351=0,0,CK352/CK351)*100</f>
        <v>#REF!</v>
      </c>
      <c r="CL353" s="15"/>
      <c r="CM353" s="268"/>
      <c r="CN353" s="273" t="e">
        <f t="shared" si="138"/>
        <v>#REF!</v>
      </c>
      <c r="CO353" s="273" t="e">
        <f t="shared" si="139"/>
        <v>#REF!</v>
      </c>
      <c r="CP353" s="347"/>
      <c r="CQ353" s="265"/>
      <c r="CR353" s="265"/>
      <c r="CS353" s="265"/>
      <c r="CT353" s="227" t="e">
        <f t="shared" si="140"/>
        <v>#VALUE!</v>
      </c>
      <c r="CU353" s="238" t="e">
        <f>IF(CU351=0,0,CU352/CU351)*100</f>
        <v>#REF!</v>
      </c>
      <c r="CV353" s="92"/>
      <c r="CW353" s="92"/>
      <c r="CX353" s="92"/>
      <c r="CY353" s="92"/>
      <c r="CZ353" s="92"/>
      <c r="DA353" s="92"/>
      <c r="DB353" s="92"/>
    </row>
    <row r="354" spans="1:107" ht="14.25" hidden="1" customHeight="1" x14ac:dyDescent="0.15">
      <c r="A354" s="2" t="b">
        <f>$W107&lt;&gt;"одноставочный"</f>
        <v>0</v>
      </c>
      <c r="B354" s="8" t="b">
        <f t="array" ref="B354">A354</f>
        <v>0</v>
      </c>
      <c r="C354" s="77" t="s">
        <v>490</v>
      </c>
      <c r="D354" s="8" t="s">
        <v>491</v>
      </c>
      <c r="E354" s="2" t="s">
        <v>74</v>
      </c>
      <c r="F354" s="2" t="s">
        <v>75</v>
      </c>
      <c r="G354" s="2" t="s">
        <v>74</v>
      </c>
      <c r="H354" s="2" t="s">
        <v>74</v>
      </c>
      <c r="I354" s="2" t="s">
        <v>74</v>
      </c>
      <c r="J354" s="2" t="s">
        <v>74</v>
      </c>
      <c r="K354" s="5" t="s">
        <v>74</v>
      </c>
      <c r="L354" s="12"/>
      <c r="M354" s="8" t="str">
        <f t="array" ref="M354">Y107</f>
        <v>1ВО::1.1</v>
      </c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5"/>
      <c r="AA354" s="63"/>
      <c r="AB354" s="74"/>
      <c r="AC354" s="63"/>
      <c r="AD354" s="174"/>
      <c r="AE354" s="174"/>
      <c r="AF354" s="174"/>
      <c r="AG354" s="202"/>
      <c r="AH354" s="202"/>
      <c r="AI354" s="174"/>
      <c r="AJ354" s="202"/>
      <c r="AK354" s="202"/>
      <c r="AL354" s="174"/>
      <c r="AM354" s="174"/>
      <c r="AN354" s="174"/>
      <c r="AO354" s="174"/>
      <c r="AP354" s="202"/>
      <c r="AQ354" s="202"/>
      <c r="AR354" s="174"/>
      <c r="AS354" s="202"/>
      <c r="AT354" s="202"/>
      <c r="AU354" s="174"/>
      <c r="AV354" s="174"/>
      <c r="AW354" s="202"/>
      <c r="AX354" s="202"/>
      <c r="AY354" s="174"/>
      <c r="AZ354" s="202"/>
      <c r="BA354" s="202"/>
      <c r="BB354" s="202"/>
      <c r="BC354" s="202"/>
      <c r="BD354" s="174"/>
      <c r="BE354" s="202"/>
      <c r="BF354" s="202"/>
      <c r="BG354" s="275"/>
      <c r="BH354" s="275"/>
      <c r="BI354" s="275"/>
      <c r="BJ354" s="174"/>
      <c r="BK354" s="202"/>
      <c r="BL354" s="202"/>
      <c r="BM354" s="174"/>
      <c r="BN354" s="202"/>
      <c r="BO354" s="202"/>
      <c r="BP354" s="275"/>
      <c r="BQ354" s="275"/>
      <c r="BR354" s="174"/>
      <c r="BS354" s="202"/>
      <c r="BT354" s="202"/>
      <c r="BU354" s="174"/>
      <c r="BV354" s="202"/>
      <c r="BW354" s="202"/>
      <c r="BX354" s="275"/>
      <c r="BY354" s="275"/>
      <c r="BZ354" s="174"/>
      <c r="CA354" s="202"/>
      <c r="CB354" s="202"/>
      <c r="CC354" s="174"/>
      <c r="CD354" s="202"/>
      <c r="CE354" s="202"/>
      <c r="CF354" s="275"/>
      <c r="CG354" s="275"/>
      <c r="CH354" s="174"/>
      <c r="CI354" s="202"/>
      <c r="CJ354" s="351"/>
      <c r="CK354" s="356"/>
      <c r="CL354" s="352"/>
      <c r="CM354" s="202"/>
      <c r="CN354" s="275"/>
      <c r="CO354" s="275"/>
      <c r="CP354" s="357"/>
      <c r="CQ354" s="274"/>
      <c r="CR354" s="274"/>
      <c r="CS354" s="274"/>
      <c r="CT354" s="170"/>
      <c r="CU354" s="178"/>
      <c r="CV354" s="54"/>
      <c r="CW354" s="54"/>
      <c r="CX354" s="54"/>
      <c r="CY354" s="54"/>
      <c r="CZ354" s="54"/>
      <c r="DA354" s="54"/>
      <c r="DB354" s="54"/>
      <c r="DC354" s="15"/>
    </row>
    <row r="355" spans="1:107" ht="14.25" hidden="1" customHeight="1" outlineLevel="1" x14ac:dyDescent="0.15">
      <c r="A355" s="2" t="b">
        <f>AND($AC$56="нет",$W107&lt;&gt;"одноставочный")</f>
        <v>0</v>
      </c>
      <c r="B355" s="8" t="b">
        <f t="array" ref="B355">A355</f>
        <v>0</v>
      </c>
      <c r="C355" s="77" t="s">
        <v>492</v>
      </c>
      <c r="D355" s="8" t="s">
        <v>493</v>
      </c>
      <c r="E355" s="2" t="s">
        <v>74</v>
      </c>
      <c r="F355" s="2" t="s">
        <v>75</v>
      </c>
      <c r="G355" s="2" t="s">
        <v>74</v>
      </c>
      <c r="H355" s="2" t="s">
        <v>74</v>
      </c>
      <c r="I355" s="2" t="s">
        <v>74</v>
      </c>
      <c r="J355" s="2" t="s">
        <v>74</v>
      </c>
      <c r="K355" s="5" t="s">
        <v>74</v>
      </c>
      <c r="L355" s="12"/>
      <c r="M355" s="8" t="str">
        <f t="array" ref="M355">Y107</f>
        <v>1ВО::1.1</v>
      </c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5"/>
      <c r="AA355" s="260"/>
      <c r="AB355" s="72"/>
      <c r="AC355" s="78"/>
      <c r="AD355" s="202"/>
      <c r="AE355" s="202"/>
      <c r="AF355" s="202"/>
      <c r="AG355" s="15"/>
      <c r="AH355" s="15"/>
      <c r="AI355" s="202"/>
      <c r="AJ355" s="15"/>
      <c r="AK355" s="15"/>
      <c r="AL355" s="15"/>
      <c r="AM355" s="15"/>
      <c r="AN355" s="174"/>
      <c r="AO355" s="202"/>
      <c r="AP355" s="15"/>
      <c r="AQ355" s="15"/>
      <c r="AR355" s="202"/>
      <c r="AS355" s="15"/>
      <c r="AT355" s="15"/>
      <c r="AU355" s="202"/>
      <c r="AV355" s="202"/>
      <c r="AW355" s="15"/>
      <c r="AX355" s="15"/>
      <c r="AY355" s="202"/>
      <c r="AZ355" s="15"/>
      <c r="BA355" s="15"/>
      <c r="BB355" s="15"/>
      <c r="BC355" s="15"/>
      <c r="BD355" s="202"/>
      <c r="BE355" s="15"/>
      <c r="BF355" s="15"/>
      <c r="BG355" s="275"/>
      <c r="BH355" s="275"/>
      <c r="BI355" s="275"/>
      <c r="BJ355" s="202"/>
      <c r="BK355" s="15"/>
      <c r="BL355" s="15"/>
      <c r="BM355" s="202"/>
      <c r="BN355" s="15"/>
      <c r="BO355" s="15"/>
      <c r="BP355" s="275"/>
      <c r="BQ355" s="275"/>
      <c r="BR355" s="202"/>
      <c r="BS355" s="15"/>
      <c r="BT355" s="15"/>
      <c r="BU355" s="202"/>
      <c r="BV355" s="15"/>
      <c r="BW355" s="15"/>
      <c r="BX355" s="275"/>
      <c r="BY355" s="275"/>
      <c r="BZ355" s="202"/>
      <c r="CA355" s="15"/>
      <c r="CB355" s="15"/>
      <c r="CC355" s="202"/>
      <c r="CD355" s="15"/>
      <c r="CE355" s="15"/>
      <c r="CF355" s="275"/>
      <c r="CG355" s="275"/>
      <c r="CH355" s="202"/>
      <c r="CI355" s="15"/>
      <c r="CJ355" s="15"/>
      <c r="CK355" s="282"/>
      <c r="CL355" s="15"/>
      <c r="CM355" s="15"/>
      <c r="CN355" s="275"/>
      <c r="CO355" s="275"/>
      <c r="CP355" s="357"/>
      <c r="CQ355" s="274"/>
      <c r="CR355" s="274"/>
      <c r="CS355" s="274"/>
      <c r="CT355" s="170"/>
      <c r="CU355" s="170"/>
      <c r="CV355" s="54"/>
      <c r="CW355" s="54"/>
      <c r="CX355" s="54"/>
      <c r="CY355" s="54"/>
      <c r="CZ355" s="54"/>
      <c r="DA355" s="54"/>
      <c r="DB355" s="54"/>
      <c r="DC355" s="15"/>
    </row>
    <row r="356" spans="1:107" ht="14.25" hidden="1" customHeight="1" outlineLevel="1" x14ac:dyDescent="0.15">
      <c r="A356" s="2" t="b">
        <f>AND($AC$56="нет",$W107&lt;&gt;"одноставочный")</f>
        <v>0</v>
      </c>
      <c r="B356" s="8" t="b">
        <f t="array" ref="B356">A356</f>
        <v>0</v>
      </c>
      <c r="C356" s="77" t="s">
        <v>494</v>
      </c>
      <c r="D356" s="8" t="s">
        <v>495</v>
      </c>
      <c r="E356" s="2" t="s">
        <v>74</v>
      </c>
      <c r="F356" s="2" t="s">
        <v>75</v>
      </c>
      <c r="G356" s="2" t="s">
        <v>74</v>
      </c>
      <c r="H356" s="2" t="s">
        <v>74</v>
      </c>
      <c r="I356" s="2" t="s">
        <v>74</v>
      </c>
      <c r="J356" s="2" t="s">
        <v>74</v>
      </c>
      <c r="K356" s="5" t="s">
        <v>74</v>
      </c>
      <c r="L356" s="12"/>
      <c r="M356" s="8" t="str">
        <f t="array" ref="M356">Y107</f>
        <v>1ВО::1.1</v>
      </c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5"/>
      <c r="AA356" s="260"/>
      <c r="AB356" s="72"/>
      <c r="AC356" s="78"/>
      <c r="AD356" s="202"/>
      <c r="AE356" s="202"/>
      <c r="AF356" s="202"/>
      <c r="AG356" s="15"/>
      <c r="AH356" s="15"/>
      <c r="AI356" s="202"/>
      <c r="AJ356" s="15"/>
      <c r="AK356" s="15"/>
      <c r="AL356" s="15"/>
      <c r="AM356" s="15"/>
      <c r="AN356" s="174"/>
      <c r="AO356" s="202"/>
      <c r="AP356" s="15"/>
      <c r="AQ356" s="15"/>
      <c r="AR356" s="202"/>
      <c r="AS356" s="15"/>
      <c r="AT356" s="15"/>
      <c r="AU356" s="174"/>
      <c r="AV356" s="202"/>
      <c r="AW356" s="15"/>
      <c r="AX356" s="15"/>
      <c r="AY356" s="202"/>
      <c r="AZ356" s="15"/>
      <c r="BA356" s="15"/>
      <c r="BB356" s="15"/>
      <c r="BC356" s="15"/>
      <c r="BD356" s="174"/>
      <c r="BE356" s="15"/>
      <c r="BF356" s="15"/>
      <c r="BG356" s="275"/>
      <c r="BH356" s="275"/>
      <c r="BI356" s="275"/>
      <c r="BJ356" s="174"/>
      <c r="BK356" s="15"/>
      <c r="BL356" s="15"/>
      <c r="BM356" s="174"/>
      <c r="BN356" s="15"/>
      <c r="BO356" s="15"/>
      <c r="BP356" s="275"/>
      <c r="BQ356" s="275"/>
      <c r="BR356" s="174"/>
      <c r="BS356" s="15"/>
      <c r="BT356" s="15"/>
      <c r="BU356" s="174"/>
      <c r="BV356" s="15"/>
      <c r="BW356" s="15"/>
      <c r="BX356" s="275"/>
      <c r="BY356" s="275"/>
      <c r="BZ356" s="174"/>
      <c r="CA356" s="15"/>
      <c r="CB356" s="15"/>
      <c r="CC356" s="174"/>
      <c r="CD356" s="15"/>
      <c r="CE356" s="15"/>
      <c r="CF356" s="275"/>
      <c r="CG356" s="275"/>
      <c r="CH356" s="174"/>
      <c r="CI356" s="15"/>
      <c r="CJ356" s="15"/>
      <c r="CK356" s="356"/>
      <c r="CL356" s="15"/>
      <c r="CM356" s="15"/>
      <c r="CN356" s="275"/>
      <c r="CO356" s="275"/>
      <c r="CP356" s="357"/>
      <c r="CQ356" s="274"/>
      <c r="CR356" s="274"/>
      <c r="CS356" s="274"/>
      <c r="CT356" s="170"/>
      <c r="CU356" s="178"/>
      <c r="CV356" s="54"/>
      <c r="CW356" s="54"/>
      <c r="CX356" s="54"/>
      <c r="CY356" s="54"/>
      <c r="CZ356" s="54"/>
      <c r="DA356" s="54"/>
      <c r="DB356" s="54"/>
      <c r="DC356" s="15"/>
    </row>
    <row r="357" spans="1:107" ht="14.25" hidden="1" customHeight="1" outlineLevel="1" x14ac:dyDescent="0.15">
      <c r="A357" s="2" t="b">
        <f>$W107&lt;&gt;"одноставочный"</f>
        <v>0</v>
      </c>
      <c r="B357" s="8" t="b">
        <f t="array" ref="B357">A357</f>
        <v>0</v>
      </c>
      <c r="C357" s="77" t="s">
        <v>496</v>
      </c>
      <c r="D357" s="8" t="s">
        <v>497</v>
      </c>
      <c r="E357" s="2" t="s">
        <v>74</v>
      </c>
      <c r="F357" s="2" t="s">
        <v>75</v>
      </c>
      <c r="G357" s="2" t="s">
        <v>74</v>
      </c>
      <c r="H357" s="2" t="s">
        <v>74</v>
      </c>
      <c r="I357" s="2" t="s">
        <v>74</v>
      </c>
      <c r="J357" s="2" t="s">
        <v>74</v>
      </c>
      <c r="K357" s="5" t="s">
        <v>74</v>
      </c>
      <c r="L357" s="12"/>
      <c r="M357" s="8" t="str">
        <f t="array" ref="M357">Y107</f>
        <v>1ВО::1.1</v>
      </c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5"/>
      <c r="AA357" s="260"/>
      <c r="AB357" s="72"/>
      <c r="AC357" s="78"/>
      <c r="AD357" s="268"/>
      <c r="AE357" s="275"/>
      <c r="AF357" s="275"/>
      <c r="AG357" s="15"/>
      <c r="AH357" s="268"/>
      <c r="AI357" s="275"/>
      <c r="AJ357" s="15"/>
      <c r="AK357" s="268"/>
      <c r="AL357" s="15"/>
      <c r="AM357" s="268"/>
      <c r="AN357" s="275"/>
      <c r="AO357" s="275"/>
      <c r="AP357" s="15"/>
      <c r="AQ357" s="268"/>
      <c r="AR357" s="275"/>
      <c r="AS357" s="15"/>
      <c r="AT357" s="268"/>
      <c r="AU357" s="275"/>
      <c r="AV357" s="275"/>
      <c r="AW357" s="15"/>
      <c r="AX357" s="268"/>
      <c r="AY357" s="275"/>
      <c r="AZ357" s="15"/>
      <c r="BA357" s="268"/>
      <c r="BB357" s="15"/>
      <c r="BC357" s="268"/>
      <c r="BD357" s="275"/>
      <c r="BE357" s="15"/>
      <c r="BF357" s="268"/>
      <c r="BG357" s="275"/>
      <c r="BH357" s="275"/>
      <c r="BI357" s="275"/>
      <c r="BJ357" s="275"/>
      <c r="BK357" s="15"/>
      <c r="BL357" s="268"/>
      <c r="BM357" s="275"/>
      <c r="BN357" s="15"/>
      <c r="BO357" s="268"/>
      <c r="BP357" s="275"/>
      <c r="BQ357" s="275"/>
      <c r="BR357" s="275"/>
      <c r="BS357" s="15"/>
      <c r="BT357" s="268"/>
      <c r="BU357" s="275"/>
      <c r="BV357" s="15"/>
      <c r="BW357" s="268"/>
      <c r="BX357" s="275"/>
      <c r="BY357" s="275"/>
      <c r="BZ357" s="275"/>
      <c r="CA357" s="15"/>
      <c r="CB357" s="268"/>
      <c r="CC357" s="275"/>
      <c r="CD357" s="15"/>
      <c r="CE357" s="268"/>
      <c r="CF357" s="275"/>
      <c r="CG357" s="275"/>
      <c r="CH357" s="275"/>
      <c r="CI357" s="15"/>
      <c r="CJ357" s="353"/>
      <c r="CK357" s="98"/>
      <c r="CL357" s="15"/>
      <c r="CM357" s="268"/>
      <c r="CN357" s="275"/>
      <c r="CO357" s="275"/>
      <c r="CP357" s="357"/>
      <c r="CQ357" s="274"/>
      <c r="CR357" s="274"/>
      <c r="CS357" s="274"/>
      <c r="CT357" s="170"/>
      <c r="CU357" s="178"/>
      <c r="CV357" s="54"/>
      <c r="CW357" s="54"/>
      <c r="CX357" s="54"/>
      <c r="CY357" s="54"/>
      <c r="CZ357" s="54"/>
      <c r="DA357" s="54"/>
      <c r="DB357" s="54"/>
      <c r="DC357" s="15"/>
    </row>
    <row r="358" spans="1:107" ht="14.25" hidden="1" customHeight="1" x14ac:dyDescent="0.15">
      <c r="A358" s="2" t="b">
        <f>$W107&lt;&gt;"одноставочный"</f>
        <v>0</v>
      </c>
      <c r="B358" s="81" t="b">
        <f>AND(A358,NDS="да")</f>
        <v>0</v>
      </c>
      <c r="C358" s="77" t="s">
        <v>498</v>
      </c>
      <c r="D358" s="8" t="s">
        <v>499</v>
      </c>
      <c r="E358" s="2" t="s">
        <v>74</v>
      </c>
      <c r="F358" s="2" t="s">
        <v>75</v>
      </c>
      <c r="G358" s="2" t="s">
        <v>74</v>
      </c>
      <c r="H358" s="2" t="s">
        <v>74</v>
      </c>
      <c r="I358" s="2" t="s">
        <v>74</v>
      </c>
      <c r="J358" s="2" t="s">
        <v>74</v>
      </c>
      <c r="K358" s="5" t="s">
        <v>74</v>
      </c>
      <c r="L358" s="12"/>
      <c r="M358" s="8" t="str">
        <f t="array" ref="M358">Y107</f>
        <v>1ВО::1.1</v>
      </c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5"/>
      <c r="AA358" s="63"/>
      <c r="AB358" s="74"/>
      <c r="AC358" s="63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275"/>
      <c r="BH358" s="275"/>
      <c r="BI358" s="275"/>
      <c r="BJ358" s="76"/>
      <c r="BK358" s="76"/>
      <c r="BL358" s="76"/>
      <c r="BM358" s="76"/>
      <c r="BN358" s="76"/>
      <c r="BO358" s="76"/>
      <c r="BP358" s="275"/>
      <c r="BQ358" s="275"/>
      <c r="BR358" s="76"/>
      <c r="BS358" s="76"/>
      <c r="BT358" s="76"/>
      <c r="BU358" s="76"/>
      <c r="BV358" s="76"/>
      <c r="BW358" s="76"/>
      <c r="BX358" s="275"/>
      <c r="BY358" s="275"/>
      <c r="BZ358" s="76"/>
      <c r="CA358" s="76"/>
      <c r="CB358" s="76"/>
      <c r="CC358" s="76"/>
      <c r="CD358" s="76"/>
      <c r="CE358" s="76"/>
      <c r="CF358" s="275"/>
      <c r="CG358" s="275"/>
      <c r="CH358" s="76"/>
      <c r="CI358" s="76"/>
      <c r="CJ358" s="354"/>
      <c r="CK358" s="356"/>
      <c r="CL358" s="355"/>
      <c r="CM358" s="76"/>
      <c r="CN358" s="275"/>
      <c r="CO358" s="275"/>
      <c r="CP358" s="357"/>
      <c r="CQ358" s="274"/>
      <c r="CR358" s="274"/>
      <c r="CS358" s="274"/>
      <c r="CT358" s="170"/>
      <c r="CU358" s="178"/>
      <c r="CV358" s="54"/>
      <c r="CW358" s="54"/>
      <c r="CX358" s="54"/>
      <c r="CY358" s="54"/>
      <c r="CZ358" s="54"/>
      <c r="DA358" s="54"/>
      <c r="DB358" s="54"/>
      <c r="DC358" s="15"/>
    </row>
    <row r="359" spans="1:107" ht="14.25" hidden="1" customHeight="1" outlineLevel="1" x14ac:dyDescent="0.15">
      <c r="A359" s="2" t="b">
        <f>AND($AC$56="нет",$W107&lt;&gt;"одноставочный")</f>
        <v>0</v>
      </c>
      <c r="B359" s="81" t="b">
        <f>AND(A359,NDS="да")</f>
        <v>0</v>
      </c>
      <c r="C359" s="77" t="s">
        <v>500</v>
      </c>
      <c r="D359" s="8" t="s">
        <v>501</v>
      </c>
      <c r="E359" s="2" t="s">
        <v>74</v>
      </c>
      <c r="F359" s="2" t="s">
        <v>75</v>
      </c>
      <c r="G359" s="2" t="s">
        <v>74</v>
      </c>
      <c r="H359" s="2" t="s">
        <v>74</v>
      </c>
      <c r="I359" s="2" t="s">
        <v>74</v>
      </c>
      <c r="J359" s="2" t="s">
        <v>74</v>
      </c>
      <c r="K359" s="5" t="s">
        <v>74</v>
      </c>
      <c r="L359" s="12"/>
      <c r="M359" s="8" t="str">
        <f t="array" ref="M359">Y107</f>
        <v>1ВО::1.1</v>
      </c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5"/>
      <c r="AA359" s="260"/>
      <c r="AB359" s="72"/>
      <c r="AC359" s="78"/>
      <c r="AD359" s="76"/>
      <c r="AE359" s="76"/>
      <c r="AF359" s="76"/>
      <c r="AG359" s="15"/>
      <c r="AH359" s="15"/>
      <c r="AI359" s="76"/>
      <c r="AJ359" s="15"/>
      <c r="AK359" s="15"/>
      <c r="AL359" s="15"/>
      <c r="AM359" s="15"/>
      <c r="AN359" s="76"/>
      <c r="AO359" s="76"/>
      <c r="AP359" s="15"/>
      <c r="AQ359" s="15"/>
      <c r="AR359" s="76"/>
      <c r="AS359" s="15"/>
      <c r="AT359" s="15"/>
      <c r="AU359" s="76"/>
      <c r="AV359" s="76"/>
      <c r="AW359" s="15"/>
      <c r="AX359" s="15"/>
      <c r="AY359" s="76"/>
      <c r="AZ359" s="15"/>
      <c r="BA359" s="15"/>
      <c r="BB359" s="15"/>
      <c r="BC359" s="15"/>
      <c r="BD359" s="76"/>
      <c r="BE359" s="15"/>
      <c r="BF359" s="15"/>
      <c r="BG359" s="275"/>
      <c r="BH359" s="275"/>
      <c r="BI359" s="275"/>
      <c r="BJ359" s="76"/>
      <c r="BK359" s="15"/>
      <c r="BL359" s="15"/>
      <c r="BM359" s="76"/>
      <c r="BN359" s="15"/>
      <c r="BO359" s="15"/>
      <c r="BP359" s="275"/>
      <c r="BQ359" s="275"/>
      <c r="BR359" s="76"/>
      <c r="BS359" s="15"/>
      <c r="BT359" s="15"/>
      <c r="BU359" s="76"/>
      <c r="BV359" s="15"/>
      <c r="BW359" s="15"/>
      <c r="BX359" s="275"/>
      <c r="BY359" s="275"/>
      <c r="BZ359" s="76"/>
      <c r="CA359" s="15"/>
      <c r="CB359" s="15"/>
      <c r="CC359" s="76"/>
      <c r="CD359" s="15"/>
      <c r="CE359" s="15"/>
      <c r="CF359" s="275"/>
      <c r="CG359" s="275"/>
      <c r="CH359" s="76"/>
      <c r="CI359" s="15"/>
      <c r="CJ359" s="15"/>
      <c r="CK359" s="356"/>
      <c r="CL359" s="15"/>
      <c r="CM359" s="15"/>
      <c r="CN359" s="275"/>
      <c r="CO359" s="275"/>
      <c r="CP359" s="357"/>
      <c r="CQ359" s="274"/>
      <c r="CR359" s="274"/>
      <c r="CS359" s="274"/>
      <c r="CT359" s="170"/>
      <c r="CU359" s="178"/>
      <c r="CV359" s="54"/>
      <c r="CW359" s="54"/>
      <c r="CX359" s="54"/>
      <c r="CY359" s="54"/>
      <c r="CZ359" s="54"/>
      <c r="DA359" s="54"/>
      <c r="DB359" s="54"/>
      <c r="DC359" s="15"/>
    </row>
    <row r="360" spans="1:107" ht="14.25" hidden="1" customHeight="1" outlineLevel="1" x14ac:dyDescent="0.15">
      <c r="A360" s="2" t="b">
        <f>AND($AC$56="нет",$W107&lt;&gt;"одноставочный")</f>
        <v>0</v>
      </c>
      <c r="B360" s="81" t="b">
        <f>AND(A360,NDS="да")</f>
        <v>0</v>
      </c>
      <c r="C360" s="77" t="s">
        <v>502</v>
      </c>
      <c r="D360" s="8" t="s">
        <v>503</v>
      </c>
      <c r="E360" s="2" t="s">
        <v>74</v>
      </c>
      <c r="F360" s="2" t="s">
        <v>75</v>
      </c>
      <c r="G360" s="2" t="s">
        <v>74</v>
      </c>
      <c r="H360" s="2" t="s">
        <v>74</v>
      </c>
      <c r="I360" s="2" t="s">
        <v>74</v>
      </c>
      <c r="J360" s="2" t="s">
        <v>74</v>
      </c>
      <c r="K360" s="5" t="s">
        <v>74</v>
      </c>
      <c r="L360" s="12"/>
      <c r="M360" s="8" t="str">
        <f t="array" ref="M360">Y107</f>
        <v>1ВО::1.1</v>
      </c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5"/>
      <c r="AA360" s="260"/>
      <c r="AB360" s="72"/>
      <c r="AC360" s="78"/>
      <c r="AD360" s="276"/>
      <c r="AE360" s="276"/>
      <c r="AF360" s="276"/>
      <c r="AG360" s="15"/>
      <c r="AH360" s="15"/>
      <c r="AI360" s="276"/>
      <c r="AJ360" s="15"/>
      <c r="AK360" s="15"/>
      <c r="AL360" s="15"/>
      <c r="AM360" s="15"/>
      <c r="AN360" s="276"/>
      <c r="AO360" s="276"/>
      <c r="AP360" s="15"/>
      <c r="AQ360" s="15"/>
      <c r="AR360" s="276"/>
      <c r="AS360" s="15"/>
      <c r="AT360" s="15"/>
      <c r="AU360" s="276"/>
      <c r="AV360" s="276"/>
      <c r="AW360" s="15"/>
      <c r="AX360" s="15"/>
      <c r="AY360" s="276"/>
      <c r="AZ360" s="15"/>
      <c r="BA360" s="15"/>
      <c r="BB360" s="15"/>
      <c r="BC360" s="15"/>
      <c r="BD360" s="276"/>
      <c r="BE360" s="15"/>
      <c r="BF360" s="15"/>
      <c r="BG360" s="268"/>
      <c r="BH360" s="268"/>
      <c r="BI360" s="268"/>
      <c r="BJ360" s="276"/>
      <c r="BK360" s="15"/>
      <c r="BL360" s="15"/>
      <c r="BM360" s="276"/>
      <c r="BN360" s="15"/>
      <c r="BO360" s="15"/>
      <c r="BP360" s="268"/>
      <c r="BQ360" s="268"/>
      <c r="BR360" s="276"/>
      <c r="BS360" s="15"/>
      <c r="BT360" s="15"/>
      <c r="BU360" s="276"/>
      <c r="BV360" s="15"/>
      <c r="BW360" s="15"/>
      <c r="BX360" s="268"/>
      <c r="BY360" s="268"/>
      <c r="BZ360" s="276"/>
      <c r="CA360" s="15"/>
      <c r="CB360" s="15"/>
      <c r="CC360" s="276"/>
      <c r="CD360" s="15"/>
      <c r="CE360" s="15"/>
      <c r="CF360" s="268"/>
      <c r="CG360" s="268"/>
      <c r="CH360" s="276"/>
      <c r="CI360" s="15"/>
      <c r="CJ360" s="15"/>
      <c r="CK360" s="356"/>
      <c r="CL360" s="15"/>
      <c r="CM360" s="15"/>
      <c r="CN360" s="268"/>
      <c r="CO360" s="268"/>
      <c r="CP360" s="357"/>
      <c r="CQ360" s="274"/>
      <c r="CR360" s="274"/>
      <c r="CS360" s="274"/>
      <c r="CT360" s="170"/>
      <c r="CU360" s="178"/>
      <c r="CV360" s="54"/>
      <c r="CW360" s="54"/>
      <c r="CX360" s="54"/>
      <c r="CY360" s="54"/>
      <c r="CZ360" s="54"/>
      <c r="DA360" s="54"/>
      <c r="DB360" s="54"/>
      <c r="DC360" s="15"/>
    </row>
    <row r="361" spans="1:107" ht="14.25" hidden="1" customHeight="1" outlineLevel="1" x14ac:dyDescent="0.15">
      <c r="A361" s="2" t="b">
        <f>$W107&lt;&gt;"одноставочный"</f>
        <v>0</v>
      </c>
      <c r="B361" s="81" t="b">
        <f>AND(A361,NDS="да")</f>
        <v>0</v>
      </c>
      <c r="C361" s="77" t="s">
        <v>504</v>
      </c>
      <c r="D361" s="8" t="s">
        <v>505</v>
      </c>
      <c r="E361" s="2" t="s">
        <v>74</v>
      </c>
      <c r="F361" s="2" t="s">
        <v>75</v>
      </c>
      <c r="G361" s="2" t="s">
        <v>74</v>
      </c>
      <c r="H361" s="2" t="s">
        <v>74</v>
      </c>
      <c r="I361" s="2" t="s">
        <v>74</v>
      </c>
      <c r="J361" s="2" t="s">
        <v>74</v>
      </c>
      <c r="K361" s="5" t="s">
        <v>74</v>
      </c>
      <c r="L361" s="12"/>
      <c r="M361" s="8" t="str">
        <f t="array" ref="M361">Y107</f>
        <v>1ВО::1.1</v>
      </c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5"/>
      <c r="AA361" s="260"/>
      <c r="AB361" s="72"/>
      <c r="AC361" s="78"/>
      <c r="AD361" s="80"/>
      <c r="AE361" s="80"/>
      <c r="AF361" s="80"/>
      <c r="AG361" s="15"/>
      <c r="AH361" s="268"/>
      <c r="AI361" s="80"/>
      <c r="AJ361" s="15"/>
      <c r="AK361" s="268"/>
      <c r="AL361" s="15"/>
      <c r="AM361" s="268"/>
      <c r="AN361" s="80"/>
      <c r="AO361" s="80"/>
      <c r="AP361" s="15"/>
      <c r="AQ361" s="268"/>
      <c r="AR361" s="80"/>
      <c r="AS361" s="15"/>
      <c r="AT361" s="268"/>
      <c r="AU361" s="80"/>
      <c r="AV361" s="80"/>
      <c r="AW361" s="15"/>
      <c r="AX361" s="268"/>
      <c r="AY361" s="80"/>
      <c r="AZ361" s="15"/>
      <c r="BA361" s="268"/>
      <c r="BB361" s="15"/>
      <c r="BC361" s="268"/>
      <c r="BD361" s="80"/>
      <c r="BE361" s="15"/>
      <c r="BF361" s="268"/>
      <c r="BG361" s="80"/>
      <c r="BH361" s="80"/>
      <c r="BI361" s="80"/>
      <c r="BJ361" s="80"/>
      <c r="BK361" s="15"/>
      <c r="BL361" s="268"/>
      <c r="BM361" s="80"/>
      <c r="BN361" s="15"/>
      <c r="BO361" s="268"/>
      <c r="BP361" s="80"/>
      <c r="BQ361" s="80"/>
      <c r="BR361" s="80"/>
      <c r="BS361" s="15"/>
      <c r="BT361" s="268"/>
      <c r="BU361" s="80"/>
      <c r="BV361" s="15"/>
      <c r="BW361" s="268"/>
      <c r="BX361" s="80"/>
      <c r="BY361" s="80"/>
      <c r="BZ361" s="80"/>
      <c r="CA361" s="15"/>
      <c r="CB361" s="268"/>
      <c r="CC361" s="80"/>
      <c r="CD361" s="15"/>
      <c r="CE361" s="268"/>
      <c r="CF361" s="80"/>
      <c r="CG361" s="80"/>
      <c r="CH361" s="80"/>
      <c r="CI361" s="15"/>
      <c r="CJ361" s="353"/>
      <c r="CK361" s="98"/>
      <c r="CL361" s="15"/>
      <c r="CM361" s="268"/>
      <c r="CN361" s="80"/>
      <c r="CO361" s="80"/>
      <c r="CP361" s="357"/>
      <c r="CQ361" s="274"/>
      <c r="CR361" s="274"/>
      <c r="CS361" s="274"/>
      <c r="CT361" s="170"/>
      <c r="CU361" s="178"/>
      <c r="CV361" s="54"/>
      <c r="CW361" s="54"/>
      <c r="CX361" s="54"/>
      <c r="CY361" s="54"/>
      <c r="CZ361" s="54"/>
      <c r="DA361" s="54"/>
      <c r="DB361" s="54"/>
      <c r="DC361" s="15"/>
    </row>
    <row r="362" spans="1:107" ht="14.25" hidden="1" customHeight="1" x14ac:dyDescent="0.15">
      <c r="A362" s="2" t="b">
        <f>$W107&lt;&gt;"одноставочный"</f>
        <v>0</v>
      </c>
      <c r="B362" s="8" t="b">
        <f t="array" ref="B362">A362</f>
        <v>0</v>
      </c>
      <c r="C362" s="77" t="s">
        <v>506</v>
      </c>
      <c r="D362" s="8" t="s">
        <v>507</v>
      </c>
      <c r="E362" s="2" t="s">
        <v>74</v>
      </c>
      <c r="F362" s="2" t="s">
        <v>75</v>
      </c>
      <c r="G362" s="2" t="s">
        <v>74</v>
      </c>
      <c r="H362" s="2" t="s">
        <v>74</v>
      </c>
      <c r="I362" s="2" t="s">
        <v>74</v>
      </c>
      <c r="J362" s="2" t="s">
        <v>74</v>
      </c>
      <c r="K362" s="5" t="s">
        <v>74</v>
      </c>
      <c r="L362" s="12"/>
      <c r="M362" s="8" t="str">
        <f t="array" ref="M362">Y107</f>
        <v>1ВО::1.1</v>
      </c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5"/>
      <c r="AA362" s="63"/>
      <c r="AB362" s="74"/>
      <c r="AC362" s="63"/>
      <c r="AD362" s="202"/>
      <c r="AE362" s="202"/>
      <c r="AF362" s="202"/>
      <c r="AG362" s="202"/>
      <c r="AH362" s="202"/>
      <c r="AI362" s="202"/>
      <c r="AJ362" s="202"/>
      <c r="AK362" s="202"/>
      <c r="AL362" s="174"/>
      <c r="AM362" s="174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75"/>
      <c r="BH362" s="275"/>
      <c r="BI362" s="275"/>
      <c r="BJ362" s="202"/>
      <c r="BK362" s="202"/>
      <c r="BL362" s="202"/>
      <c r="BM362" s="202"/>
      <c r="BN362" s="202"/>
      <c r="BO362" s="202"/>
      <c r="BP362" s="275"/>
      <c r="BQ362" s="275"/>
      <c r="BR362" s="202"/>
      <c r="BS362" s="202"/>
      <c r="BT362" s="202"/>
      <c r="BU362" s="202"/>
      <c r="BV362" s="202"/>
      <c r="BW362" s="202"/>
      <c r="BX362" s="275"/>
      <c r="BY362" s="275"/>
      <c r="BZ362" s="202"/>
      <c r="CA362" s="202"/>
      <c r="CB362" s="202"/>
      <c r="CC362" s="202"/>
      <c r="CD362" s="202"/>
      <c r="CE362" s="202"/>
      <c r="CF362" s="275"/>
      <c r="CG362" s="275"/>
      <c r="CH362" s="202"/>
      <c r="CI362" s="202"/>
      <c r="CJ362" s="351"/>
      <c r="CK362" s="282"/>
      <c r="CL362" s="352"/>
      <c r="CM362" s="202"/>
      <c r="CN362" s="275"/>
      <c r="CO362" s="275"/>
      <c r="CP362" s="357"/>
      <c r="CQ362" s="274"/>
      <c r="CR362" s="274"/>
      <c r="CS362" s="274"/>
      <c r="CT362" s="170"/>
      <c r="CU362" s="178"/>
      <c r="CV362" s="54"/>
      <c r="CW362" s="54"/>
      <c r="CX362" s="54"/>
      <c r="CY362" s="54"/>
      <c r="CZ362" s="54"/>
      <c r="DA362" s="54"/>
      <c r="DB362" s="54"/>
      <c r="DC362" s="15"/>
    </row>
    <row r="363" spans="1:107" ht="14.25" hidden="1" customHeight="1" outlineLevel="1" x14ac:dyDescent="0.15">
      <c r="A363" s="2" t="b">
        <f>AND($AC$56="нет",$W107&lt;&gt;"одноставочный")</f>
        <v>0</v>
      </c>
      <c r="B363" s="8" t="b">
        <f t="array" ref="B363">A363</f>
        <v>0</v>
      </c>
      <c r="C363" s="77" t="s">
        <v>508</v>
      </c>
      <c r="D363" s="8" t="s">
        <v>509</v>
      </c>
      <c r="E363" s="2" t="s">
        <v>74</v>
      </c>
      <c r="F363" s="2" t="s">
        <v>75</v>
      </c>
      <c r="G363" s="2" t="s">
        <v>74</v>
      </c>
      <c r="H363" s="2" t="s">
        <v>74</v>
      </c>
      <c r="I363" s="2" t="s">
        <v>74</v>
      </c>
      <c r="J363" s="2" t="s">
        <v>74</v>
      </c>
      <c r="K363" s="5" t="s">
        <v>74</v>
      </c>
      <c r="L363" s="12"/>
      <c r="M363" s="8" t="str">
        <f t="array" ref="M363">Y107</f>
        <v>1ВО::1.1</v>
      </c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5"/>
      <c r="AA363" s="260"/>
      <c r="AB363" s="72"/>
      <c r="AC363" s="78"/>
      <c r="AD363" s="202"/>
      <c r="AE363" s="202"/>
      <c r="AF363" s="202"/>
      <c r="AG363" s="15"/>
      <c r="AH363" s="15"/>
      <c r="AI363" s="202"/>
      <c r="AJ363" s="15"/>
      <c r="AK363" s="15"/>
      <c r="AL363" s="15"/>
      <c r="AM363" s="15"/>
      <c r="AN363" s="174"/>
      <c r="AO363" s="202"/>
      <c r="AP363" s="15"/>
      <c r="AQ363" s="15"/>
      <c r="AR363" s="202"/>
      <c r="AS363" s="15"/>
      <c r="AT363" s="15"/>
      <c r="AU363" s="202"/>
      <c r="AV363" s="202"/>
      <c r="AW363" s="15"/>
      <c r="AX363" s="15"/>
      <c r="AY363" s="202"/>
      <c r="AZ363" s="15"/>
      <c r="BA363" s="15"/>
      <c r="BB363" s="15"/>
      <c r="BC363" s="15"/>
      <c r="BD363" s="202"/>
      <c r="BE363" s="15"/>
      <c r="BF363" s="15"/>
      <c r="BG363" s="275"/>
      <c r="BH363" s="275"/>
      <c r="BI363" s="275"/>
      <c r="BJ363" s="202"/>
      <c r="BK363" s="15"/>
      <c r="BL363" s="15"/>
      <c r="BM363" s="202"/>
      <c r="BN363" s="15"/>
      <c r="BO363" s="15"/>
      <c r="BP363" s="275"/>
      <c r="BQ363" s="275"/>
      <c r="BR363" s="202"/>
      <c r="BS363" s="15"/>
      <c r="BT363" s="15"/>
      <c r="BU363" s="202"/>
      <c r="BV363" s="15"/>
      <c r="BW363" s="15"/>
      <c r="BX363" s="275"/>
      <c r="BY363" s="275"/>
      <c r="BZ363" s="202"/>
      <c r="CA363" s="15"/>
      <c r="CB363" s="15"/>
      <c r="CC363" s="202"/>
      <c r="CD363" s="15"/>
      <c r="CE363" s="15"/>
      <c r="CF363" s="275"/>
      <c r="CG363" s="275"/>
      <c r="CH363" s="202"/>
      <c r="CI363" s="15"/>
      <c r="CJ363" s="15"/>
      <c r="CK363" s="282"/>
      <c r="CL363" s="15"/>
      <c r="CM363" s="15"/>
      <c r="CN363" s="275"/>
      <c r="CO363" s="275"/>
      <c r="CP363" s="357"/>
      <c r="CQ363" s="274"/>
      <c r="CR363" s="274"/>
      <c r="CS363" s="274"/>
      <c r="CT363" s="170"/>
      <c r="CU363" s="170"/>
      <c r="CV363" s="54"/>
      <c r="CW363" s="54"/>
      <c r="CX363" s="54"/>
      <c r="CY363" s="54"/>
      <c r="CZ363" s="54"/>
      <c r="DA363" s="54"/>
      <c r="DB363" s="54"/>
      <c r="DC363" s="15"/>
    </row>
    <row r="364" spans="1:107" ht="14.25" hidden="1" customHeight="1" outlineLevel="1" x14ac:dyDescent="0.15">
      <c r="A364" s="2" t="b">
        <f>AND($AC$56="нет",$W107&lt;&gt;"одноставочный")</f>
        <v>0</v>
      </c>
      <c r="B364" s="8" t="b">
        <f t="array" ref="B364">A364</f>
        <v>0</v>
      </c>
      <c r="C364" s="77" t="s">
        <v>510</v>
      </c>
      <c r="D364" s="8" t="s">
        <v>511</v>
      </c>
      <c r="E364" s="2" t="s">
        <v>74</v>
      </c>
      <c r="F364" s="2" t="s">
        <v>75</v>
      </c>
      <c r="G364" s="2" t="s">
        <v>74</v>
      </c>
      <c r="H364" s="2" t="s">
        <v>74</v>
      </c>
      <c r="I364" s="2" t="s">
        <v>74</v>
      </c>
      <c r="J364" s="2" t="s">
        <v>74</v>
      </c>
      <c r="K364" s="5" t="s">
        <v>74</v>
      </c>
      <c r="L364" s="12"/>
      <c r="M364" s="8" t="str">
        <f t="array" ref="M364">Y107</f>
        <v>1ВО::1.1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5"/>
      <c r="AA364" s="260"/>
      <c r="AB364" s="72"/>
      <c r="AC364" s="78"/>
      <c r="AD364" s="202"/>
      <c r="AE364" s="202"/>
      <c r="AF364" s="202"/>
      <c r="AG364" s="15"/>
      <c r="AH364" s="15"/>
      <c r="AI364" s="202"/>
      <c r="AJ364" s="15"/>
      <c r="AK364" s="15"/>
      <c r="AL364" s="15"/>
      <c r="AM364" s="15"/>
      <c r="AN364" s="174"/>
      <c r="AO364" s="202"/>
      <c r="AP364" s="15"/>
      <c r="AQ364" s="15"/>
      <c r="AR364" s="202"/>
      <c r="AS364" s="15"/>
      <c r="AT364" s="15"/>
      <c r="AU364" s="202"/>
      <c r="AV364" s="202"/>
      <c r="AW364" s="15"/>
      <c r="AX364" s="15"/>
      <c r="AY364" s="202"/>
      <c r="AZ364" s="15"/>
      <c r="BA364" s="15"/>
      <c r="BB364" s="15"/>
      <c r="BC364" s="15"/>
      <c r="BD364" s="202"/>
      <c r="BE364" s="15"/>
      <c r="BF364" s="15"/>
      <c r="BG364" s="275"/>
      <c r="BH364" s="275"/>
      <c r="BI364" s="275"/>
      <c r="BJ364" s="202"/>
      <c r="BK364" s="15"/>
      <c r="BL364" s="15"/>
      <c r="BM364" s="202"/>
      <c r="BN364" s="15"/>
      <c r="BO364" s="15"/>
      <c r="BP364" s="275"/>
      <c r="BQ364" s="275"/>
      <c r="BR364" s="202"/>
      <c r="BS364" s="15"/>
      <c r="BT364" s="15"/>
      <c r="BU364" s="202"/>
      <c r="BV364" s="15"/>
      <c r="BW364" s="15"/>
      <c r="BX364" s="275"/>
      <c r="BY364" s="275"/>
      <c r="BZ364" s="202"/>
      <c r="CA364" s="15"/>
      <c r="CB364" s="15"/>
      <c r="CC364" s="202"/>
      <c r="CD364" s="15"/>
      <c r="CE364" s="15"/>
      <c r="CF364" s="275"/>
      <c r="CG364" s="275"/>
      <c r="CH364" s="202"/>
      <c r="CI364" s="15"/>
      <c r="CJ364" s="15"/>
      <c r="CK364" s="282"/>
      <c r="CL364" s="15"/>
      <c r="CM364" s="15"/>
      <c r="CN364" s="275"/>
      <c r="CO364" s="275"/>
      <c r="CP364" s="357"/>
      <c r="CQ364" s="274"/>
      <c r="CR364" s="274"/>
      <c r="CS364" s="274"/>
      <c r="CT364" s="170"/>
      <c r="CU364" s="178"/>
      <c r="CV364" s="54"/>
      <c r="CW364" s="54"/>
      <c r="CX364" s="54"/>
      <c r="CY364" s="54"/>
      <c r="CZ364" s="54"/>
      <c r="DA364" s="54"/>
      <c r="DB364" s="54"/>
      <c r="DC364" s="15"/>
    </row>
    <row r="365" spans="1:107" ht="14.25" hidden="1" customHeight="1" outlineLevel="1" x14ac:dyDescent="0.15">
      <c r="A365" s="2" t="b">
        <f>$W107&lt;&gt;"одноставочный"</f>
        <v>0</v>
      </c>
      <c r="B365" s="8" t="b">
        <f t="array" ref="B365">A365</f>
        <v>0</v>
      </c>
      <c r="C365" s="77" t="s">
        <v>512</v>
      </c>
      <c r="D365" s="8" t="s">
        <v>513</v>
      </c>
      <c r="E365" s="2" t="s">
        <v>74</v>
      </c>
      <c r="F365" s="2" t="s">
        <v>75</v>
      </c>
      <c r="G365" s="2" t="s">
        <v>74</v>
      </c>
      <c r="H365" s="2" t="s">
        <v>74</v>
      </c>
      <c r="I365" s="2" t="s">
        <v>74</v>
      </c>
      <c r="J365" s="2" t="s">
        <v>74</v>
      </c>
      <c r="K365" s="5" t="s">
        <v>74</v>
      </c>
      <c r="L365" s="12"/>
      <c r="M365" s="8" t="str">
        <f t="array" ref="M365">Y107</f>
        <v>1ВО::1.1</v>
      </c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5"/>
      <c r="AA365" s="260"/>
      <c r="AB365" s="72"/>
      <c r="AC365" s="78"/>
      <c r="AD365" s="268"/>
      <c r="AE365" s="275"/>
      <c r="AF365" s="275"/>
      <c r="AG365" s="15"/>
      <c r="AH365" s="268"/>
      <c r="AI365" s="275"/>
      <c r="AJ365" s="15"/>
      <c r="AK365" s="268"/>
      <c r="AL365" s="15"/>
      <c r="AM365" s="268"/>
      <c r="AN365" s="275"/>
      <c r="AO365" s="275"/>
      <c r="AP365" s="15"/>
      <c r="AQ365" s="268"/>
      <c r="AR365" s="275"/>
      <c r="AS365" s="15"/>
      <c r="AT365" s="268"/>
      <c r="AU365" s="275"/>
      <c r="AV365" s="275"/>
      <c r="AW365" s="15"/>
      <c r="AX365" s="268"/>
      <c r="AY365" s="275"/>
      <c r="AZ365" s="15"/>
      <c r="BA365" s="268"/>
      <c r="BB365" s="15"/>
      <c r="BC365" s="268"/>
      <c r="BD365" s="275"/>
      <c r="BE365" s="15"/>
      <c r="BF365" s="268"/>
      <c r="BG365" s="275"/>
      <c r="BH365" s="275"/>
      <c r="BI365" s="275"/>
      <c r="BJ365" s="275"/>
      <c r="BK365" s="15"/>
      <c r="BL365" s="268"/>
      <c r="BM365" s="275"/>
      <c r="BN365" s="15"/>
      <c r="BO365" s="268"/>
      <c r="BP365" s="275"/>
      <c r="BQ365" s="275"/>
      <c r="BR365" s="275"/>
      <c r="BS365" s="15"/>
      <c r="BT365" s="268"/>
      <c r="BU365" s="275"/>
      <c r="BV365" s="15"/>
      <c r="BW365" s="268"/>
      <c r="BX365" s="275"/>
      <c r="BY365" s="275"/>
      <c r="BZ365" s="275"/>
      <c r="CA365" s="15"/>
      <c r="CB365" s="268"/>
      <c r="CC365" s="275"/>
      <c r="CD365" s="15"/>
      <c r="CE365" s="268"/>
      <c r="CF365" s="275"/>
      <c r="CG365" s="275"/>
      <c r="CH365" s="275"/>
      <c r="CI365" s="15"/>
      <c r="CJ365" s="353"/>
      <c r="CK365" s="98"/>
      <c r="CL365" s="15"/>
      <c r="CM365" s="268"/>
      <c r="CN365" s="275"/>
      <c r="CO365" s="275"/>
      <c r="CP365" s="357"/>
      <c r="CQ365" s="274"/>
      <c r="CR365" s="274"/>
      <c r="CS365" s="274"/>
      <c r="CT365" s="170"/>
      <c r="CU365" s="178"/>
      <c r="CV365" s="54"/>
      <c r="CW365" s="54"/>
      <c r="CX365" s="54"/>
      <c r="CY365" s="54"/>
      <c r="CZ365" s="54"/>
      <c r="DA365" s="54"/>
      <c r="DB365" s="54"/>
      <c r="DC365" s="15"/>
    </row>
    <row r="366" spans="1:107" ht="14.25" hidden="1" customHeight="1" x14ac:dyDescent="0.15">
      <c r="A366" s="2" t="b">
        <f>$W107&lt;&gt;"одноставочный"</f>
        <v>0</v>
      </c>
      <c r="B366" s="81" t="b">
        <f>AND(A366,NDS="да")</f>
        <v>0</v>
      </c>
      <c r="C366" s="77" t="s">
        <v>514</v>
      </c>
      <c r="D366" s="8" t="s">
        <v>515</v>
      </c>
      <c r="E366" s="2" t="s">
        <v>74</v>
      </c>
      <c r="F366" s="2" t="s">
        <v>75</v>
      </c>
      <c r="G366" s="2" t="s">
        <v>74</v>
      </c>
      <c r="H366" s="2" t="s">
        <v>74</v>
      </c>
      <c r="I366" s="2" t="s">
        <v>74</v>
      </c>
      <c r="J366" s="2" t="s">
        <v>74</v>
      </c>
      <c r="K366" s="5" t="s">
        <v>74</v>
      </c>
      <c r="L366" s="12"/>
      <c r="M366" s="8" t="str">
        <f t="array" ref="M366">Y107</f>
        <v>1ВО::1.1</v>
      </c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5"/>
      <c r="AA366" s="63"/>
      <c r="AB366" s="74"/>
      <c r="AC366" s="63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275"/>
      <c r="BH366" s="275"/>
      <c r="BI366" s="275"/>
      <c r="BJ366" s="76"/>
      <c r="BK366" s="76"/>
      <c r="BL366" s="76"/>
      <c r="BM366" s="76"/>
      <c r="BN366" s="76"/>
      <c r="BO366" s="76"/>
      <c r="BP366" s="275"/>
      <c r="BQ366" s="275"/>
      <c r="BR366" s="76"/>
      <c r="BS366" s="76"/>
      <c r="BT366" s="76"/>
      <c r="BU366" s="76"/>
      <c r="BV366" s="76"/>
      <c r="BW366" s="76"/>
      <c r="BX366" s="275"/>
      <c r="BY366" s="275"/>
      <c r="BZ366" s="76"/>
      <c r="CA366" s="76"/>
      <c r="CB366" s="76"/>
      <c r="CC366" s="76"/>
      <c r="CD366" s="76"/>
      <c r="CE366" s="76"/>
      <c r="CF366" s="275"/>
      <c r="CG366" s="275"/>
      <c r="CH366" s="76"/>
      <c r="CI366" s="76"/>
      <c r="CJ366" s="76"/>
      <c r="CK366" s="358"/>
      <c r="CL366" s="76"/>
      <c r="CM366" s="76"/>
      <c r="CN366" s="275"/>
      <c r="CO366" s="275"/>
      <c r="CP366" s="357"/>
      <c r="CQ366" s="274"/>
      <c r="CR366" s="274"/>
      <c r="CS366" s="274"/>
      <c r="CT366" s="170"/>
      <c r="CU366" s="178"/>
      <c r="CV366" s="54"/>
      <c r="CW366" s="54"/>
      <c r="CX366" s="54"/>
      <c r="CY366" s="54"/>
      <c r="CZ366" s="54"/>
      <c r="DA366" s="54"/>
      <c r="DB366" s="54"/>
      <c r="DC366" s="15"/>
    </row>
    <row r="367" spans="1:107" ht="14.25" hidden="1" customHeight="1" outlineLevel="1" x14ac:dyDescent="0.15">
      <c r="A367" s="2" t="b">
        <f>AND($AC$56="нет",$W107&lt;&gt;"одноставочный")</f>
        <v>0</v>
      </c>
      <c r="B367" s="81" t="b">
        <f>AND(A367,NDS="да")</f>
        <v>0</v>
      </c>
      <c r="C367" s="77" t="s">
        <v>516</v>
      </c>
      <c r="D367" s="8" t="s">
        <v>517</v>
      </c>
      <c r="E367" s="2" t="s">
        <v>74</v>
      </c>
      <c r="F367" s="2" t="s">
        <v>75</v>
      </c>
      <c r="G367" s="2" t="s">
        <v>74</v>
      </c>
      <c r="H367" s="2" t="s">
        <v>74</v>
      </c>
      <c r="I367" s="2" t="s">
        <v>74</v>
      </c>
      <c r="J367" s="2" t="s">
        <v>74</v>
      </c>
      <c r="K367" s="5" t="s">
        <v>74</v>
      </c>
      <c r="L367" s="12"/>
      <c r="M367" s="8" t="str">
        <f t="array" ref="M367">Y107</f>
        <v>1ВО::1.1</v>
      </c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5"/>
      <c r="AA367" s="260"/>
      <c r="AB367" s="72"/>
      <c r="AC367" s="78"/>
      <c r="AD367" s="76"/>
      <c r="AE367" s="76"/>
      <c r="AF367" s="76"/>
      <c r="AG367" s="15"/>
      <c r="AH367" s="15"/>
      <c r="AI367" s="76"/>
      <c r="AJ367" s="15"/>
      <c r="AK367" s="15"/>
      <c r="AL367" s="15"/>
      <c r="AM367" s="15"/>
      <c r="AN367" s="76"/>
      <c r="AO367" s="76"/>
      <c r="AP367" s="15"/>
      <c r="AQ367" s="15"/>
      <c r="AR367" s="76"/>
      <c r="AS367" s="15"/>
      <c r="AT367" s="15"/>
      <c r="AU367" s="76"/>
      <c r="AV367" s="76"/>
      <c r="AW367" s="15"/>
      <c r="AX367" s="15"/>
      <c r="AY367" s="76"/>
      <c r="AZ367" s="15"/>
      <c r="BA367" s="15"/>
      <c r="BB367" s="15"/>
      <c r="BC367" s="15"/>
      <c r="BD367" s="76"/>
      <c r="BE367" s="15"/>
      <c r="BF367" s="15"/>
      <c r="BG367" s="275"/>
      <c r="BH367" s="275"/>
      <c r="BI367" s="275"/>
      <c r="BJ367" s="76"/>
      <c r="BK367" s="15"/>
      <c r="BL367" s="15"/>
      <c r="BM367" s="76"/>
      <c r="BN367" s="15"/>
      <c r="BO367" s="15"/>
      <c r="BP367" s="275"/>
      <c r="BQ367" s="275"/>
      <c r="BR367" s="76"/>
      <c r="BS367" s="15"/>
      <c r="BT367" s="15"/>
      <c r="BU367" s="76"/>
      <c r="BV367" s="15"/>
      <c r="BW367" s="15"/>
      <c r="BX367" s="275"/>
      <c r="BY367" s="275"/>
      <c r="BZ367" s="76"/>
      <c r="CA367" s="15"/>
      <c r="CB367" s="15"/>
      <c r="CC367" s="76"/>
      <c r="CD367" s="15"/>
      <c r="CE367" s="15"/>
      <c r="CF367" s="275"/>
      <c r="CG367" s="275"/>
      <c r="CH367" s="76"/>
      <c r="CI367" s="15"/>
      <c r="CJ367" s="15"/>
      <c r="CK367" s="76"/>
      <c r="CL367" s="15"/>
      <c r="CM367" s="15"/>
      <c r="CN367" s="275"/>
      <c r="CO367" s="275"/>
      <c r="CP367" s="357"/>
      <c r="CQ367" s="274"/>
      <c r="CR367" s="274"/>
      <c r="CS367" s="274"/>
      <c r="CT367" s="170"/>
      <c r="CU367" s="178"/>
      <c r="CV367" s="54"/>
      <c r="CW367" s="54"/>
      <c r="CX367" s="54"/>
      <c r="CY367" s="54"/>
      <c r="CZ367" s="54"/>
      <c r="DA367" s="54"/>
      <c r="DB367" s="54"/>
      <c r="DC367" s="15"/>
    </row>
    <row r="368" spans="1:107" ht="14.25" hidden="1" customHeight="1" outlineLevel="1" x14ac:dyDescent="0.15">
      <c r="A368" s="2" t="b">
        <f>AND($AC$56="нет",$W107&lt;&gt;"одноставочный")</f>
        <v>0</v>
      </c>
      <c r="B368" s="81" t="b">
        <f>AND(A368,NDS="да")</f>
        <v>0</v>
      </c>
      <c r="C368" s="77" t="s">
        <v>518</v>
      </c>
      <c r="D368" s="8" t="s">
        <v>519</v>
      </c>
      <c r="E368" s="2" t="s">
        <v>74</v>
      </c>
      <c r="F368" s="2" t="s">
        <v>75</v>
      </c>
      <c r="G368" s="2" t="s">
        <v>74</v>
      </c>
      <c r="H368" s="2" t="s">
        <v>74</v>
      </c>
      <c r="I368" s="2" t="s">
        <v>74</v>
      </c>
      <c r="J368" s="2" t="s">
        <v>74</v>
      </c>
      <c r="K368" s="5" t="s">
        <v>74</v>
      </c>
      <c r="L368" s="12"/>
      <c r="M368" s="8" t="str">
        <f t="array" ref="M368">Y107</f>
        <v>1ВО::1.1</v>
      </c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5"/>
      <c r="AA368" s="260"/>
      <c r="AB368" s="72"/>
      <c r="AC368" s="78"/>
      <c r="AD368" s="276"/>
      <c r="AE368" s="276"/>
      <c r="AF368" s="276"/>
      <c r="AG368" s="15"/>
      <c r="AH368" s="15"/>
      <c r="AI368" s="276"/>
      <c r="AJ368" s="15"/>
      <c r="AK368" s="15"/>
      <c r="AL368" s="15"/>
      <c r="AM368" s="15"/>
      <c r="AN368" s="276"/>
      <c r="AO368" s="276"/>
      <c r="AP368" s="15"/>
      <c r="AQ368" s="15"/>
      <c r="AR368" s="276"/>
      <c r="AS368" s="15"/>
      <c r="AT368" s="15"/>
      <c r="AU368" s="276"/>
      <c r="AV368" s="276"/>
      <c r="AW368" s="15"/>
      <c r="AX368" s="15"/>
      <c r="AY368" s="276"/>
      <c r="AZ368" s="15"/>
      <c r="BA368" s="15"/>
      <c r="BB368" s="15"/>
      <c r="BC368" s="15"/>
      <c r="BD368" s="276"/>
      <c r="BE368" s="15"/>
      <c r="BF368" s="15"/>
      <c r="BG368" s="268"/>
      <c r="BH368" s="268"/>
      <c r="BI368" s="268"/>
      <c r="BJ368" s="276"/>
      <c r="BK368" s="15"/>
      <c r="BL368" s="15"/>
      <c r="BM368" s="276"/>
      <c r="BN368" s="15"/>
      <c r="BO368" s="15"/>
      <c r="BP368" s="268"/>
      <c r="BQ368" s="268"/>
      <c r="BR368" s="276"/>
      <c r="BS368" s="15"/>
      <c r="BT368" s="15"/>
      <c r="BU368" s="276"/>
      <c r="BV368" s="15"/>
      <c r="BW368" s="15"/>
      <c r="BX368" s="268"/>
      <c r="BY368" s="268"/>
      <c r="BZ368" s="276"/>
      <c r="CA368" s="15"/>
      <c r="CB368" s="15"/>
      <c r="CC368" s="276"/>
      <c r="CD368" s="15"/>
      <c r="CE368" s="15"/>
      <c r="CF368" s="268"/>
      <c r="CG368" s="268"/>
      <c r="CH368" s="276"/>
      <c r="CI368" s="15"/>
      <c r="CJ368" s="15"/>
      <c r="CK368" s="276"/>
      <c r="CL368" s="15"/>
      <c r="CM368" s="15"/>
      <c r="CN368" s="268"/>
      <c r="CO368" s="268"/>
      <c r="CP368" s="357"/>
      <c r="CQ368" s="274"/>
      <c r="CR368" s="274"/>
      <c r="CS368" s="274"/>
      <c r="CT368" s="170"/>
      <c r="CU368" s="178"/>
      <c r="CV368" s="54"/>
      <c r="CW368" s="54"/>
      <c r="CX368" s="54"/>
      <c r="CY368" s="54"/>
      <c r="CZ368" s="54"/>
      <c r="DA368" s="54"/>
      <c r="DB368" s="54"/>
      <c r="DC368" s="15"/>
    </row>
    <row r="369" spans="1:107" ht="14.25" hidden="1" customHeight="1" outlineLevel="1" x14ac:dyDescent="0.15">
      <c r="A369" s="2" t="b">
        <f>$W107&lt;&gt;"одноставочный"</f>
        <v>0</v>
      </c>
      <c r="B369" s="81" t="b">
        <f>AND(A369,NDS="да")</f>
        <v>0</v>
      </c>
      <c r="C369" s="77" t="s">
        <v>520</v>
      </c>
      <c r="D369" s="8" t="s">
        <v>521</v>
      </c>
      <c r="E369" s="2" t="s">
        <v>74</v>
      </c>
      <c r="F369" s="2" t="s">
        <v>75</v>
      </c>
      <c r="G369" s="2" t="s">
        <v>74</v>
      </c>
      <c r="H369" s="2" t="s">
        <v>74</v>
      </c>
      <c r="I369" s="2" t="s">
        <v>74</v>
      </c>
      <c r="J369" s="2" t="s">
        <v>74</v>
      </c>
      <c r="K369" s="5" t="s">
        <v>74</v>
      </c>
      <c r="L369" s="12"/>
      <c r="M369" s="8" t="str">
        <f t="array" ref="M369">Y107</f>
        <v>1ВО::1.1</v>
      </c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5"/>
      <c r="AA369" s="260"/>
      <c r="AB369" s="72"/>
      <c r="AC369" s="78"/>
      <c r="AD369" s="268"/>
      <c r="AE369" s="275"/>
      <c r="AF369" s="275"/>
      <c r="AG369" s="15"/>
      <c r="AH369" s="268"/>
      <c r="AI369" s="275"/>
      <c r="AJ369" s="15"/>
      <c r="AK369" s="268"/>
      <c r="AL369" s="15"/>
      <c r="AM369" s="268"/>
      <c r="AN369" s="275"/>
      <c r="AO369" s="275"/>
      <c r="AP369" s="15"/>
      <c r="AQ369" s="268"/>
      <c r="AR369" s="275"/>
      <c r="AS369" s="15"/>
      <c r="AT369" s="268"/>
      <c r="AU369" s="275"/>
      <c r="AV369" s="275"/>
      <c r="AW369" s="15"/>
      <c r="AX369" s="268"/>
      <c r="AY369" s="275"/>
      <c r="AZ369" s="15"/>
      <c r="BA369" s="268"/>
      <c r="BB369" s="15"/>
      <c r="BC369" s="268"/>
      <c r="BD369" s="275"/>
      <c r="BE369" s="15"/>
      <c r="BF369" s="268"/>
      <c r="BG369" s="275"/>
      <c r="BH369" s="275"/>
      <c r="BI369" s="275"/>
      <c r="BJ369" s="275"/>
      <c r="BK369" s="15"/>
      <c r="BL369" s="268"/>
      <c r="BM369" s="275"/>
      <c r="BN369" s="15"/>
      <c r="BO369" s="268"/>
      <c r="BP369" s="275"/>
      <c r="BQ369" s="275"/>
      <c r="BR369" s="275"/>
      <c r="BS369" s="15"/>
      <c r="BT369" s="268"/>
      <c r="BU369" s="275"/>
      <c r="BV369" s="15"/>
      <c r="BW369" s="268"/>
      <c r="BX369" s="275"/>
      <c r="BY369" s="275"/>
      <c r="BZ369" s="275"/>
      <c r="CA369" s="15"/>
      <c r="CB369" s="268"/>
      <c r="CC369" s="275"/>
      <c r="CD369" s="15"/>
      <c r="CE369" s="268"/>
      <c r="CF369" s="275"/>
      <c r="CG369" s="275"/>
      <c r="CH369" s="275"/>
      <c r="CI369" s="15"/>
      <c r="CJ369" s="268"/>
      <c r="CK369" s="338"/>
      <c r="CL369" s="15"/>
      <c r="CM369" s="268"/>
      <c r="CN369" s="275"/>
      <c r="CO369" s="275"/>
      <c r="CP369" s="357"/>
      <c r="CQ369" s="274"/>
      <c r="CR369" s="274"/>
      <c r="CS369" s="274"/>
      <c r="CT369" s="170"/>
      <c r="CU369" s="178"/>
      <c r="CV369" s="54"/>
      <c r="CW369" s="54"/>
      <c r="CX369" s="54"/>
      <c r="CY369" s="54"/>
      <c r="CZ369" s="54"/>
      <c r="DA369" s="54"/>
      <c r="DB369" s="54"/>
      <c r="DC369" s="15"/>
    </row>
    <row r="370" spans="1:107" ht="14.25" hidden="1" customHeight="1" outlineLevel="1" collapsed="1" x14ac:dyDescent="0.15">
      <c r="A370" s="2" t="b">
        <f>$V107="разделение внутри одной сметы"</f>
        <v>0</v>
      </c>
      <c r="B370" s="2" t="b">
        <f>AND($V107="разделение внутри одной сметы",A370)</f>
        <v>0</v>
      </c>
      <c r="C370" s="77" t="s">
        <v>522</v>
      </c>
      <c r="D370" s="8" t="s">
        <v>523</v>
      </c>
      <c r="E370" s="2" t="s">
        <v>74</v>
      </c>
      <c r="F370" s="2" t="s">
        <v>75</v>
      </c>
      <c r="G370" s="2" t="s">
        <v>74</v>
      </c>
      <c r="H370" s="2" t="s">
        <v>74</v>
      </c>
      <c r="I370" s="2" t="s">
        <v>74</v>
      </c>
      <c r="J370" s="2" t="s">
        <v>74</v>
      </c>
      <c r="K370" s="5" t="s">
        <v>74</v>
      </c>
      <c r="L370" s="12"/>
      <c r="M370" s="8" t="str">
        <f t="array" ref="M370">Y107</f>
        <v>1ВО::1.1</v>
      </c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5"/>
      <c r="AA370" s="63"/>
      <c r="AB370" s="74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359"/>
      <c r="BE370" s="63"/>
      <c r="BF370" s="63"/>
      <c r="BG370" s="63"/>
      <c r="BH370" s="63"/>
      <c r="BI370" s="63"/>
      <c r="BJ370" s="360"/>
      <c r="BK370" s="63"/>
      <c r="BL370" s="63"/>
      <c r="BM370" s="360"/>
      <c r="BN370" s="63"/>
      <c r="BO370" s="63"/>
      <c r="BP370" s="63"/>
      <c r="BQ370" s="63"/>
      <c r="BR370" s="360"/>
      <c r="BS370" s="63"/>
      <c r="BT370" s="63"/>
      <c r="BU370" s="360"/>
      <c r="BV370" s="63"/>
      <c r="BW370" s="63"/>
      <c r="BX370" s="63"/>
      <c r="BY370" s="63"/>
      <c r="BZ370" s="360"/>
      <c r="CA370" s="63"/>
      <c r="CB370" s="63"/>
      <c r="CC370" s="360"/>
      <c r="CD370" s="63"/>
      <c r="CE370" s="63"/>
      <c r="CF370" s="63"/>
      <c r="CG370" s="63"/>
      <c r="CH370" s="360"/>
      <c r="CI370" s="63"/>
      <c r="CJ370" s="63"/>
      <c r="CK370" s="360"/>
      <c r="CL370" s="63"/>
      <c r="CM370" s="63"/>
      <c r="CN370" s="63"/>
      <c r="CO370" s="63"/>
      <c r="CP370" s="357"/>
      <c r="CQ370" s="274"/>
      <c r="CR370" s="274"/>
      <c r="CS370" s="274"/>
      <c r="CT370" s="170"/>
      <c r="CU370" s="170"/>
      <c r="CV370" s="54"/>
      <c r="CW370" s="54"/>
      <c r="CX370" s="54"/>
      <c r="CY370" s="54"/>
      <c r="CZ370" s="54"/>
      <c r="DA370" s="54"/>
      <c r="DB370" s="54"/>
      <c r="DC370" s="15"/>
    </row>
    <row r="371" spans="1:107" ht="0" hidden="1" customHeight="1" outlineLevel="2" x14ac:dyDescent="0.15">
      <c r="A371" s="12"/>
      <c r="B371" s="2" t="b">
        <f>$V108="разделение внутри одной сметы"</f>
        <v>0</v>
      </c>
      <c r="C371" s="77" t="s">
        <v>524</v>
      </c>
      <c r="D371" s="12"/>
      <c r="E371" s="2" t="s">
        <v>74</v>
      </c>
      <c r="F371" s="2" t="s">
        <v>75</v>
      </c>
      <c r="G371" s="2" t="s">
        <v>74</v>
      </c>
      <c r="H371" s="2" t="s">
        <v>74</v>
      </c>
      <c r="I371" s="2" t="s">
        <v>74</v>
      </c>
      <c r="J371" s="2" t="s">
        <v>74</v>
      </c>
      <c r="K371" s="5" t="s">
        <v>74</v>
      </c>
      <c r="L371" s="12"/>
      <c r="M371" s="8" t="str">
        <f t="array" ref="M371">Y107</f>
        <v>1ВО::1.1</v>
      </c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92" t="str">
        <f>AA370&amp;".0"</f>
        <v>.0</v>
      </c>
      <c r="AB371" s="266"/>
      <c r="AC371" s="270"/>
      <c r="AD371" s="277"/>
      <c r="AE371" s="277"/>
      <c r="AF371" s="277"/>
      <c r="AG371" s="278"/>
      <c r="AH371" s="278"/>
      <c r="AI371" s="277"/>
      <c r="AJ371" s="278"/>
      <c r="AK371" s="278"/>
      <c r="AL371" s="278"/>
      <c r="AM371" s="278"/>
      <c r="AN371" s="277"/>
      <c r="AO371" s="277"/>
      <c r="AP371" s="278"/>
      <c r="AQ371" s="278"/>
      <c r="AR371" s="277"/>
      <c r="AS371" s="278"/>
      <c r="AT371" s="278"/>
      <c r="AU371" s="277"/>
      <c r="AV371" s="277"/>
      <c r="AW371" s="278"/>
      <c r="AX371" s="278"/>
      <c r="AY371" s="277"/>
      <c r="AZ371" s="278"/>
      <c r="BA371" s="278"/>
      <c r="BB371" s="278"/>
      <c r="BC371" s="278"/>
      <c r="BD371" s="277"/>
      <c r="BE371" s="278"/>
      <c r="BF371" s="278"/>
      <c r="BG371" s="277"/>
      <c r="BH371" s="277"/>
      <c r="BI371" s="277"/>
      <c r="BJ371" s="277"/>
      <c r="BK371" s="278"/>
      <c r="BL371" s="278"/>
      <c r="BM371" s="277"/>
      <c r="BN371" s="278"/>
      <c r="BO371" s="278"/>
      <c r="BP371" s="277"/>
      <c r="BQ371" s="277"/>
      <c r="BR371" s="277"/>
      <c r="BS371" s="278"/>
      <c r="BT371" s="278"/>
      <c r="BU371" s="277"/>
      <c r="BV371" s="278"/>
      <c r="BW371" s="278"/>
      <c r="BX371" s="277"/>
      <c r="BY371" s="277"/>
      <c r="BZ371" s="277"/>
      <c r="CA371" s="278"/>
      <c r="CB371" s="278"/>
      <c r="CC371" s="277"/>
      <c r="CD371" s="278"/>
      <c r="CE371" s="278"/>
      <c r="CF371" s="277"/>
      <c r="CG371" s="277"/>
      <c r="CH371" s="277"/>
      <c r="CI371" s="278"/>
      <c r="CJ371" s="278"/>
      <c r="CK371" s="277"/>
      <c r="CL371" s="278"/>
      <c r="CM371" s="278"/>
      <c r="CN371" s="277"/>
      <c r="CO371" s="277"/>
      <c r="CP371" s="43"/>
      <c r="CQ371" s="279"/>
      <c r="CR371" s="279"/>
      <c r="CS371" s="279"/>
      <c r="CT371" s="99">
        <f>SUM(AD371:CO371)</f>
        <v>0</v>
      </c>
      <c r="CU371" s="99"/>
      <c r="CV371" s="44"/>
      <c r="CW371" s="44"/>
      <c r="CX371" s="44"/>
      <c r="CY371" s="44"/>
      <c r="CZ371" s="44"/>
      <c r="DA371" s="44"/>
      <c r="DB371" s="44"/>
      <c r="DC371" s="12"/>
    </row>
    <row r="372" spans="1:107" ht="14.25" hidden="1" customHeight="1" outlineLevel="2" x14ac:dyDescent="0.15">
      <c r="A372" s="2" t="b">
        <f t="array" ref="A372">$B370</f>
        <v>0</v>
      </c>
      <c r="B372" s="2" t="b">
        <f t="array" ref="B372">$B370</f>
        <v>0</v>
      </c>
      <c r="C372" s="77" t="s">
        <v>525</v>
      </c>
      <c r="D372" s="8" t="s">
        <v>526</v>
      </c>
      <c r="E372" s="2" t="s">
        <v>74</v>
      </c>
      <c r="F372" s="2" t="s">
        <v>75</v>
      </c>
      <c r="G372" s="2" t="s">
        <v>74</v>
      </c>
      <c r="H372" s="2" t="s">
        <v>74</v>
      </c>
      <c r="I372" s="2" t="s">
        <v>74</v>
      </c>
      <c r="J372" s="2" t="s">
        <v>74</v>
      </c>
      <c r="K372" s="5" t="s">
        <v>74</v>
      </c>
      <c r="L372" s="12"/>
      <c r="M372" s="8" t="str">
        <f t="array" ref="M372">Y107</f>
        <v>1ВО::1.1</v>
      </c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5"/>
      <c r="AA372" s="260"/>
      <c r="AB372" s="280"/>
      <c r="AC372" s="78"/>
      <c r="AD372" s="98"/>
      <c r="AE372" s="98"/>
      <c r="AF372" s="98"/>
      <c r="AG372" s="15"/>
      <c r="AH372" s="15"/>
      <c r="AI372" s="98"/>
      <c r="AJ372" s="15"/>
      <c r="AK372" s="15"/>
      <c r="AL372" s="15"/>
      <c r="AM372" s="15"/>
      <c r="AN372" s="98"/>
      <c r="AO372" s="98"/>
      <c r="AP372" s="15"/>
      <c r="AQ372" s="15"/>
      <c r="AR372" s="98"/>
      <c r="AS372" s="15"/>
      <c r="AT372" s="15"/>
      <c r="AU372" s="98"/>
      <c r="AV372" s="98"/>
      <c r="AW372" s="15"/>
      <c r="AX372" s="15"/>
      <c r="AY372" s="98"/>
      <c r="AZ372" s="15"/>
      <c r="BA372" s="15"/>
      <c r="BB372" s="15"/>
      <c r="BC372" s="15"/>
      <c r="BD372" s="98"/>
      <c r="BE372" s="15"/>
      <c r="BF372" s="15"/>
      <c r="BG372" s="275"/>
      <c r="BH372" s="275"/>
      <c r="BI372" s="275"/>
      <c r="BJ372" s="98"/>
      <c r="BK372" s="15"/>
      <c r="BL372" s="15"/>
      <c r="BM372" s="98"/>
      <c r="BN372" s="15"/>
      <c r="BO372" s="15"/>
      <c r="BP372" s="80"/>
      <c r="BQ372" s="80"/>
      <c r="BR372" s="98"/>
      <c r="BS372" s="15"/>
      <c r="BT372" s="15"/>
      <c r="BU372" s="98"/>
      <c r="BV372" s="15"/>
      <c r="BW372" s="15"/>
      <c r="BX372" s="80"/>
      <c r="BY372" s="80"/>
      <c r="BZ372" s="98"/>
      <c r="CA372" s="15"/>
      <c r="CB372" s="15"/>
      <c r="CC372" s="98"/>
      <c r="CD372" s="15"/>
      <c r="CE372" s="15"/>
      <c r="CF372" s="80"/>
      <c r="CG372" s="80"/>
      <c r="CH372" s="98"/>
      <c r="CI372" s="15"/>
      <c r="CJ372" s="15"/>
      <c r="CK372" s="98"/>
      <c r="CL372" s="15"/>
      <c r="CM372" s="15"/>
      <c r="CN372" s="80"/>
      <c r="CO372" s="80"/>
      <c r="CP372" s="357"/>
      <c r="CQ372" s="274"/>
      <c r="CR372" s="274"/>
      <c r="CS372" s="274"/>
      <c r="CT372" s="170"/>
      <c r="CU372" s="178"/>
      <c r="CV372" s="54"/>
      <c r="CW372" s="54"/>
      <c r="CX372" s="54"/>
      <c r="CY372" s="54"/>
      <c r="CZ372" s="54"/>
      <c r="DA372" s="54"/>
      <c r="DB372" s="54"/>
      <c r="DC372" s="15"/>
    </row>
    <row r="373" spans="1:107" ht="14.25" hidden="1" customHeight="1" outlineLevel="3" x14ac:dyDescent="0.15">
      <c r="A373" s="2" t="b">
        <f t="array" ref="A373">$B370</f>
        <v>0</v>
      </c>
      <c r="B373" s="2" t="b">
        <f t="array" ref="B373">$B370</f>
        <v>0</v>
      </c>
      <c r="C373" s="77" t="s">
        <v>527</v>
      </c>
      <c r="D373" s="8" t="s">
        <v>528</v>
      </c>
      <c r="E373" s="2" t="s">
        <v>74</v>
      </c>
      <c r="F373" s="2" t="s">
        <v>75</v>
      </c>
      <c r="G373" s="2" t="s">
        <v>74</v>
      </c>
      <c r="H373" s="2" t="s">
        <v>74</v>
      </c>
      <c r="I373" s="2" t="s">
        <v>74</v>
      </c>
      <c r="J373" s="2" t="s">
        <v>74</v>
      </c>
      <c r="K373" s="5" t="s">
        <v>74</v>
      </c>
      <c r="L373" s="12"/>
      <c r="M373" s="8" t="str">
        <f t="array" ref="M373">Y107</f>
        <v>1ВО::1.1</v>
      </c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5"/>
      <c r="AA373" s="260"/>
      <c r="AB373" s="281"/>
      <c r="AC373" s="78"/>
      <c r="AD373" s="282"/>
      <c r="AE373" s="282"/>
      <c r="AF373" s="282"/>
      <c r="AG373" s="15"/>
      <c r="AH373" s="15"/>
      <c r="AI373" s="282"/>
      <c r="AJ373" s="15"/>
      <c r="AK373" s="15"/>
      <c r="AL373" s="15"/>
      <c r="AM373" s="15"/>
      <c r="AN373" s="282"/>
      <c r="AO373" s="282"/>
      <c r="AP373" s="15"/>
      <c r="AQ373" s="15"/>
      <c r="AR373" s="282"/>
      <c r="AS373" s="15"/>
      <c r="AT373" s="15"/>
      <c r="AU373" s="282"/>
      <c r="AV373" s="282"/>
      <c r="AW373" s="15"/>
      <c r="AX373" s="15"/>
      <c r="AY373" s="282"/>
      <c r="AZ373" s="15"/>
      <c r="BA373" s="15"/>
      <c r="BB373" s="15"/>
      <c r="BC373" s="15"/>
      <c r="BD373" s="282"/>
      <c r="BE373" s="15"/>
      <c r="BF373" s="15"/>
      <c r="BG373" s="275"/>
      <c r="BH373" s="275"/>
      <c r="BI373" s="275"/>
      <c r="BJ373" s="282"/>
      <c r="BK373" s="15"/>
      <c r="BL373" s="15"/>
      <c r="BM373" s="282"/>
      <c r="BN373" s="15"/>
      <c r="BO373" s="15"/>
      <c r="BP373" s="80"/>
      <c r="BQ373" s="80"/>
      <c r="BR373" s="282"/>
      <c r="BS373" s="15"/>
      <c r="BT373" s="15"/>
      <c r="BU373" s="282"/>
      <c r="BV373" s="15"/>
      <c r="BW373" s="15"/>
      <c r="BX373" s="80"/>
      <c r="BY373" s="80"/>
      <c r="BZ373" s="282"/>
      <c r="CA373" s="15"/>
      <c r="CB373" s="15"/>
      <c r="CC373" s="282"/>
      <c r="CD373" s="15"/>
      <c r="CE373" s="15"/>
      <c r="CF373" s="80"/>
      <c r="CG373" s="80"/>
      <c r="CH373" s="282"/>
      <c r="CI373" s="15"/>
      <c r="CJ373" s="15"/>
      <c r="CK373" s="282"/>
      <c r="CL373" s="15"/>
      <c r="CM373" s="15"/>
      <c r="CN373" s="80"/>
      <c r="CO373" s="80"/>
      <c r="CP373" s="357"/>
      <c r="CQ373" s="274"/>
      <c r="CR373" s="274"/>
      <c r="CS373" s="274"/>
      <c r="CT373" s="170"/>
      <c r="CU373" s="170"/>
      <c r="CV373" s="54"/>
      <c r="CW373" s="54"/>
      <c r="CX373" s="54"/>
      <c r="CY373" s="54"/>
      <c r="CZ373" s="54"/>
      <c r="DA373" s="54"/>
      <c r="DB373" s="54"/>
      <c r="DC373" s="15"/>
    </row>
    <row r="374" spans="1:107" ht="14.25" hidden="1" customHeight="1" outlineLevel="3" x14ac:dyDescent="0.15">
      <c r="A374" s="2" t="b">
        <f t="array" ref="A374">$B370</f>
        <v>0</v>
      </c>
      <c r="B374" s="2" t="b">
        <f t="array" ref="B374">$B370</f>
        <v>0</v>
      </c>
      <c r="C374" s="77" t="s">
        <v>529</v>
      </c>
      <c r="D374" s="8" t="s">
        <v>530</v>
      </c>
      <c r="E374" s="2" t="s">
        <v>74</v>
      </c>
      <c r="F374" s="2" t="s">
        <v>75</v>
      </c>
      <c r="G374" s="2" t="s">
        <v>74</v>
      </c>
      <c r="H374" s="2" t="s">
        <v>74</v>
      </c>
      <c r="I374" s="2" t="s">
        <v>74</v>
      </c>
      <c r="J374" s="2" t="s">
        <v>74</v>
      </c>
      <c r="K374" s="5" t="s">
        <v>74</v>
      </c>
      <c r="L374" s="12"/>
      <c r="M374" s="8" t="str">
        <f t="array" ref="M374">Y107</f>
        <v>1ВО::1.1</v>
      </c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5"/>
      <c r="AA374" s="260"/>
      <c r="AB374" s="281"/>
      <c r="AC374" s="78"/>
      <c r="AD374" s="282"/>
      <c r="AE374" s="282"/>
      <c r="AF374" s="282"/>
      <c r="AG374" s="15"/>
      <c r="AH374" s="15"/>
      <c r="AI374" s="282"/>
      <c r="AJ374" s="15"/>
      <c r="AK374" s="15"/>
      <c r="AL374" s="15"/>
      <c r="AM374" s="15"/>
      <c r="AN374" s="282"/>
      <c r="AO374" s="282"/>
      <c r="AP374" s="15"/>
      <c r="AQ374" s="15"/>
      <c r="AR374" s="282"/>
      <c r="AS374" s="15"/>
      <c r="AT374" s="15"/>
      <c r="AU374" s="282"/>
      <c r="AV374" s="282"/>
      <c r="AW374" s="15"/>
      <c r="AX374" s="15"/>
      <c r="AY374" s="282"/>
      <c r="AZ374" s="15"/>
      <c r="BA374" s="15"/>
      <c r="BB374" s="15"/>
      <c r="BC374" s="15"/>
      <c r="BD374" s="361"/>
      <c r="BE374" s="15"/>
      <c r="BF374" s="15"/>
      <c r="BG374" s="275"/>
      <c r="BH374" s="275"/>
      <c r="BI374" s="275"/>
      <c r="BJ374" s="361"/>
      <c r="BK374" s="15"/>
      <c r="BL374" s="15"/>
      <c r="BM374" s="361"/>
      <c r="BN374" s="15"/>
      <c r="BO374" s="15"/>
      <c r="BP374" s="80"/>
      <c r="BQ374" s="80"/>
      <c r="BR374" s="361"/>
      <c r="BS374" s="15"/>
      <c r="BT374" s="15"/>
      <c r="BU374" s="282"/>
      <c r="BV374" s="15"/>
      <c r="BW374" s="15"/>
      <c r="BX374" s="80"/>
      <c r="BY374" s="80"/>
      <c r="BZ374" s="361"/>
      <c r="CA374" s="15"/>
      <c r="CB374" s="15"/>
      <c r="CC374" s="282"/>
      <c r="CD374" s="15"/>
      <c r="CE374" s="15"/>
      <c r="CF374" s="80"/>
      <c r="CG374" s="80"/>
      <c r="CH374" s="361"/>
      <c r="CI374" s="15"/>
      <c r="CJ374" s="15"/>
      <c r="CK374" s="282"/>
      <c r="CL374" s="15"/>
      <c r="CM374" s="15"/>
      <c r="CN374" s="80"/>
      <c r="CO374" s="80"/>
      <c r="CP374" s="357"/>
      <c r="CQ374" s="274"/>
      <c r="CR374" s="274"/>
      <c r="CS374" s="274"/>
      <c r="CT374" s="170"/>
      <c r="CU374" s="178"/>
      <c r="CV374" s="54"/>
      <c r="CW374" s="54"/>
      <c r="CX374" s="54"/>
      <c r="CY374" s="54"/>
      <c r="CZ374" s="54"/>
      <c r="DA374" s="54"/>
      <c r="DB374" s="54"/>
      <c r="DC374" s="15"/>
    </row>
    <row r="375" spans="1:107" ht="14.25" hidden="1" customHeight="1" outlineLevel="3" x14ac:dyDescent="0.15">
      <c r="A375" s="2" t="b">
        <f t="array" ref="A375">$B370</f>
        <v>0</v>
      </c>
      <c r="B375" s="2" t="b">
        <f t="array" ref="B375">$B370</f>
        <v>0</v>
      </c>
      <c r="C375" s="77" t="s">
        <v>531</v>
      </c>
      <c r="D375" s="8" t="s">
        <v>532</v>
      </c>
      <c r="E375" s="2" t="s">
        <v>74</v>
      </c>
      <c r="F375" s="2" t="s">
        <v>75</v>
      </c>
      <c r="G375" s="2" t="s">
        <v>74</v>
      </c>
      <c r="H375" s="2" t="s">
        <v>74</v>
      </c>
      <c r="I375" s="2" t="s">
        <v>74</v>
      </c>
      <c r="J375" s="2" t="s">
        <v>74</v>
      </c>
      <c r="K375" s="5" t="s">
        <v>74</v>
      </c>
      <c r="L375" s="12"/>
      <c r="M375" s="8" t="str">
        <f t="array" ref="M375">Y107</f>
        <v>1ВО::1.1</v>
      </c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5"/>
      <c r="AA375" s="260"/>
      <c r="AB375" s="281"/>
      <c r="AC375" s="78"/>
      <c r="AD375" s="98"/>
      <c r="AE375" s="98"/>
      <c r="AF375" s="98"/>
      <c r="AG375" s="15"/>
      <c r="AH375" s="15"/>
      <c r="AI375" s="98"/>
      <c r="AJ375" s="15"/>
      <c r="AK375" s="15"/>
      <c r="AL375" s="15"/>
      <c r="AM375" s="15"/>
      <c r="AN375" s="98"/>
      <c r="AO375" s="98"/>
      <c r="AP375" s="15"/>
      <c r="AQ375" s="15"/>
      <c r="AR375" s="98"/>
      <c r="AS375" s="15"/>
      <c r="AT375" s="15"/>
      <c r="AU375" s="98"/>
      <c r="AV375" s="98"/>
      <c r="AW375" s="15"/>
      <c r="AX375" s="15"/>
      <c r="AY375" s="98"/>
      <c r="AZ375" s="15"/>
      <c r="BA375" s="15"/>
      <c r="BB375" s="15"/>
      <c r="BC375" s="15"/>
      <c r="BD375" s="98"/>
      <c r="BE375" s="15"/>
      <c r="BF375" s="15"/>
      <c r="BG375" s="275"/>
      <c r="BH375" s="275"/>
      <c r="BI375" s="275"/>
      <c r="BJ375" s="98"/>
      <c r="BK375" s="15"/>
      <c r="BL375" s="15"/>
      <c r="BM375" s="98"/>
      <c r="BN375" s="15"/>
      <c r="BO375" s="15"/>
      <c r="BP375" s="80"/>
      <c r="BQ375" s="80"/>
      <c r="BR375" s="98"/>
      <c r="BS375" s="15"/>
      <c r="BT375" s="15"/>
      <c r="BU375" s="98"/>
      <c r="BV375" s="15"/>
      <c r="BW375" s="15"/>
      <c r="BX375" s="80"/>
      <c r="BY375" s="80"/>
      <c r="BZ375" s="98"/>
      <c r="CA375" s="15"/>
      <c r="CB375" s="15"/>
      <c r="CC375" s="98"/>
      <c r="CD375" s="15"/>
      <c r="CE375" s="15"/>
      <c r="CF375" s="80"/>
      <c r="CG375" s="80"/>
      <c r="CH375" s="98"/>
      <c r="CI375" s="15"/>
      <c r="CJ375" s="15"/>
      <c r="CK375" s="98"/>
      <c r="CL375" s="15"/>
      <c r="CM375" s="15"/>
      <c r="CN375" s="80"/>
      <c r="CO375" s="80"/>
      <c r="CP375" s="357"/>
      <c r="CQ375" s="274"/>
      <c r="CR375" s="274"/>
      <c r="CS375" s="274"/>
      <c r="CT375" s="170"/>
      <c r="CU375" s="178"/>
      <c r="CV375" s="54"/>
      <c r="CW375" s="54"/>
      <c r="CX375" s="54"/>
      <c r="CY375" s="54"/>
      <c r="CZ375" s="54"/>
      <c r="DA375" s="54"/>
      <c r="DB375" s="54"/>
      <c r="DC375" s="15"/>
    </row>
    <row r="376" spans="1:107" ht="14.25" hidden="1" customHeight="1" outlineLevel="3" x14ac:dyDescent="0.15">
      <c r="A376" s="2" t="b">
        <f t="array" ref="A376">$B370</f>
        <v>0</v>
      </c>
      <c r="B376" s="2" t="b">
        <f t="array" ref="B376">$B370</f>
        <v>0</v>
      </c>
      <c r="C376" s="77" t="s">
        <v>533</v>
      </c>
      <c r="D376" s="8" t="s">
        <v>534</v>
      </c>
      <c r="E376" s="2" t="s">
        <v>74</v>
      </c>
      <c r="F376" s="2" t="s">
        <v>75</v>
      </c>
      <c r="G376" s="2" t="s">
        <v>74</v>
      </c>
      <c r="H376" s="2" t="s">
        <v>74</v>
      </c>
      <c r="I376" s="2" t="s">
        <v>74</v>
      </c>
      <c r="J376" s="2" t="s">
        <v>74</v>
      </c>
      <c r="K376" s="5" t="s">
        <v>74</v>
      </c>
      <c r="L376" s="12"/>
      <c r="M376" s="8" t="str">
        <f t="array" ref="M376">Y107</f>
        <v>1ВО::1.1</v>
      </c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5"/>
      <c r="AA376" s="260"/>
      <c r="AB376" s="72"/>
      <c r="AC376" s="78"/>
      <c r="AD376" s="98"/>
      <c r="AE376" s="98"/>
      <c r="AF376" s="98"/>
      <c r="AG376" s="15"/>
      <c r="AH376" s="15"/>
      <c r="AI376" s="98"/>
      <c r="AJ376" s="15"/>
      <c r="AK376" s="15"/>
      <c r="AL376" s="15"/>
      <c r="AM376" s="15"/>
      <c r="AN376" s="98"/>
      <c r="AO376" s="98"/>
      <c r="AP376" s="15"/>
      <c r="AQ376" s="15"/>
      <c r="AR376" s="98"/>
      <c r="AS376" s="15"/>
      <c r="AT376" s="15"/>
      <c r="AU376" s="98"/>
      <c r="AV376" s="98"/>
      <c r="AW376" s="15"/>
      <c r="AX376" s="15"/>
      <c r="AY376" s="98"/>
      <c r="AZ376" s="15"/>
      <c r="BA376" s="15"/>
      <c r="BB376" s="15"/>
      <c r="BC376" s="15"/>
      <c r="BD376" s="98"/>
      <c r="BE376" s="15"/>
      <c r="BF376" s="15"/>
      <c r="BG376" s="275"/>
      <c r="BH376" s="275"/>
      <c r="BI376" s="275"/>
      <c r="BJ376" s="98"/>
      <c r="BK376" s="15"/>
      <c r="BL376" s="15"/>
      <c r="BM376" s="98"/>
      <c r="BN376" s="15"/>
      <c r="BO376" s="15"/>
      <c r="BP376" s="80"/>
      <c r="BQ376" s="80"/>
      <c r="BR376" s="98"/>
      <c r="BS376" s="15"/>
      <c r="BT376" s="15"/>
      <c r="BU376" s="98"/>
      <c r="BV376" s="15"/>
      <c r="BW376" s="15"/>
      <c r="BX376" s="80"/>
      <c r="BY376" s="80"/>
      <c r="BZ376" s="98"/>
      <c r="CA376" s="15"/>
      <c r="CB376" s="15"/>
      <c r="CC376" s="98"/>
      <c r="CD376" s="15"/>
      <c r="CE376" s="15"/>
      <c r="CF376" s="80"/>
      <c r="CG376" s="80"/>
      <c r="CH376" s="98"/>
      <c r="CI376" s="15"/>
      <c r="CJ376" s="15"/>
      <c r="CK376" s="98"/>
      <c r="CL376" s="15"/>
      <c r="CM376" s="15"/>
      <c r="CN376" s="80"/>
      <c r="CO376" s="80"/>
      <c r="CP376" s="357"/>
      <c r="CQ376" s="274"/>
      <c r="CR376" s="274"/>
      <c r="CS376" s="274"/>
      <c r="CT376" s="170"/>
      <c r="CU376" s="178"/>
      <c r="CV376" s="54"/>
      <c r="CW376" s="54"/>
      <c r="CX376" s="54"/>
      <c r="CY376" s="54"/>
      <c r="CZ376" s="54"/>
      <c r="DA376" s="54"/>
      <c r="DB376" s="54"/>
      <c r="DC376" s="15"/>
    </row>
    <row r="377" spans="1:107" ht="14.25" hidden="1" customHeight="1" outlineLevel="4" x14ac:dyDescent="0.15">
      <c r="A377" s="2" t="b">
        <f t="array" ref="A377">$B370</f>
        <v>0</v>
      </c>
      <c r="B377" s="2" t="b">
        <f t="array" ref="B377">$B370</f>
        <v>0</v>
      </c>
      <c r="C377" s="77" t="s">
        <v>535</v>
      </c>
      <c r="D377" s="8" t="s">
        <v>536</v>
      </c>
      <c r="E377" s="2" t="s">
        <v>74</v>
      </c>
      <c r="F377" s="2" t="s">
        <v>75</v>
      </c>
      <c r="G377" s="2" t="s">
        <v>74</v>
      </c>
      <c r="H377" s="2" t="s">
        <v>74</v>
      </c>
      <c r="I377" s="2" t="s">
        <v>74</v>
      </c>
      <c r="J377" s="2" t="s">
        <v>74</v>
      </c>
      <c r="K377" s="5" t="s">
        <v>74</v>
      </c>
      <c r="L377" s="12"/>
      <c r="M377" s="8" t="str">
        <f t="array" ref="M377">Y107</f>
        <v>1ВО::1.1</v>
      </c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5"/>
      <c r="AA377" s="260"/>
      <c r="AB377" s="281"/>
      <c r="AC377" s="78"/>
      <c r="AD377" s="98"/>
      <c r="AE377" s="98"/>
      <c r="AF377" s="98"/>
      <c r="AG377" s="15"/>
      <c r="AH377" s="15"/>
      <c r="AI377" s="98"/>
      <c r="AJ377" s="15"/>
      <c r="AK377" s="15"/>
      <c r="AL377" s="15"/>
      <c r="AM377" s="15"/>
      <c r="AN377" s="98"/>
      <c r="AO377" s="98"/>
      <c r="AP377" s="15"/>
      <c r="AQ377" s="15"/>
      <c r="AR377" s="98"/>
      <c r="AS377" s="15"/>
      <c r="AT377" s="15"/>
      <c r="AU377" s="98"/>
      <c r="AV377" s="98"/>
      <c r="AW377" s="15"/>
      <c r="AX377" s="15"/>
      <c r="AY377" s="98"/>
      <c r="AZ377" s="15"/>
      <c r="BA377" s="15"/>
      <c r="BB377" s="15"/>
      <c r="BC377" s="15"/>
      <c r="BD377" s="98"/>
      <c r="BE377" s="15"/>
      <c r="BF377" s="15"/>
      <c r="BG377" s="275"/>
      <c r="BH377" s="275"/>
      <c r="BI377" s="275"/>
      <c r="BJ377" s="98"/>
      <c r="BK377" s="15"/>
      <c r="BL377" s="15"/>
      <c r="BM377" s="98"/>
      <c r="BN377" s="15"/>
      <c r="BO377" s="15"/>
      <c r="BP377" s="80"/>
      <c r="BQ377" s="80"/>
      <c r="BR377" s="98"/>
      <c r="BS377" s="15"/>
      <c r="BT377" s="15"/>
      <c r="BU377" s="98"/>
      <c r="BV377" s="15"/>
      <c r="BW377" s="15"/>
      <c r="BX377" s="80"/>
      <c r="BY377" s="80"/>
      <c r="BZ377" s="98"/>
      <c r="CA377" s="15"/>
      <c r="CB377" s="15"/>
      <c r="CC377" s="98"/>
      <c r="CD377" s="15"/>
      <c r="CE377" s="15"/>
      <c r="CF377" s="80"/>
      <c r="CG377" s="80"/>
      <c r="CH377" s="98"/>
      <c r="CI377" s="15"/>
      <c r="CJ377" s="15"/>
      <c r="CK377" s="98"/>
      <c r="CL377" s="15"/>
      <c r="CM377" s="15"/>
      <c r="CN377" s="80"/>
      <c r="CO377" s="80"/>
      <c r="CP377" s="357"/>
      <c r="CQ377" s="274"/>
      <c r="CR377" s="274"/>
      <c r="CS377" s="274"/>
      <c r="CT377" s="170"/>
      <c r="CU377" s="170"/>
      <c r="CV377" s="54"/>
      <c r="CW377" s="54"/>
      <c r="CX377" s="54"/>
      <c r="CY377" s="54"/>
      <c r="CZ377" s="54"/>
      <c r="DA377" s="54"/>
      <c r="DB377" s="54"/>
      <c r="DC377" s="15"/>
    </row>
    <row r="378" spans="1:107" ht="14.25" hidden="1" customHeight="1" outlineLevel="4" x14ac:dyDescent="0.15">
      <c r="A378" s="2" t="b">
        <f t="array" ref="A378">$B370</f>
        <v>0</v>
      </c>
      <c r="B378" s="2" t="b">
        <f t="array" ref="B378">$B370</f>
        <v>0</v>
      </c>
      <c r="C378" s="77" t="s">
        <v>537</v>
      </c>
      <c r="D378" s="8" t="s">
        <v>538</v>
      </c>
      <c r="E378" s="2" t="s">
        <v>74</v>
      </c>
      <c r="F378" s="2" t="s">
        <v>75</v>
      </c>
      <c r="G378" s="2" t="s">
        <v>74</v>
      </c>
      <c r="H378" s="2" t="s">
        <v>74</v>
      </c>
      <c r="I378" s="2" t="s">
        <v>74</v>
      </c>
      <c r="J378" s="2" t="s">
        <v>74</v>
      </c>
      <c r="K378" s="5" t="s">
        <v>74</v>
      </c>
      <c r="L378" s="12"/>
      <c r="M378" s="8" t="str">
        <f t="array" ref="M378">Y107</f>
        <v>1ВО::1.1</v>
      </c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5"/>
      <c r="AA378" s="260"/>
      <c r="AB378" s="281"/>
      <c r="AC378" s="78"/>
      <c r="AD378" s="98"/>
      <c r="AE378" s="98"/>
      <c r="AF378" s="98"/>
      <c r="AG378" s="15"/>
      <c r="AH378" s="15"/>
      <c r="AI378" s="98"/>
      <c r="AJ378" s="15"/>
      <c r="AK378" s="15"/>
      <c r="AL378" s="15"/>
      <c r="AM378" s="15"/>
      <c r="AN378" s="98"/>
      <c r="AO378" s="98"/>
      <c r="AP378" s="15"/>
      <c r="AQ378" s="15"/>
      <c r="AR378" s="98"/>
      <c r="AS378" s="15"/>
      <c r="AT378" s="15"/>
      <c r="AU378" s="98"/>
      <c r="AV378" s="98"/>
      <c r="AW378" s="15"/>
      <c r="AX378" s="15"/>
      <c r="AY378" s="98"/>
      <c r="AZ378" s="15"/>
      <c r="BA378" s="15"/>
      <c r="BB378" s="15"/>
      <c r="BC378" s="15"/>
      <c r="BD378" s="98"/>
      <c r="BE378" s="15"/>
      <c r="BF378" s="15"/>
      <c r="BG378" s="275"/>
      <c r="BH378" s="275"/>
      <c r="BI378" s="275"/>
      <c r="BJ378" s="98"/>
      <c r="BK378" s="15"/>
      <c r="BL378" s="15"/>
      <c r="BM378" s="98"/>
      <c r="BN378" s="15"/>
      <c r="BO378" s="15"/>
      <c r="BP378" s="80"/>
      <c r="BQ378" s="80"/>
      <c r="BR378" s="98"/>
      <c r="BS378" s="15"/>
      <c r="BT378" s="15"/>
      <c r="BU378" s="98"/>
      <c r="BV378" s="15"/>
      <c r="BW378" s="15"/>
      <c r="BX378" s="80"/>
      <c r="BY378" s="80"/>
      <c r="BZ378" s="98"/>
      <c r="CA378" s="15"/>
      <c r="CB378" s="15"/>
      <c r="CC378" s="98"/>
      <c r="CD378" s="15"/>
      <c r="CE378" s="15"/>
      <c r="CF378" s="80"/>
      <c r="CG378" s="80"/>
      <c r="CH378" s="98"/>
      <c r="CI378" s="15"/>
      <c r="CJ378" s="15"/>
      <c r="CK378" s="98"/>
      <c r="CL378" s="15"/>
      <c r="CM378" s="15"/>
      <c r="CN378" s="80"/>
      <c r="CO378" s="80"/>
      <c r="CP378" s="357"/>
      <c r="CQ378" s="274"/>
      <c r="CR378" s="274"/>
      <c r="CS378" s="274"/>
      <c r="CT378" s="170"/>
      <c r="CU378" s="170"/>
      <c r="CV378" s="54"/>
      <c r="CW378" s="54"/>
      <c r="CX378" s="54"/>
      <c r="CY378" s="54"/>
      <c r="CZ378" s="54"/>
      <c r="DA378" s="54"/>
      <c r="DB378" s="54"/>
      <c r="DC378" s="15"/>
    </row>
    <row r="379" spans="1:107" ht="14.25" hidden="1" customHeight="1" outlineLevel="3" x14ac:dyDescent="0.15">
      <c r="A379" s="2" t="b">
        <f t="array" ref="A379">$B370</f>
        <v>0</v>
      </c>
      <c r="B379" s="2" t="b">
        <f t="array" ref="B379">$B370</f>
        <v>0</v>
      </c>
      <c r="C379" s="77" t="s">
        <v>539</v>
      </c>
      <c r="D379" s="8" t="s">
        <v>540</v>
      </c>
      <c r="E379" s="2" t="s">
        <v>74</v>
      </c>
      <c r="F379" s="2" t="s">
        <v>75</v>
      </c>
      <c r="G379" s="2" t="s">
        <v>74</v>
      </c>
      <c r="H379" s="2" t="s">
        <v>74</v>
      </c>
      <c r="I379" s="2" t="s">
        <v>74</v>
      </c>
      <c r="J379" s="2" t="s">
        <v>74</v>
      </c>
      <c r="K379" s="5" t="s">
        <v>74</v>
      </c>
      <c r="L379" s="12"/>
      <c r="M379" s="8" t="str">
        <f t="array" ref="M379">Y107</f>
        <v>1ВО::1.1</v>
      </c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5"/>
      <c r="AA379" s="260"/>
      <c r="AB379" s="72"/>
      <c r="AC379" s="78"/>
      <c r="AD379" s="98"/>
      <c r="AE379" s="98"/>
      <c r="AF379" s="98"/>
      <c r="AG379" s="15"/>
      <c r="AH379" s="15"/>
      <c r="AI379" s="98"/>
      <c r="AJ379" s="15"/>
      <c r="AK379" s="15"/>
      <c r="AL379" s="15"/>
      <c r="AM379" s="15"/>
      <c r="AN379" s="98"/>
      <c r="AO379" s="98"/>
      <c r="AP379" s="15"/>
      <c r="AQ379" s="15"/>
      <c r="AR379" s="98"/>
      <c r="AS379" s="15"/>
      <c r="AT379" s="15"/>
      <c r="AU379" s="98"/>
      <c r="AV379" s="98"/>
      <c r="AW379" s="15"/>
      <c r="AX379" s="15"/>
      <c r="AY379" s="98"/>
      <c r="AZ379" s="15"/>
      <c r="BA379" s="15"/>
      <c r="BB379" s="15"/>
      <c r="BC379" s="15"/>
      <c r="BD379" s="98"/>
      <c r="BE379" s="15"/>
      <c r="BF379" s="15"/>
      <c r="BG379" s="275"/>
      <c r="BH379" s="275"/>
      <c r="BI379" s="275"/>
      <c r="BJ379" s="98"/>
      <c r="BK379" s="15"/>
      <c r="BL379" s="15"/>
      <c r="BM379" s="98"/>
      <c r="BN379" s="15"/>
      <c r="BO379" s="15"/>
      <c r="BP379" s="80"/>
      <c r="BQ379" s="80"/>
      <c r="BR379" s="98"/>
      <c r="BS379" s="15"/>
      <c r="BT379" s="15"/>
      <c r="BU379" s="98"/>
      <c r="BV379" s="15"/>
      <c r="BW379" s="15"/>
      <c r="BX379" s="80"/>
      <c r="BY379" s="80"/>
      <c r="BZ379" s="98"/>
      <c r="CA379" s="15"/>
      <c r="CB379" s="15"/>
      <c r="CC379" s="98"/>
      <c r="CD379" s="15"/>
      <c r="CE379" s="15"/>
      <c r="CF379" s="80"/>
      <c r="CG379" s="80"/>
      <c r="CH379" s="98"/>
      <c r="CI379" s="15"/>
      <c r="CJ379" s="15"/>
      <c r="CK379" s="98"/>
      <c r="CL379" s="15"/>
      <c r="CM379" s="15"/>
      <c r="CN379" s="80"/>
      <c r="CO379" s="80"/>
      <c r="CP379" s="357"/>
      <c r="CQ379" s="274"/>
      <c r="CR379" s="274"/>
      <c r="CS379" s="274"/>
      <c r="CT379" s="170"/>
      <c r="CU379" s="178"/>
      <c r="CV379" s="54"/>
      <c r="CW379" s="54"/>
      <c r="CX379" s="54"/>
      <c r="CY379" s="54"/>
      <c r="CZ379" s="54"/>
      <c r="DA379" s="54"/>
      <c r="DB379" s="54"/>
      <c r="DC379" s="15"/>
    </row>
    <row r="380" spans="1:107" ht="14.25" hidden="1" customHeight="1" outlineLevel="4" x14ac:dyDescent="0.15">
      <c r="A380" s="2" t="b">
        <f t="array" ref="A380">$B370</f>
        <v>0</v>
      </c>
      <c r="B380" s="2" t="b">
        <f t="array" ref="B380">$B370</f>
        <v>0</v>
      </c>
      <c r="C380" s="77" t="s">
        <v>87</v>
      </c>
      <c r="D380" s="8" t="s">
        <v>88</v>
      </c>
      <c r="E380" s="2" t="s">
        <v>74</v>
      </c>
      <c r="F380" s="2" t="s">
        <v>75</v>
      </c>
      <c r="G380" s="2" t="s">
        <v>74</v>
      </c>
      <c r="H380" s="2" t="s">
        <v>74</v>
      </c>
      <c r="I380" s="2" t="s">
        <v>74</v>
      </c>
      <c r="J380" s="2" t="s">
        <v>74</v>
      </c>
      <c r="K380" s="5" t="s">
        <v>74</v>
      </c>
      <c r="L380" s="12"/>
      <c r="M380" s="8" t="str">
        <f t="array" ref="M380">Y107</f>
        <v>1ВО::1.1</v>
      </c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5"/>
      <c r="AA380" s="260"/>
      <c r="AB380" s="281"/>
      <c r="AC380" s="78"/>
      <c r="AD380" s="98"/>
      <c r="AE380" s="98"/>
      <c r="AF380" s="98"/>
      <c r="AG380" s="15"/>
      <c r="AH380" s="15"/>
      <c r="AI380" s="98"/>
      <c r="AJ380" s="15"/>
      <c r="AK380" s="15"/>
      <c r="AL380" s="15"/>
      <c r="AM380" s="15"/>
      <c r="AN380" s="98"/>
      <c r="AO380" s="98"/>
      <c r="AP380" s="15"/>
      <c r="AQ380" s="15"/>
      <c r="AR380" s="98"/>
      <c r="AS380" s="15"/>
      <c r="AT380" s="15"/>
      <c r="AU380" s="98"/>
      <c r="AV380" s="98"/>
      <c r="AW380" s="15"/>
      <c r="AX380" s="15"/>
      <c r="AY380" s="98"/>
      <c r="AZ380" s="15"/>
      <c r="BA380" s="15"/>
      <c r="BB380" s="15"/>
      <c r="BC380" s="15"/>
      <c r="BD380" s="98"/>
      <c r="BE380" s="15"/>
      <c r="BF380" s="15"/>
      <c r="BG380" s="275"/>
      <c r="BH380" s="275"/>
      <c r="BI380" s="275"/>
      <c r="BJ380" s="98"/>
      <c r="BK380" s="15"/>
      <c r="BL380" s="15"/>
      <c r="BM380" s="98"/>
      <c r="BN380" s="15"/>
      <c r="BO380" s="15"/>
      <c r="BP380" s="80"/>
      <c r="BQ380" s="80"/>
      <c r="BR380" s="98"/>
      <c r="BS380" s="15"/>
      <c r="BT380" s="15"/>
      <c r="BU380" s="98"/>
      <c r="BV380" s="15"/>
      <c r="BW380" s="15"/>
      <c r="BX380" s="80"/>
      <c r="BY380" s="80"/>
      <c r="BZ380" s="98"/>
      <c r="CA380" s="15"/>
      <c r="CB380" s="15"/>
      <c r="CC380" s="98"/>
      <c r="CD380" s="15"/>
      <c r="CE380" s="15"/>
      <c r="CF380" s="80"/>
      <c r="CG380" s="80"/>
      <c r="CH380" s="98"/>
      <c r="CI380" s="15"/>
      <c r="CJ380" s="15"/>
      <c r="CK380" s="98"/>
      <c r="CL380" s="15"/>
      <c r="CM380" s="15"/>
      <c r="CN380" s="80"/>
      <c r="CO380" s="80"/>
      <c r="CP380" s="357"/>
      <c r="CQ380" s="274"/>
      <c r="CR380" s="274"/>
      <c r="CS380" s="274"/>
      <c r="CT380" s="170"/>
      <c r="CU380" s="178"/>
      <c r="CV380" s="54"/>
      <c r="CW380" s="54"/>
      <c r="CX380" s="54"/>
      <c r="CY380" s="54"/>
      <c r="CZ380" s="54"/>
      <c r="DA380" s="54"/>
      <c r="DB380" s="54"/>
      <c r="DC380" s="15"/>
    </row>
    <row r="381" spans="1:107" ht="14.25" hidden="1" customHeight="1" outlineLevel="4" x14ac:dyDescent="0.15">
      <c r="A381" s="2" t="b">
        <f t="array" ref="A381">$B370</f>
        <v>0</v>
      </c>
      <c r="B381" s="2" t="b">
        <f t="array" ref="B381">$B370</f>
        <v>0</v>
      </c>
      <c r="C381" s="77" t="s">
        <v>89</v>
      </c>
      <c r="D381" s="8" t="s">
        <v>90</v>
      </c>
      <c r="E381" s="2" t="s">
        <v>74</v>
      </c>
      <c r="F381" s="2" t="s">
        <v>75</v>
      </c>
      <c r="G381" s="2" t="s">
        <v>74</v>
      </c>
      <c r="H381" s="2" t="s">
        <v>74</v>
      </c>
      <c r="I381" s="2" t="s">
        <v>74</v>
      </c>
      <c r="J381" s="2" t="s">
        <v>74</v>
      </c>
      <c r="K381" s="5" t="s">
        <v>74</v>
      </c>
      <c r="L381" s="12"/>
      <c r="M381" s="8" t="str">
        <f t="array" ref="M381">Y107</f>
        <v>1ВО::1.1</v>
      </c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5"/>
      <c r="AA381" s="260"/>
      <c r="AB381" s="281"/>
      <c r="AC381" s="78"/>
      <c r="AD381" s="98"/>
      <c r="AE381" s="98"/>
      <c r="AF381" s="98"/>
      <c r="AG381" s="15"/>
      <c r="AH381" s="15"/>
      <c r="AI381" s="98"/>
      <c r="AJ381" s="15"/>
      <c r="AK381" s="15"/>
      <c r="AL381" s="15"/>
      <c r="AM381" s="15"/>
      <c r="AN381" s="98"/>
      <c r="AO381" s="98"/>
      <c r="AP381" s="15"/>
      <c r="AQ381" s="15"/>
      <c r="AR381" s="98"/>
      <c r="AS381" s="15"/>
      <c r="AT381" s="15"/>
      <c r="AU381" s="98"/>
      <c r="AV381" s="98"/>
      <c r="AW381" s="15"/>
      <c r="AX381" s="15"/>
      <c r="AY381" s="98"/>
      <c r="AZ381" s="15"/>
      <c r="BA381" s="15"/>
      <c r="BB381" s="15"/>
      <c r="BC381" s="15"/>
      <c r="BD381" s="98"/>
      <c r="BE381" s="15"/>
      <c r="BF381" s="15"/>
      <c r="BG381" s="275"/>
      <c r="BH381" s="275"/>
      <c r="BI381" s="275"/>
      <c r="BJ381" s="98"/>
      <c r="BK381" s="15"/>
      <c r="BL381" s="15"/>
      <c r="BM381" s="98"/>
      <c r="BN381" s="15"/>
      <c r="BO381" s="15"/>
      <c r="BP381" s="80"/>
      <c r="BQ381" s="80"/>
      <c r="BR381" s="98"/>
      <c r="BS381" s="15"/>
      <c r="BT381" s="15"/>
      <c r="BU381" s="98"/>
      <c r="BV381" s="15"/>
      <c r="BW381" s="15"/>
      <c r="BX381" s="80"/>
      <c r="BY381" s="80"/>
      <c r="BZ381" s="98"/>
      <c r="CA381" s="15"/>
      <c r="CB381" s="15"/>
      <c r="CC381" s="98"/>
      <c r="CD381" s="15"/>
      <c r="CE381" s="15"/>
      <c r="CF381" s="80"/>
      <c r="CG381" s="80"/>
      <c r="CH381" s="98"/>
      <c r="CI381" s="15"/>
      <c r="CJ381" s="15"/>
      <c r="CK381" s="98"/>
      <c r="CL381" s="15"/>
      <c r="CM381" s="15"/>
      <c r="CN381" s="80"/>
      <c r="CO381" s="80"/>
      <c r="CP381" s="357"/>
      <c r="CQ381" s="274"/>
      <c r="CR381" s="274"/>
      <c r="CS381" s="274"/>
      <c r="CT381" s="170"/>
      <c r="CU381" s="178"/>
      <c r="CV381" s="54"/>
      <c r="CW381" s="54"/>
      <c r="CX381" s="54"/>
      <c r="CY381" s="54"/>
      <c r="CZ381" s="54"/>
      <c r="DA381" s="54"/>
      <c r="DB381" s="54"/>
      <c r="DC381" s="15"/>
    </row>
    <row r="382" spans="1:107" ht="0" hidden="1" customHeight="1" outlineLevel="4" x14ac:dyDescent="0.25">
      <c r="A382" s="2" t="b">
        <f t="array" ref="A382">$B370</f>
        <v>0</v>
      </c>
      <c r="B382" s="2" t="b">
        <f t="array" ref="B382">$B370</f>
        <v>0</v>
      </c>
      <c r="C382" s="12"/>
      <c r="D382" s="8" t="s">
        <v>540</v>
      </c>
      <c r="E382" s="2" t="s">
        <v>74</v>
      </c>
      <c r="F382" s="2" t="s">
        <v>75</v>
      </c>
      <c r="G382" s="2" t="s">
        <v>74</v>
      </c>
      <c r="H382" s="2" t="s">
        <v>74</v>
      </c>
      <c r="I382" s="2" t="s">
        <v>74</v>
      </c>
      <c r="J382" s="2" t="s">
        <v>74</v>
      </c>
      <c r="K382" s="5" t="s">
        <v>74</v>
      </c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5"/>
      <c r="AA382" s="71"/>
      <c r="AB382" s="283"/>
      <c r="AC382" s="284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98"/>
      <c r="AP382" s="98"/>
      <c r="AQ382" s="98"/>
      <c r="AR382" s="98"/>
      <c r="AS382" s="98"/>
      <c r="AT382" s="98"/>
      <c r="AU382" s="98"/>
      <c r="AV382" s="98"/>
      <c r="AW382" s="98"/>
      <c r="AX382" s="98"/>
      <c r="AY382" s="98"/>
      <c r="AZ382" s="98"/>
      <c r="BA382" s="98"/>
      <c r="BB382" s="98"/>
      <c r="BC382" s="98"/>
      <c r="BD382" s="98"/>
      <c r="BE382" s="98"/>
      <c r="BF382" s="98"/>
      <c r="BG382" s="275"/>
      <c r="BH382" s="275"/>
      <c r="BI382" s="275"/>
      <c r="BJ382" s="98"/>
      <c r="BK382" s="98"/>
      <c r="BL382" s="98"/>
      <c r="BM382" s="98"/>
      <c r="BN382" s="98"/>
      <c r="BO382" s="98"/>
      <c r="BP382" s="80"/>
      <c r="BQ382" s="80"/>
      <c r="BR382" s="98"/>
      <c r="BS382" s="98"/>
      <c r="BT382" s="98"/>
      <c r="BU382" s="98"/>
      <c r="BV382" s="98"/>
      <c r="BW382" s="98"/>
      <c r="BX382" s="80"/>
      <c r="BY382" s="80"/>
      <c r="BZ382" s="98"/>
      <c r="CA382" s="98"/>
      <c r="CB382" s="98"/>
      <c r="CC382" s="98"/>
      <c r="CD382" s="98"/>
      <c r="CE382" s="98"/>
      <c r="CF382" s="80"/>
      <c r="CG382" s="80"/>
      <c r="CH382" s="98"/>
      <c r="CI382" s="98"/>
      <c r="CJ382" s="98"/>
      <c r="CK382" s="98"/>
      <c r="CL382" s="98"/>
      <c r="CM382" s="98"/>
      <c r="CN382" s="80"/>
      <c r="CO382" s="80"/>
      <c r="CP382" s="357"/>
      <c r="CQ382" s="53"/>
      <c r="CR382" s="53"/>
      <c r="CS382" s="53"/>
      <c r="CT382" s="54"/>
      <c r="CU382" s="170"/>
      <c r="CV382" s="54"/>
      <c r="CW382" s="54"/>
      <c r="CX382" s="54"/>
      <c r="CY382" s="54"/>
      <c r="CZ382" s="54"/>
      <c r="DA382" s="54"/>
      <c r="DB382" s="54"/>
      <c r="DC382" s="15"/>
    </row>
    <row r="383" spans="1:107" ht="14.25" hidden="1" customHeight="1" outlineLevel="2" x14ac:dyDescent="0.25">
      <c r="A383" s="2" t="b">
        <f t="array" ref="A383">$B370</f>
        <v>0</v>
      </c>
      <c r="B383" s="2" t="b">
        <f t="array" ref="B383">$B370</f>
        <v>0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2" t="s">
        <v>541</v>
      </c>
      <c r="Z383" s="15"/>
      <c r="AA383" s="285"/>
      <c r="AB383" s="286"/>
      <c r="AC383" s="287"/>
      <c r="AD383" s="287"/>
      <c r="AE383" s="287"/>
      <c r="AF383" s="287"/>
      <c r="AG383" s="287"/>
      <c r="AH383" s="287"/>
      <c r="AI383" s="287"/>
      <c r="AJ383" s="287"/>
      <c r="AK383" s="287"/>
      <c r="AL383" s="287"/>
      <c r="AM383" s="287"/>
      <c r="AN383" s="287"/>
      <c r="AO383" s="287"/>
      <c r="AP383" s="287"/>
      <c r="AQ383" s="287"/>
      <c r="AR383" s="287"/>
      <c r="AS383" s="287"/>
      <c r="AT383" s="287"/>
      <c r="AU383" s="287"/>
      <c r="AV383" s="287"/>
      <c r="AW383" s="287"/>
      <c r="AX383" s="287"/>
      <c r="AY383" s="287"/>
      <c r="AZ383" s="287"/>
      <c r="BA383" s="287"/>
      <c r="BB383" s="287"/>
      <c r="BC383" s="287"/>
      <c r="BD383" s="287"/>
      <c r="BE383" s="287"/>
      <c r="BF383" s="287"/>
      <c r="BG383" s="287"/>
      <c r="BH383" s="287"/>
      <c r="BI383" s="287"/>
      <c r="BJ383" s="287"/>
      <c r="BK383" s="287"/>
      <c r="BL383" s="287"/>
      <c r="BM383" s="287"/>
      <c r="BN383" s="287"/>
      <c r="BO383" s="287"/>
      <c r="BP383" s="287"/>
      <c r="BQ383" s="287"/>
      <c r="BR383" s="287"/>
      <c r="BS383" s="287"/>
      <c r="BT383" s="287"/>
      <c r="BU383" s="287"/>
      <c r="BV383" s="287"/>
      <c r="BW383" s="287"/>
      <c r="BX383" s="287"/>
      <c r="BY383" s="287"/>
      <c r="BZ383" s="287"/>
      <c r="CA383" s="287"/>
      <c r="CB383" s="287"/>
      <c r="CC383" s="287"/>
      <c r="CD383" s="287"/>
      <c r="CE383" s="287"/>
      <c r="CF383" s="287"/>
      <c r="CG383" s="287"/>
      <c r="CH383" s="287"/>
      <c r="CI383" s="287"/>
      <c r="CJ383" s="287"/>
      <c r="CK383" s="287"/>
      <c r="CL383" s="287"/>
      <c r="CM383" s="287"/>
      <c r="CN383" s="287"/>
      <c r="CO383" s="287"/>
      <c r="CP383" s="287"/>
      <c r="CQ383" s="287"/>
      <c r="CR383" s="287"/>
      <c r="CS383" s="287"/>
      <c r="CT383" s="287"/>
      <c r="CU383" s="287"/>
      <c r="CV383" s="287"/>
      <c r="CW383" s="287"/>
      <c r="CX383" s="287"/>
      <c r="CY383" s="287"/>
      <c r="CZ383" s="287"/>
      <c r="DA383" s="287"/>
      <c r="DB383" s="287"/>
      <c r="DC383" s="15"/>
    </row>
    <row r="384" spans="1:107" ht="14.25" hidden="1" customHeight="1" x14ac:dyDescent="0.25">
      <c r="AD384" s="12"/>
      <c r="AE384" s="12"/>
      <c r="AG384" s="15"/>
      <c r="AH384" s="15"/>
      <c r="AI384" s="12"/>
      <c r="AJ384" s="15"/>
      <c r="AK384" s="15"/>
      <c r="AL384" s="15"/>
      <c r="AM384" s="15"/>
      <c r="AN384" s="12"/>
      <c r="AP384" s="15"/>
      <c r="AQ384" s="15"/>
      <c r="AR384" s="12"/>
      <c r="AS384" s="15"/>
      <c r="AT384" s="15"/>
      <c r="AU384" s="12"/>
      <c r="AW384" s="15"/>
      <c r="AX384" s="15"/>
      <c r="AY384" s="12"/>
      <c r="AZ384" s="15"/>
      <c r="BA384" s="15"/>
      <c r="BB384" s="15"/>
      <c r="BC384" s="15"/>
      <c r="BD384" s="12"/>
      <c r="BE384" s="15"/>
      <c r="BF384" s="15"/>
      <c r="BG384" s="12"/>
      <c r="BH384" s="12"/>
      <c r="BI384" s="12"/>
      <c r="BJ384" s="12"/>
      <c r="BK384" s="15"/>
      <c r="BL384" s="15"/>
      <c r="BM384" s="12"/>
      <c r="BN384" s="15"/>
      <c r="BO384" s="15"/>
      <c r="BP384" s="12"/>
      <c r="BQ384" s="12"/>
      <c r="BR384" s="12"/>
      <c r="BS384" s="15"/>
      <c r="BT384" s="15"/>
      <c r="BU384" s="12"/>
      <c r="BV384" s="15"/>
      <c r="BW384" s="15"/>
      <c r="BX384" s="12"/>
      <c r="BY384" s="12"/>
      <c r="BZ384" s="12"/>
      <c r="CA384" s="15"/>
      <c r="CB384" s="15"/>
      <c r="CC384" s="12"/>
      <c r="CD384" s="15"/>
      <c r="CE384" s="15"/>
      <c r="CF384" s="12"/>
      <c r="CG384" s="12"/>
      <c r="CH384" s="12"/>
      <c r="CI384" s="15"/>
      <c r="CJ384" s="15"/>
      <c r="CK384" s="12"/>
      <c r="CL384" s="15"/>
      <c r="CM384" s="15"/>
      <c r="CN384" s="12"/>
      <c r="CO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</row>
    <row r="385" spans="3:106" ht="14.25" hidden="1" customHeight="1" x14ac:dyDescent="0.25">
      <c r="C385" s="8" t="s">
        <v>542</v>
      </c>
      <c r="D385" s="8" t="s">
        <v>74</v>
      </c>
      <c r="E385" s="8" t="s">
        <v>74</v>
      </c>
      <c r="F385" s="8" t="s">
        <v>74</v>
      </c>
      <c r="G385" s="8" t="s">
        <v>74</v>
      </c>
      <c r="H385" s="8" t="s">
        <v>74</v>
      </c>
      <c r="I385" s="8" t="s">
        <v>74</v>
      </c>
      <c r="J385" s="8" t="s">
        <v>74</v>
      </c>
      <c r="K385" s="8" t="s">
        <v>74</v>
      </c>
      <c r="L385" s="8" t="s">
        <v>74</v>
      </c>
      <c r="M385" s="8" t="s">
        <v>74</v>
      </c>
      <c r="AD385" s="288">
        <f>SUM(AD90:AD384)</f>
        <v>5126195.6131073991</v>
      </c>
      <c r="AE385" s="288">
        <f>SUM(AE90:AE384)</f>
        <v>5687693.6290477188</v>
      </c>
      <c r="AF385" s="288">
        <f>SUM(AF90:AF384)</f>
        <v>6505490.8744534766</v>
      </c>
      <c r="AG385" s="289"/>
      <c r="AH385" s="289"/>
      <c r="AI385" s="288" t="e">
        <f>SUM(AI90:AI384)</f>
        <v>#REF!</v>
      </c>
      <c r="AJ385" s="289"/>
      <c r="AK385" s="289"/>
      <c r="AL385" s="289"/>
      <c r="AM385" s="289"/>
      <c r="AN385" s="288" t="e">
        <f>SUM(AN90:AN384)</f>
        <v>#REF!</v>
      </c>
      <c r="AO385" s="288" t="e">
        <f>SUM(AO90:AO384)</f>
        <v>#VALUE!</v>
      </c>
      <c r="AP385" s="289"/>
      <c r="AQ385" s="289"/>
      <c r="AR385" s="288" t="e">
        <f>SUM(AR90:AR384)</f>
        <v>#VALUE!</v>
      </c>
      <c r="AS385" s="289"/>
      <c r="AT385" s="289"/>
      <c r="AU385" s="288" t="e">
        <f>SUM(AU90:AU384)</f>
        <v>#REF!</v>
      </c>
      <c r="AV385" s="288">
        <f>SUM(AV90:AV384)</f>
        <v>7114334.8637699215</v>
      </c>
      <c r="AW385" s="289"/>
      <c r="AX385" s="289"/>
      <c r="AY385" s="288" t="e">
        <f>SUM(AY90:AY384)</f>
        <v>#VALUE!</v>
      </c>
      <c r="AZ385" s="289"/>
      <c r="BA385" s="289"/>
      <c r="BB385" s="289"/>
      <c r="BC385" s="289"/>
      <c r="BD385" s="288" t="e">
        <f>SUM(BD90:BD384)</f>
        <v>#REF!</v>
      </c>
      <c r="BE385" s="289"/>
      <c r="BF385" s="289"/>
      <c r="BG385" s="288" t="e">
        <f>SUM(BG90:BG384)</f>
        <v>#REF!</v>
      </c>
      <c r="BH385" s="288" t="e">
        <f>SUM(BH90:BH384)</f>
        <v>#REF!</v>
      </c>
      <c r="BI385" s="288" t="e">
        <f>SUM(BI90:BI384)</f>
        <v>#REF!</v>
      </c>
      <c r="BJ385" s="288" t="e">
        <f>SUM(BJ90:BJ384)</f>
        <v>#REF!</v>
      </c>
      <c r="BK385" s="289"/>
      <c r="BL385" s="289"/>
      <c r="BM385" s="288" t="e">
        <f>SUM(BM90:BM384)</f>
        <v>#REF!</v>
      </c>
      <c r="BN385" s="289"/>
      <c r="BO385" s="289"/>
      <c r="BP385" s="288" t="e">
        <f>SUM(BP90:BP384)</f>
        <v>#REF!</v>
      </c>
      <c r="BQ385" s="288" t="e">
        <f>SUM(BQ90:BQ384)</f>
        <v>#REF!</v>
      </c>
      <c r="BR385" s="288" t="e">
        <f>SUM(BR90:BR384)</f>
        <v>#REF!</v>
      </c>
      <c r="BS385" s="289"/>
      <c r="BT385" s="289"/>
      <c r="BU385" s="288" t="e">
        <f>SUM(BU90:BU384)</f>
        <v>#REF!</v>
      </c>
      <c r="BV385" s="289"/>
      <c r="BW385" s="289"/>
      <c r="BX385" s="288" t="e">
        <f>SUM(BX90:BX384)</f>
        <v>#REF!</v>
      </c>
      <c r="BY385" s="288" t="e">
        <f>SUM(BY90:BY384)</f>
        <v>#REF!</v>
      </c>
      <c r="BZ385" s="288" t="e">
        <f>SUM(BZ90:BZ384)</f>
        <v>#REF!</v>
      </c>
      <c r="CA385" s="289"/>
      <c r="CB385" s="289"/>
      <c r="CC385" s="288" t="e">
        <f>SUM(CC90:CC384)</f>
        <v>#REF!</v>
      </c>
      <c r="CD385" s="289"/>
      <c r="CE385" s="289"/>
      <c r="CF385" s="288" t="e">
        <f>SUM(CF90:CF384)</f>
        <v>#REF!</v>
      </c>
      <c r="CG385" s="288" t="e">
        <f>SUM(CG90:CG384)</f>
        <v>#REF!</v>
      </c>
      <c r="CH385" s="288" t="e">
        <f>SUM(CH90:CH384)</f>
        <v>#REF!</v>
      </c>
      <c r="CI385" s="289"/>
      <c r="CJ385" s="289"/>
      <c r="CK385" s="288" t="e">
        <f>SUM(CK90:CK384)</f>
        <v>#REF!</v>
      </c>
      <c r="CL385" s="289"/>
      <c r="CM385" s="289"/>
      <c r="CN385" s="288" t="e">
        <f>SUM(CN90:CN384)</f>
        <v>#REF!</v>
      </c>
      <c r="CO385" s="288" t="e">
        <f>SUM(CO90:CO384)</f>
        <v>#REF!</v>
      </c>
      <c r="CP385" s="288" t="e">
        <f>SUM(AD385:CO385)</f>
        <v>#REF!</v>
      </c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</row>
    <row r="386" spans="3:106" ht="14.25" customHeight="1" x14ac:dyDescent="0.25">
      <c r="AD386" s="12"/>
      <c r="AE386" s="12"/>
      <c r="AG386" s="15"/>
      <c r="AH386" s="15"/>
      <c r="AI386" s="12"/>
      <c r="AJ386" s="15"/>
      <c r="AK386" s="15"/>
      <c r="AL386" s="15"/>
      <c r="AM386" s="15"/>
      <c r="AN386" s="12"/>
      <c r="AP386" s="15"/>
      <c r="AQ386" s="15"/>
      <c r="AR386" s="12"/>
      <c r="AS386" s="15"/>
      <c r="AT386" s="15"/>
      <c r="AU386" s="12"/>
      <c r="AW386" s="15"/>
      <c r="AX386" s="15"/>
      <c r="AY386" s="12"/>
      <c r="AZ386" s="15"/>
      <c r="BA386" s="15"/>
      <c r="BB386" s="15"/>
      <c r="BC386" s="15"/>
      <c r="BD386" s="12"/>
      <c r="BE386" s="15"/>
      <c r="BF386" s="15"/>
      <c r="BG386" s="12"/>
      <c r="BH386" s="12"/>
      <c r="BI386" s="12"/>
      <c r="BJ386" s="12"/>
      <c r="BK386" s="15"/>
      <c r="BL386" s="15"/>
      <c r="BM386" s="12"/>
      <c r="BN386" s="15"/>
      <c r="BO386" s="15"/>
      <c r="BP386" s="12"/>
      <c r="BQ386" s="12"/>
      <c r="BR386" s="12"/>
      <c r="BS386" s="15"/>
      <c r="BT386" s="15"/>
      <c r="BU386" s="12"/>
      <c r="BV386" s="15"/>
      <c r="BW386" s="15"/>
      <c r="BX386" s="12"/>
      <c r="BY386" s="12"/>
      <c r="BZ386" s="12"/>
      <c r="CA386" s="15"/>
      <c r="CB386" s="15"/>
      <c r="CC386" s="12"/>
      <c r="CD386" s="15"/>
      <c r="CE386" s="15"/>
      <c r="CF386" s="12"/>
      <c r="CG386" s="12"/>
      <c r="CH386" s="12"/>
      <c r="CI386" s="15"/>
      <c r="CJ386" s="15"/>
      <c r="CK386" s="12"/>
      <c r="CL386" s="15"/>
      <c r="CM386" s="15"/>
      <c r="CN386" s="12"/>
      <c r="CO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</row>
  </sheetData>
  <sheetProtection formatColumns="0" formatRows="0" insertRows="0" deleteColumns="0" deleteRows="0" sort="0" autoFilter="0"/>
  <autoFilter ref="AA91:DB384"/>
  <mergeCells count="69">
    <mergeCell ref="AL85:AM85"/>
    <mergeCell ref="AO85:AQ85"/>
    <mergeCell ref="AR85:AT85"/>
    <mergeCell ref="AV85:AX85"/>
    <mergeCell ref="BZ85:CB85"/>
    <mergeCell ref="BB85:BC85"/>
    <mergeCell ref="BD85:BF85"/>
    <mergeCell ref="BJ85:BL85"/>
    <mergeCell ref="BM85:BO85"/>
    <mergeCell ref="BR85:BT85"/>
    <mergeCell ref="BU85:BW85"/>
    <mergeCell ref="AY85:BA85"/>
    <mergeCell ref="BD84:BF84"/>
    <mergeCell ref="BJ84:BL84"/>
    <mergeCell ref="BM84:BO84"/>
    <mergeCell ref="BR84:BT84"/>
    <mergeCell ref="BU84:BW84"/>
    <mergeCell ref="BZ84:CB84"/>
    <mergeCell ref="CS83:CS86"/>
    <mergeCell ref="CT83:DB86"/>
    <mergeCell ref="AF84:AH84"/>
    <mergeCell ref="AI84:AK84"/>
    <mergeCell ref="AL84:AM84"/>
    <mergeCell ref="AO84:AQ84"/>
    <mergeCell ref="AR84:AT84"/>
    <mergeCell ref="AV84:AX84"/>
    <mergeCell ref="AY84:BA84"/>
    <mergeCell ref="BB84:BC84"/>
    <mergeCell ref="CC83:CE83"/>
    <mergeCell ref="CH83:CJ83"/>
    <mergeCell ref="CK83:CM83"/>
    <mergeCell ref="CP83:CP86"/>
    <mergeCell ref="CQ83:CQ86"/>
    <mergeCell ref="CR83:CR86"/>
    <mergeCell ref="CC84:CE84"/>
    <mergeCell ref="CH84:CJ84"/>
    <mergeCell ref="CK84:CM84"/>
    <mergeCell ref="CC85:CE85"/>
    <mergeCell ref="CH85:CJ85"/>
    <mergeCell ref="CK85:CM85"/>
    <mergeCell ref="BZ83:CB83"/>
    <mergeCell ref="AL83:AM83"/>
    <mergeCell ref="AO83:AQ83"/>
    <mergeCell ref="AR83:AT83"/>
    <mergeCell ref="AV83:AX83"/>
    <mergeCell ref="AY83:BA83"/>
    <mergeCell ref="BB83:BC83"/>
    <mergeCell ref="BD83:BF83"/>
    <mergeCell ref="BJ83:BL83"/>
    <mergeCell ref="BM83:BO83"/>
    <mergeCell ref="BR83:BT83"/>
    <mergeCell ref="BU83:BW83"/>
    <mergeCell ref="AA80:AB80"/>
    <mergeCell ref="AC80:AK80"/>
    <mergeCell ref="AA81:AB81"/>
    <mergeCell ref="AC81:AK81"/>
    <mergeCell ref="AA83:AA86"/>
    <mergeCell ref="AB83:AB86"/>
    <mergeCell ref="AC83:AC86"/>
    <mergeCell ref="AF83:AH83"/>
    <mergeCell ref="AI83:AK83"/>
    <mergeCell ref="AF85:AH85"/>
    <mergeCell ref="AI85:AK85"/>
    <mergeCell ref="AF33:AT33"/>
    <mergeCell ref="AB72:AD72"/>
    <mergeCell ref="AA78:AB78"/>
    <mergeCell ref="AC78:AK78"/>
    <mergeCell ref="AA79:AB79"/>
    <mergeCell ref="AC79:AK79"/>
  </mergeCells>
  <dataValidations disablePrompts="1" count="5">
    <dataValidation type="list" allowBlank="1" showInputMessage="1" showErrorMessage="1" sqref="AN81">
      <formula1>CALC_COST_FACT</formula1>
    </dataValidation>
    <dataValidation type="list" allowBlank="1" showInputMessage="1" showErrorMessage="1" sqref="BD81">
      <formula1>CALC_OR</formula1>
    </dataValidation>
    <dataValidation type="list" allowBlank="1" showInputMessage="1" showErrorMessage="1" sqref="AB4">
      <formula1>razm_predz</formula1>
    </dataValidation>
    <dataValidation type="list" allowBlank="1" showInputMessage="1" showErrorMessage="1" sqref="BD370">
      <formula1>List_calc_diff_tariff</formula1>
    </dataValidation>
    <dataValidation type="list" allowBlank="1" showInputMessage="1" showErrorMessage="1" sqref="BD80">
      <formula1>LIST_INDEXNUMBERSTAFF</formula1>
    </dataValidation>
  </dataValidation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30</vt:i4>
      </vt:variant>
    </vt:vector>
  </HeadingPairs>
  <TitlesOfParts>
    <vt:vector size="35" baseType="lpstr">
      <vt:lpstr>ВС 2021-2025</vt:lpstr>
      <vt:lpstr>ВО-2021-2025</vt:lpstr>
      <vt:lpstr>Лист1</vt:lpstr>
      <vt:lpstr>Лист2</vt:lpstr>
      <vt:lpstr>Лист3</vt:lpstr>
      <vt:lpstr>'ВО-2021-2025'!_ФильтрБазыДанных</vt:lpstr>
      <vt:lpstr>'ВС 2021-2025'!_ФильтрБазыДанных</vt:lpstr>
      <vt:lpstr>'ВО-2021-2025'!END_COLUMN_ITOG</vt:lpstr>
      <vt:lpstr>END_COLUMN_ITOG</vt:lpstr>
      <vt:lpstr>'ВО-2021-2025'!END_ROW_ITOG</vt:lpstr>
      <vt:lpstr>END_ROW_ITOG</vt:lpstr>
      <vt:lpstr>'ВО-2021-2025'!ITOG_BASE</vt:lpstr>
      <vt:lpstr>ITOG_BASE</vt:lpstr>
      <vt:lpstr>'ВО-2021-2025'!ITOG_PRELOAD</vt:lpstr>
      <vt:lpstr>ITOG_PRELOAD</vt:lpstr>
      <vt:lpstr>'ВО-2021-2025'!ITOG_PRELOAD_spec1</vt:lpstr>
      <vt:lpstr>ITOG_PRELOAD_spec1</vt:lpstr>
      <vt:lpstr>'ВО-2021-2025'!ITOG_PRELOAD_WO_ZERO_1</vt:lpstr>
      <vt:lpstr>ITOG_PRELOAD_WO_ZERO_1</vt:lpstr>
      <vt:lpstr>'ВО-2021-2025'!ITOG_PRELOAD_WO_ZERO_2</vt:lpstr>
      <vt:lpstr>ITOG_PRELOAD_WO_ZERO_2</vt:lpstr>
      <vt:lpstr>'ВО-2021-2025'!ITOG_START_CELL</vt:lpstr>
      <vt:lpstr>ITOG_START_CELL</vt:lpstr>
      <vt:lpstr>'ВО-2021-2025'!ITOG_vis_flags</vt:lpstr>
      <vt:lpstr>ITOG_vis_flags</vt:lpstr>
      <vt:lpstr>'ВО-2021-2025'!ITOG_vis_flags_2</vt:lpstr>
      <vt:lpstr>ITOG_vis_flags_2</vt:lpstr>
      <vt:lpstr>'ВО-2021-2025'!ITOG_vis_flags_3</vt:lpstr>
      <vt:lpstr>ITOG_vis_flags_3</vt:lpstr>
      <vt:lpstr>'ВО-2021-2025'!ITOG_vis_reg_flags</vt:lpstr>
      <vt:lpstr>ITOG_vis_reg_flags</vt:lpstr>
      <vt:lpstr>'ВО-2021-2025'!ITOG_vis_reg_flags_3</vt:lpstr>
      <vt:lpstr>ITOG_vis_reg_flags_3</vt:lpstr>
      <vt:lpstr>'ВО-2021-2025'!ITOG_vis_reg_flags_4</vt:lpstr>
      <vt:lpstr>ITOG_vis_reg_flags_4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2024-05-28T09:27:02Z</dcterms:modified>
</cp:coreProperties>
</file>