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Смета ВС_2018 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Excel_BuiltIn_Print_Area_28" localSheetId="0">[3]распределение!#REF!</definedName>
    <definedName name="Excel_BuiltIn_Print_Area_28">[3]распределение!#REF!</definedName>
    <definedName name="Excel6" localSheetId="0">[4]распределение!#REF!</definedName>
    <definedName name="Excel6">[4]распределение!#REF!</definedName>
    <definedName name="ggg" localSheetId="0">[5]распределение!#REF!</definedName>
    <definedName name="ggg">[5]распределение!#REF!</definedName>
    <definedName name="gggg" localSheetId="0">#REF!</definedName>
    <definedName name="gggg">#REF!</definedName>
    <definedName name="ааа" localSheetId="0">#REF!</definedName>
    <definedName name="ааа">#REF!</definedName>
    <definedName name="ааааааааа" localSheetId="0">#REF!</definedName>
    <definedName name="ааааааааа">#REF!</definedName>
    <definedName name="ааааап" localSheetId="0">[5]распределение!#REF!</definedName>
    <definedName name="ааааап">[5]распределение!#REF!</definedName>
    <definedName name="_xlnm.Print_Titles" localSheetId="0">'Смета ВС_2018 '!$5:$8</definedName>
    <definedName name="рорпо" localSheetId="0">#REF!</definedName>
    <definedName name="рорпо">#REF!</definedName>
    <definedName name="рррр" localSheetId="0">#REF!</definedName>
    <definedName name="рррр">#REF!</definedName>
    <definedName name="уе" localSheetId="0">#REF!</definedName>
    <definedName name="уе">#REF!</definedName>
    <definedName name="характер" localSheetId="0">#REF!</definedName>
    <definedName name="характер">#REF!</definedName>
    <definedName name="ы" localSheetId="0">#REF!</definedName>
    <definedName name="ы">#REF!</definedName>
    <definedName name="ыы" localSheetId="0">#REF!</definedName>
    <definedName name="ыы">#REF!</definedName>
    <definedName name="ыыыыыыыыыыыыыыыы" localSheetId="0">[6]распределение!#REF!</definedName>
    <definedName name="ыыыыыыыыыыыыыыыы">[6]распределение!#REF!</definedName>
  </definedNames>
  <calcPr calcId="145621"/>
</workbook>
</file>

<file path=xl/calcChain.xml><?xml version="1.0" encoding="utf-8"?>
<calcChain xmlns="http://schemas.openxmlformats.org/spreadsheetml/2006/main">
  <c r="O11" i="4" l="1"/>
  <c r="E12" i="4"/>
  <c r="E11" i="4" s="1"/>
  <c r="F12" i="4"/>
  <c r="F11" i="4" s="1"/>
  <c r="G12" i="4"/>
  <c r="G11" i="4" s="1"/>
  <c r="H12" i="4"/>
  <c r="H11" i="4" s="1"/>
  <c r="I12" i="4"/>
  <c r="I11" i="4" s="1"/>
  <c r="J12" i="4"/>
  <c r="J11" i="4" s="1"/>
  <c r="K12" i="4"/>
  <c r="K11" i="4" s="1"/>
  <c r="L12" i="4"/>
  <c r="L11" i="4" s="1"/>
  <c r="M12" i="4"/>
  <c r="M11" i="4" s="1"/>
  <c r="P12" i="4"/>
  <c r="P11" i="4" s="1"/>
  <c r="R12" i="4"/>
  <c r="R11" i="4" s="1"/>
  <c r="S12" i="4"/>
  <c r="T12" i="4"/>
  <c r="T11" i="4" s="1"/>
  <c r="E13" i="4"/>
  <c r="F13" i="4"/>
  <c r="G13" i="4"/>
  <c r="H13" i="4"/>
  <c r="I13" i="4"/>
  <c r="J13" i="4"/>
  <c r="K13" i="4"/>
  <c r="L13" i="4"/>
  <c r="M13" i="4"/>
  <c r="N13" i="4"/>
  <c r="P13" i="4"/>
  <c r="Q13" i="4"/>
  <c r="R13" i="4"/>
  <c r="S13" i="4"/>
  <c r="S11" i="4" s="1"/>
  <c r="T13" i="4"/>
  <c r="D14" i="4"/>
  <c r="D11" i="4" s="1"/>
  <c r="E14" i="4"/>
  <c r="F14" i="4"/>
  <c r="G14" i="4"/>
  <c r="H14" i="4"/>
  <c r="I14" i="4"/>
  <c r="J14" i="4"/>
  <c r="K14" i="4"/>
  <c r="L14" i="4"/>
  <c r="M14" i="4"/>
  <c r="N14" i="4"/>
  <c r="P14" i="4"/>
  <c r="Q14" i="4"/>
  <c r="R14" i="4"/>
  <c r="S14" i="4"/>
  <c r="T14" i="4"/>
  <c r="D16" i="4"/>
  <c r="D15" i="4" s="1"/>
  <c r="E16" i="4"/>
  <c r="E15" i="4" s="1"/>
  <c r="F16" i="4"/>
  <c r="F15" i="4" s="1"/>
  <c r="G16" i="4"/>
  <c r="G15" i="4" s="1"/>
  <c r="H16" i="4"/>
  <c r="H15" i="4" s="1"/>
  <c r="I16" i="4"/>
  <c r="I15" i="4" s="1"/>
  <c r="J16" i="4"/>
  <c r="J15" i="4" s="1"/>
  <c r="N15" i="4" s="1"/>
  <c r="K16" i="4"/>
  <c r="K15" i="4" s="1"/>
  <c r="L16" i="4"/>
  <c r="L15" i="4" s="1"/>
  <c r="M16" i="4"/>
  <c r="M15" i="4" s="1"/>
  <c r="N16" i="4"/>
  <c r="P16" i="4"/>
  <c r="Q16" i="4"/>
  <c r="R16" i="4"/>
  <c r="R15" i="4" s="1"/>
  <c r="S16" i="4"/>
  <c r="S15" i="4" s="1"/>
  <c r="T16" i="4"/>
  <c r="T15" i="4" s="1"/>
  <c r="E17" i="4"/>
  <c r="F17" i="4"/>
  <c r="G17" i="4"/>
  <c r="H17" i="4"/>
  <c r="I17" i="4"/>
  <c r="J17" i="4"/>
  <c r="K17" i="4"/>
  <c r="L17" i="4"/>
  <c r="M17" i="4"/>
  <c r="N17" i="4" s="1"/>
  <c r="P17" i="4"/>
  <c r="R17" i="4"/>
  <c r="S17" i="4"/>
  <c r="T17" i="4"/>
  <c r="E18" i="4"/>
  <c r="G18" i="4"/>
  <c r="H18" i="4"/>
  <c r="I18" i="4"/>
  <c r="J18" i="4"/>
  <c r="K18" i="4"/>
  <c r="L18" i="4"/>
  <c r="N18" i="4"/>
  <c r="E19" i="4"/>
  <c r="F19" i="4"/>
  <c r="G19" i="4"/>
  <c r="H19" i="4"/>
  <c r="I19" i="4"/>
  <c r="J19" i="4"/>
  <c r="K19" i="4"/>
  <c r="L19" i="4"/>
  <c r="M19" i="4"/>
  <c r="N19" i="4"/>
  <c r="P19" i="4"/>
  <c r="Q19" i="4"/>
  <c r="R19" i="4"/>
  <c r="S19" i="4"/>
  <c r="T19" i="4"/>
  <c r="D20" i="4"/>
  <c r="E20" i="4"/>
  <c r="F20" i="4"/>
  <c r="G20" i="4"/>
  <c r="H20" i="4"/>
  <c r="I20" i="4"/>
  <c r="J20" i="4"/>
  <c r="K20" i="4"/>
  <c r="L20" i="4"/>
  <c r="M20" i="4"/>
  <c r="N20" i="4"/>
  <c r="P20" i="4"/>
  <c r="Q20" i="4"/>
  <c r="R20" i="4"/>
  <c r="S20" i="4"/>
  <c r="T20" i="4"/>
  <c r="D21" i="4"/>
  <c r="E21" i="4"/>
  <c r="F21" i="4"/>
  <c r="G21" i="4"/>
  <c r="H21" i="4"/>
  <c r="I21" i="4"/>
  <c r="K21" i="4"/>
  <c r="L21" i="4"/>
  <c r="M21" i="4"/>
  <c r="N21" i="4" s="1"/>
  <c r="R21" i="4"/>
  <c r="S21" i="4"/>
  <c r="T21" i="4"/>
  <c r="D23" i="4"/>
  <c r="D22" i="4" s="1"/>
  <c r="E23" i="4"/>
  <c r="F23" i="4"/>
  <c r="F22" i="4" s="1"/>
  <c r="G23" i="4"/>
  <c r="H23" i="4"/>
  <c r="H22" i="4" s="1"/>
  <c r="I23" i="4"/>
  <c r="J23" i="4"/>
  <c r="J22" i="4" s="1"/>
  <c r="K23" i="4"/>
  <c r="L23" i="4"/>
  <c r="L22" i="4" s="1"/>
  <c r="M23" i="4"/>
  <c r="N23" i="4"/>
  <c r="O23" i="4"/>
  <c r="P23" i="4"/>
  <c r="Q23" i="4"/>
  <c r="R23" i="4"/>
  <c r="R22" i="4" s="1"/>
  <c r="S23" i="4"/>
  <c r="T23" i="4"/>
  <c r="T22" i="4" s="1"/>
  <c r="D24" i="4"/>
  <c r="E24" i="4"/>
  <c r="E22" i="4" s="1"/>
  <c r="F24" i="4"/>
  <c r="G24" i="4"/>
  <c r="G22" i="4" s="1"/>
  <c r="H24" i="4"/>
  <c r="I24" i="4"/>
  <c r="I22" i="4" s="1"/>
  <c r="J24" i="4"/>
  <c r="K24" i="4"/>
  <c r="K22" i="4" s="1"/>
  <c r="L24" i="4"/>
  <c r="M24" i="4"/>
  <c r="M22" i="4" s="1"/>
  <c r="O24" i="4"/>
  <c r="O22" i="4" s="1"/>
  <c r="Q24" i="4"/>
  <c r="Q22" i="4" s="1"/>
  <c r="R24" i="4"/>
  <c r="S24" i="4"/>
  <c r="S22" i="4" s="1"/>
  <c r="T24" i="4"/>
  <c r="D25" i="4"/>
  <c r="E25" i="4"/>
  <c r="F25" i="4"/>
  <c r="G25" i="4"/>
  <c r="H25" i="4"/>
  <c r="I25" i="4"/>
  <c r="J25" i="4"/>
  <c r="K25" i="4"/>
  <c r="L25" i="4"/>
  <c r="M25" i="4"/>
  <c r="N25" i="4"/>
  <c r="P25" i="4"/>
  <c r="Q25" i="4"/>
  <c r="R25" i="4"/>
  <c r="S25" i="4"/>
  <c r="T25" i="4"/>
  <c r="H26" i="4"/>
  <c r="I26" i="4"/>
  <c r="J26" i="4"/>
  <c r="K26" i="4"/>
  <c r="L26" i="4"/>
  <c r="M26" i="4"/>
  <c r="N26" i="4"/>
  <c r="P26" i="4"/>
  <c r="Q26" i="4"/>
  <c r="R26" i="4"/>
  <c r="S26" i="4"/>
  <c r="T26" i="4"/>
  <c r="F27" i="4"/>
  <c r="M27" i="4"/>
  <c r="S27" i="4"/>
  <c r="D28" i="4"/>
  <c r="D27" i="4" s="1"/>
  <c r="E28" i="4"/>
  <c r="E27" i="4" s="1"/>
  <c r="P27" i="4" s="1"/>
  <c r="G28" i="4"/>
  <c r="G27" i="4" s="1"/>
  <c r="H28" i="4"/>
  <c r="I28" i="4"/>
  <c r="I27" i="4" s="1"/>
  <c r="Q27" i="4" s="1"/>
  <c r="J28" i="4"/>
  <c r="K28" i="4"/>
  <c r="K27" i="4" s="1"/>
  <c r="L28" i="4"/>
  <c r="M28" i="4"/>
  <c r="N28" i="4" s="1"/>
  <c r="R28" i="4"/>
  <c r="R27" i="4" s="1"/>
  <c r="S28" i="4"/>
  <c r="T28" i="4"/>
  <c r="T27" i="4" s="1"/>
  <c r="E29" i="4"/>
  <c r="G29" i="4"/>
  <c r="H29" i="4"/>
  <c r="I29" i="4"/>
  <c r="J29" i="4"/>
  <c r="K29" i="4"/>
  <c r="L29" i="4"/>
  <c r="E30" i="4"/>
  <c r="F30" i="4"/>
  <c r="G30" i="4"/>
  <c r="H30" i="4"/>
  <c r="I30" i="4"/>
  <c r="J30" i="4"/>
  <c r="K30" i="4"/>
  <c r="L30" i="4"/>
  <c r="M30" i="4"/>
  <c r="N30" i="4" s="1"/>
  <c r="P30" i="4"/>
  <c r="R30" i="4"/>
  <c r="S30" i="4"/>
  <c r="T30" i="4"/>
  <c r="D31" i="4"/>
  <c r="E31" i="4"/>
  <c r="G31" i="4"/>
  <c r="H31" i="4"/>
  <c r="H27" i="4" s="1"/>
  <c r="I31" i="4"/>
  <c r="J31" i="4"/>
  <c r="J27" i="4" s="1"/>
  <c r="N27" i="4" s="1"/>
  <c r="K31" i="4"/>
  <c r="L31" i="4"/>
  <c r="L27" i="4" s="1"/>
  <c r="M31" i="4"/>
  <c r="R31" i="4"/>
  <c r="S31" i="4"/>
  <c r="T31" i="4"/>
  <c r="R32" i="4"/>
  <c r="D33" i="4"/>
  <c r="E33" i="4"/>
  <c r="F33" i="4"/>
  <c r="G33" i="4"/>
  <c r="H33" i="4"/>
  <c r="I33" i="4"/>
  <c r="J33" i="4"/>
  <c r="K33" i="4"/>
  <c r="L33" i="4"/>
  <c r="M33" i="4"/>
  <c r="N33" i="4"/>
  <c r="P33" i="4"/>
  <c r="Q33" i="4"/>
  <c r="R33" i="4"/>
  <c r="S33" i="4"/>
  <c r="T33" i="4"/>
  <c r="D34" i="4"/>
  <c r="E34" i="4"/>
  <c r="G34" i="4"/>
  <c r="H34" i="4"/>
  <c r="I34" i="4"/>
  <c r="J34" i="4"/>
  <c r="K34" i="4"/>
  <c r="L34" i="4"/>
  <c r="M34" i="4"/>
  <c r="P34" i="4"/>
  <c r="R34" i="4"/>
  <c r="S34" i="4"/>
  <c r="T34" i="4"/>
  <c r="D36" i="4"/>
  <c r="D35" i="4" s="1"/>
  <c r="E36" i="4"/>
  <c r="F36" i="4"/>
  <c r="F35" i="4" s="1"/>
  <c r="G36" i="4"/>
  <c r="H36" i="4"/>
  <c r="H35" i="4" s="1"/>
  <c r="I36" i="4"/>
  <c r="J36" i="4"/>
  <c r="J35" i="4" s="1"/>
  <c r="K36" i="4"/>
  <c r="L36" i="4"/>
  <c r="L35" i="4" s="1"/>
  <c r="M36" i="4"/>
  <c r="N36" i="4"/>
  <c r="O36" i="4"/>
  <c r="P36" i="4"/>
  <c r="Q36" i="4"/>
  <c r="R36" i="4"/>
  <c r="R35" i="4" s="1"/>
  <c r="S36" i="4"/>
  <c r="T36" i="4"/>
  <c r="T35" i="4" s="1"/>
  <c r="D37" i="4"/>
  <c r="E37" i="4"/>
  <c r="E35" i="4" s="1"/>
  <c r="E32" i="4" s="1"/>
  <c r="F37" i="4"/>
  <c r="G37" i="4"/>
  <c r="G35" i="4" s="1"/>
  <c r="H37" i="4"/>
  <c r="I37" i="4"/>
  <c r="I35" i="4" s="1"/>
  <c r="J37" i="4"/>
  <c r="K37" i="4"/>
  <c r="K35" i="4" s="1"/>
  <c r="L37" i="4"/>
  <c r="M37" i="4"/>
  <c r="O37" i="4"/>
  <c r="O35" i="4" s="1"/>
  <c r="O32" i="4" s="1"/>
  <c r="Q37" i="4"/>
  <c r="Q35" i="4" s="1"/>
  <c r="R37" i="4"/>
  <c r="S37" i="4"/>
  <c r="S35" i="4" s="1"/>
  <c r="S32" i="4" s="1"/>
  <c r="T37" i="4"/>
  <c r="F39" i="4"/>
  <c r="F38" i="4" s="1"/>
  <c r="G39" i="4"/>
  <c r="O39" i="4"/>
  <c r="H40" i="4"/>
  <c r="H39" i="4" s="1"/>
  <c r="I40" i="4"/>
  <c r="J40" i="4"/>
  <c r="K40" i="4"/>
  <c r="L40" i="4"/>
  <c r="L39" i="4" s="1"/>
  <c r="M40" i="4"/>
  <c r="N40" i="4" s="1"/>
  <c r="P40" i="4"/>
  <c r="R40" i="4"/>
  <c r="S40" i="4"/>
  <c r="S39" i="4" s="1"/>
  <c r="T40" i="4"/>
  <c r="H41" i="4"/>
  <c r="I41" i="4"/>
  <c r="J41" i="4"/>
  <c r="J39" i="4" s="1"/>
  <c r="K41" i="4"/>
  <c r="L41" i="4"/>
  <c r="M41" i="4"/>
  <c r="N41" i="4"/>
  <c r="P41" i="4"/>
  <c r="R41" i="4"/>
  <c r="S41" i="4"/>
  <c r="T41" i="4"/>
  <c r="T39" i="4" s="1"/>
  <c r="H42" i="4"/>
  <c r="I42" i="4"/>
  <c r="J42" i="4"/>
  <c r="K42" i="4"/>
  <c r="L42" i="4"/>
  <c r="M42" i="4"/>
  <c r="N42" i="4" s="1"/>
  <c r="P42" i="4"/>
  <c r="S42" i="4"/>
  <c r="T42" i="4"/>
  <c r="H43" i="4"/>
  <c r="I43" i="4"/>
  <c r="J43" i="4"/>
  <c r="K43" i="4"/>
  <c r="L43" i="4"/>
  <c r="M43" i="4"/>
  <c r="N43" i="4"/>
  <c r="P43" i="4"/>
  <c r="R43" i="4"/>
  <c r="S43" i="4"/>
  <c r="T43" i="4"/>
  <c r="E44" i="4"/>
  <c r="H44" i="4"/>
  <c r="I44" i="4"/>
  <c r="J44" i="4"/>
  <c r="K44" i="4"/>
  <c r="L44" i="4"/>
  <c r="M44" i="4"/>
  <c r="N44" i="4"/>
  <c r="P44" i="4"/>
  <c r="S44" i="4"/>
  <c r="T44" i="4"/>
  <c r="H45" i="4"/>
  <c r="I45" i="4"/>
  <c r="J45" i="4"/>
  <c r="K45" i="4"/>
  <c r="L45" i="4"/>
  <c r="M45" i="4"/>
  <c r="N45" i="4"/>
  <c r="P45" i="4"/>
  <c r="R45" i="4"/>
  <c r="S45" i="4"/>
  <c r="T45" i="4"/>
  <c r="D46" i="4"/>
  <c r="D39" i="4" s="1"/>
  <c r="D38" i="4" s="1"/>
  <c r="E46" i="4"/>
  <c r="H46" i="4"/>
  <c r="I46" i="4"/>
  <c r="J46" i="4"/>
  <c r="M46" i="4"/>
  <c r="N46" i="4" s="1"/>
  <c r="P46" i="4"/>
  <c r="R46" i="4"/>
  <c r="S46" i="4"/>
  <c r="T46" i="4"/>
  <c r="M47" i="4"/>
  <c r="N47" i="4" s="1"/>
  <c r="R47" i="4"/>
  <c r="S47" i="4"/>
  <c r="T47" i="4"/>
  <c r="D48" i="4"/>
  <c r="E48" i="4"/>
  <c r="F48" i="4"/>
  <c r="G48" i="4"/>
  <c r="I48" i="4"/>
  <c r="K48" i="4"/>
  <c r="M48" i="4"/>
  <c r="P48" i="4" s="1"/>
  <c r="O48" i="4"/>
  <c r="Q48" i="4"/>
  <c r="H49" i="4"/>
  <c r="H48" i="4" s="1"/>
  <c r="I49" i="4"/>
  <c r="J49" i="4"/>
  <c r="J48" i="4" s="1"/>
  <c r="N48" i="4" s="1"/>
  <c r="K49" i="4"/>
  <c r="L49" i="4"/>
  <c r="L48" i="4" s="1"/>
  <c r="M49" i="4"/>
  <c r="N49" i="4"/>
  <c r="P49" i="4"/>
  <c r="Q49" i="4"/>
  <c r="R49" i="4"/>
  <c r="R48" i="4" s="1"/>
  <c r="S49" i="4"/>
  <c r="S48" i="4" s="1"/>
  <c r="T49" i="4"/>
  <c r="T48" i="4" s="1"/>
  <c r="H50" i="4"/>
  <c r="I50" i="4"/>
  <c r="J50" i="4"/>
  <c r="K50" i="4"/>
  <c r="L50" i="4"/>
  <c r="M50" i="4"/>
  <c r="N50" i="4"/>
  <c r="P50" i="4"/>
  <c r="Q50" i="4"/>
  <c r="R50" i="4"/>
  <c r="S50" i="4"/>
  <c r="T50" i="4"/>
  <c r="H51" i="4"/>
  <c r="I51" i="4"/>
  <c r="J51" i="4"/>
  <c r="K51" i="4"/>
  <c r="L51" i="4"/>
  <c r="M51" i="4"/>
  <c r="N51" i="4"/>
  <c r="Q51" i="4"/>
  <c r="R51" i="4"/>
  <c r="S51" i="4"/>
  <c r="T51" i="4"/>
  <c r="H52" i="4"/>
  <c r="I52" i="4"/>
  <c r="J52" i="4"/>
  <c r="K52" i="4"/>
  <c r="L52" i="4"/>
  <c r="M52" i="4"/>
  <c r="N52" i="4" s="1"/>
  <c r="P52" i="4"/>
  <c r="R52" i="4"/>
  <c r="S52" i="4"/>
  <c r="T52" i="4"/>
  <c r="H53" i="4"/>
  <c r="I53" i="4"/>
  <c r="J53" i="4"/>
  <c r="K53" i="4"/>
  <c r="L53" i="4"/>
  <c r="M53" i="4"/>
  <c r="N53" i="4" s="1"/>
  <c r="P53" i="4"/>
  <c r="R53" i="4"/>
  <c r="S53" i="4"/>
  <c r="T53" i="4"/>
  <c r="H54" i="4"/>
  <c r="I54" i="4"/>
  <c r="J54" i="4"/>
  <c r="K54" i="4"/>
  <c r="L54" i="4"/>
  <c r="M54" i="4"/>
  <c r="N54" i="4" s="1"/>
  <c r="P54" i="4"/>
  <c r="R54" i="4"/>
  <c r="S54" i="4"/>
  <c r="T54" i="4"/>
  <c r="D55" i="4"/>
  <c r="E55" i="4"/>
  <c r="F55" i="4"/>
  <c r="G55" i="4"/>
  <c r="O55" i="4"/>
  <c r="H56" i="4"/>
  <c r="H55" i="4" s="1"/>
  <c r="I56" i="4"/>
  <c r="J56" i="4"/>
  <c r="J55" i="4" s="1"/>
  <c r="K56" i="4"/>
  <c r="L56" i="4"/>
  <c r="L55" i="4" s="1"/>
  <c r="Q56" i="4"/>
  <c r="H57" i="4"/>
  <c r="I57" i="4"/>
  <c r="I55" i="4" s="1"/>
  <c r="J57" i="4"/>
  <c r="K57" i="4"/>
  <c r="K55" i="4" s="1"/>
  <c r="L57" i="4"/>
  <c r="M57" i="4"/>
  <c r="N57" i="4" s="1"/>
  <c r="Q57" i="4"/>
  <c r="R57" i="4"/>
  <c r="R55" i="4" s="1"/>
  <c r="S57" i="4"/>
  <c r="S55" i="4" s="1"/>
  <c r="T57" i="4"/>
  <c r="T55" i="4" s="1"/>
  <c r="M58" i="4"/>
  <c r="N58" i="4" s="1"/>
  <c r="R58" i="4"/>
  <c r="S58" i="4"/>
  <c r="T58" i="4"/>
  <c r="M59" i="4"/>
  <c r="N59" i="4"/>
  <c r="R59" i="4"/>
  <c r="S59" i="4"/>
  <c r="T59" i="4"/>
  <c r="M60" i="4"/>
  <c r="N60" i="4" s="1"/>
  <c r="R60" i="4"/>
  <c r="S60" i="4"/>
  <c r="T60" i="4"/>
  <c r="H62" i="4"/>
  <c r="I62" i="4"/>
  <c r="J62" i="4"/>
  <c r="K62" i="4"/>
  <c r="L62" i="4"/>
  <c r="M62" i="4"/>
  <c r="N62" i="4" s="1"/>
  <c r="Q62" i="4"/>
  <c r="R62" i="4"/>
  <c r="S62" i="4"/>
  <c r="T62" i="4"/>
  <c r="H63" i="4"/>
  <c r="I63" i="4"/>
  <c r="J63" i="4"/>
  <c r="K63" i="4"/>
  <c r="L63" i="4"/>
  <c r="D64" i="4"/>
  <c r="M64" i="4"/>
  <c r="E65" i="4"/>
  <c r="E64" i="4" s="1"/>
  <c r="P64" i="4" s="1"/>
  <c r="F65" i="4"/>
  <c r="F64" i="4" s="1"/>
  <c r="G65" i="4"/>
  <c r="G64" i="4" s="1"/>
  <c r="I65" i="4"/>
  <c r="I64" i="4" s="1"/>
  <c r="Q64" i="4" s="1"/>
  <c r="J65" i="4"/>
  <c r="J64" i="4" s="1"/>
  <c r="N64" i="4" s="1"/>
  <c r="K65" i="4"/>
  <c r="K64" i="4" s="1"/>
  <c r="L64" i="4" s="1"/>
  <c r="M65" i="4"/>
  <c r="N65" i="4" s="1"/>
  <c r="P65" i="4"/>
  <c r="R65" i="4"/>
  <c r="R64" i="4" s="1"/>
  <c r="S65" i="4"/>
  <c r="S64" i="4" s="1"/>
  <c r="T65" i="4"/>
  <c r="T64" i="4" s="1"/>
  <c r="D66" i="4"/>
  <c r="M66" i="4"/>
  <c r="O66" i="4"/>
  <c r="E67" i="4"/>
  <c r="E66" i="4" s="1"/>
  <c r="P66" i="4" s="1"/>
  <c r="F67" i="4"/>
  <c r="F66" i="4" s="1"/>
  <c r="G67" i="4"/>
  <c r="G66" i="4" s="1"/>
  <c r="H67" i="4"/>
  <c r="H66" i="4" s="1"/>
  <c r="I67" i="4"/>
  <c r="I66" i="4" s="1"/>
  <c r="Q66" i="4" s="1"/>
  <c r="J67" i="4"/>
  <c r="J66" i="4" s="1"/>
  <c r="N66" i="4" s="1"/>
  <c r="K67" i="4"/>
  <c r="K66" i="4" s="1"/>
  <c r="L67" i="4"/>
  <c r="L66" i="4" s="1"/>
  <c r="M67" i="4"/>
  <c r="N67" i="4" s="1"/>
  <c r="P67" i="4"/>
  <c r="Q67" i="4"/>
  <c r="R67" i="4"/>
  <c r="R66" i="4" s="1"/>
  <c r="S67" i="4"/>
  <c r="S66" i="4" s="1"/>
  <c r="T67" i="4"/>
  <c r="T66" i="4" s="1"/>
  <c r="F68" i="4"/>
  <c r="G68" i="4"/>
  <c r="H68" i="4"/>
  <c r="I68" i="4"/>
  <c r="J68" i="4"/>
  <c r="K68" i="4"/>
  <c r="L68" i="4"/>
  <c r="N68" i="4"/>
  <c r="Q68" i="4"/>
  <c r="E69" i="4"/>
  <c r="E68" i="4" s="1"/>
  <c r="P68" i="4" s="1"/>
  <c r="N69" i="4"/>
  <c r="P69" i="4"/>
  <c r="Q69" i="4"/>
  <c r="D70" i="4"/>
  <c r="E70" i="4"/>
  <c r="N70" i="4"/>
  <c r="P70" i="4"/>
  <c r="Q70" i="4"/>
  <c r="D71" i="4"/>
  <c r="E71" i="4"/>
  <c r="N71" i="4"/>
  <c r="P71" i="4"/>
  <c r="Q71" i="4"/>
  <c r="D72" i="4"/>
  <c r="E72" i="4"/>
  <c r="N72" i="4"/>
  <c r="P72" i="4"/>
  <c r="Q72" i="4"/>
  <c r="D73" i="4"/>
  <c r="H73" i="4"/>
  <c r="I73" i="4"/>
  <c r="J73" i="4"/>
  <c r="K73" i="4"/>
  <c r="L73" i="4"/>
  <c r="E74" i="4"/>
  <c r="E73" i="4" s="1"/>
  <c r="F74" i="4"/>
  <c r="F73" i="4" s="1"/>
  <c r="G74" i="4"/>
  <c r="G73" i="4" s="1"/>
  <c r="H74" i="4"/>
  <c r="I74" i="4"/>
  <c r="J74" i="4"/>
  <c r="K74" i="4"/>
  <c r="L74" i="4"/>
  <c r="M74" i="4"/>
  <c r="M73" i="4" s="1"/>
  <c r="P74" i="4"/>
  <c r="Q74" i="4"/>
  <c r="R74" i="4"/>
  <c r="R73" i="4" s="1"/>
  <c r="S74" i="4"/>
  <c r="S73" i="4" s="1"/>
  <c r="T74" i="4"/>
  <c r="T73" i="4" s="1"/>
  <c r="E75" i="4"/>
  <c r="G75" i="4"/>
  <c r="H75" i="4"/>
  <c r="I75" i="4"/>
  <c r="J75" i="4"/>
  <c r="K75" i="4"/>
  <c r="L75" i="4"/>
  <c r="N75" i="4"/>
  <c r="E76" i="4"/>
  <c r="F76" i="4"/>
  <c r="G76" i="4"/>
  <c r="H76" i="4"/>
  <c r="I76" i="4"/>
  <c r="J76" i="4"/>
  <c r="K76" i="4"/>
  <c r="L76" i="4"/>
  <c r="M76" i="4"/>
  <c r="N76" i="4"/>
  <c r="P76" i="4"/>
  <c r="Q76" i="4"/>
  <c r="R76" i="4"/>
  <c r="S76" i="4"/>
  <c r="T76" i="4"/>
  <c r="E77" i="4"/>
  <c r="F77" i="4"/>
  <c r="G77" i="4"/>
  <c r="H77" i="4"/>
  <c r="I77" i="4"/>
  <c r="J77" i="4"/>
  <c r="K77" i="4"/>
  <c r="L77" i="4"/>
  <c r="M77" i="4"/>
  <c r="N77" i="4"/>
  <c r="P77" i="4"/>
  <c r="Q77" i="4"/>
  <c r="R77" i="4"/>
  <c r="S77" i="4"/>
  <c r="T77" i="4"/>
  <c r="E78" i="4"/>
  <c r="F78" i="4"/>
  <c r="G78" i="4"/>
  <c r="H78" i="4"/>
  <c r="I78" i="4"/>
  <c r="J78" i="4"/>
  <c r="K78" i="4"/>
  <c r="L78" i="4"/>
  <c r="M78" i="4"/>
  <c r="N78" i="4" s="1"/>
  <c r="P78" i="4"/>
  <c r="Q78" i="4"/>
  <c r="R78" i="4"/>
  <c r="S78" i="4"/>
  <c r="T78" i="4"/>
  <c r="E79" i="4"/>
  <c r="G79" i="4"/>
  <c r="H79" i="4"/>
  <c r="I79" i="4"/>
  <c r="J79" i="4"/>
  <c r="N79" i="4"/>
  <c r="S79" i="4"/>
  <c r="T79" i="4"/>
  <c r="D80" i="4"/>
  <c r="N80" i="4"/>
  <c r="D81" i="4"/>
  <c r="N81" i="4"/>
  <c r="I82" i="4"/>
  <c r="J82" i="4"/>
  <c r="K82" i="4" s="1"/>
  <c r="L82" i="4" s="1"/>
  <c r="N84" i="4"/>
  <c r="P84" i="4"/>
  <c r="Q84" i="4"/>
  <c r="N85" i="4"/>
  <c r="P85" i="4"/>
  <c r="Q85" i="4"/>
  <c r="F86" i="4"/>
  <c r="S86" i="4"/>
  <c r="F87" i="4"/>
  <c r="M88" i="4"/>
  <c r="N88" i="4" s="1"/>
  <c r="P88" i="4"/>
  <c r="R88" i="4"/>
  <c r="S88" i="4"/>
  <c r="T88" i="4"/>
  <c r="T86" i="4" s="1"/>
  <c r="D89" i="4"/>
  <c r="D90" i="4"/>
  <c r="D86" i="4" s="1"/>
  <c r="D87" i="4" s="1"/>
  <c r="E90" i="4"/>
  <c r="G90" i="4"/>
  <c r="L90" i="4"/>
  <c r="E91" i="4"/>
  <c r="G91" i="4" s="1"/>
  <c r="J91" i="4" s="1"/>
  <c r="I91" i="4"/>
  <c r="P91" i="4"/>
  <c r="R91" i="4"/>
  <c r="S91" i="4"/>
  <c r="T91" i="4"/>
  <c r="M93" i="4"/>
  <c r="R93" i="4"/>
  <c r="D95" i="4"/>
  <c r="E95" i="4"/>
  <c r="G95" i="4"/>
  <c r="H95" i="4"/>
  <c r="I95" i="4"/>
  <c r="J95" i="4"/>
  <c r="K95" i="4"/>
  <c r="L95" i="4"/>
  <c r="N95" i="4"/>
  <c r="O95" i="4"/>
  <c r="R99" i="4"/>
  <c r="S99" i="4"/>
  <c r="T99" i="4"/>
  <c r="F100" i="4"/>
  <c r="M100" i="4"/>
  <c r="F103" i="4"/>
  <c r="O107" i="4"/>
  <c r="H108" i="4"/>
  <c r="M108" i="4"/>
  <c r="N108" i="4"/>
  <c r="U108" i="4"/>
  <c r="P109" i="4"/>
  <c r="P110" i="4"/>
  <c r="G117" i="4"/>
  <c r="H117" i="4"/>
  <c r="I117" i="4"/>
  <c r="J117" i="4"/>
  <c r="K117" i="4"/>
  <c r="I119" i="4"/>
  <c r="J119" i="4"/>
  <c r="K119" i="4"/>
  <c r="K91" i="4" l="1"/>
  <c r="P73" i="4"/>
  <c r="N73" i="4"/>
  <c r="Q73" i="4"/>
  <c r="T38" i="4"/>
  <c r="J38" i="4"/>
  <c r="S38" i="4"/>
  <c r="L38" i="4"/>
  <c r="Q91" i="4"/>
  <c r="Q88" i="4"/>
  <c r="N82" i="4"/>
  <c r="Q65" i="4"/>
  <c r="L65" i="4"/>
  <c r="H65" i="4"/>
  <c r="H64" i="4" s="1"/>
  <c r="H38" i="4" s="1"/>
  <c r="M55" i="4"/>
  <c r="K39" i="4"/>
  <c r="K38" i="4" s="1"/>
  <c r="I39" i="4"/>
  <c r="I38" i="4" s="1"/>
  <c r="M39" i="4"/>
  <c r="N39" i="4" s="1"/>
  <c r="G38" i="4"/>
  <c r="N37" i="4"/>
  <c r="N35" i="4" s="1"/>
  <c r="N32" i="4" s="1"/>
  <c r="P37" i="4"/>
  <c r="P35" i="4"/>
  <c r="M35" i="4"/>
  <c r="T32" i="4"/>
  <c r="P32" i="4"/>
  <c r="D10" i="4"/>
  <c r="S10" i="4"/>
  <c r="S83" i="4" s="1"/>
  <c r="S94" i="4" s="1"/>
  <c r="S107" i="4" s="1"/>
  <c r="T10" i="4"/>
  <c r="T83" i="4" s="1"/>
  <c r="T94" i="4" s="1"/>
  <c r="T107" i="4" s="1"/>
  <c r="R10" i="4"/>
  <c r="M10" i="4"/>
  <c r="K10" i="4"/>
  <c r="I10" i="4"/>
  <c r="G10" i="4"/>
  <c r="E10" i="4"/>
  <c r="N74" i="4"/>
  <c r="N56" i="4"/>
  <c r="Q54" i="4"/>
  <c r="Q53" i="4"/>
  <c r="Q52" i="4"/>
  <c r="E39" i="4"/>
  <c r="E38" i="4" s="1"/>
  <c r="R42" i="4"/>
  <c r="R39" i="4" s="1"/>
  <c r="R38" i="4" s="1"/>
  <c r="M32" i="4"/>
  <c r="N34" i="4"/>
  <c r="Q34" i="4"/>
  <c r="Q32" i="4" s="1"/>
  <c r="K32" i="4"/>
  <c r="I32" i="4"/>
  <c r="G32" i="4"/>
  <c r="L32" i="4"/>
  <c r="J32" i="4"/>
  <c r="H32" i="4"/>
  <c r="F32" i="4"/>
  <c r="D32" i="4"/>
  <c r="Q15" i="4"/>
  <c r="P15" i="4"/>
  <c r="L10" i="4"/>
  <c r="L83" i="4" s="1"/>
  <c r="J10" i="4"/>
  <c r="J83" i="4" s="1"/>
  <c r="H10" i="4"/>
  <c r="F10" i="4"/>
  <c r="F83" i="4" s="1"/>
  <c r="Q30" i="4"/>
  <c r="P24" i="4"/>
  <c r="P22" i="4" s="1"/>
  <c r="N24" i="4"/>
  <c r="N22" i="4" s="1"/>
  <c r="Q17" i="4"/>
  <c r="Q12" i="4"/>
  <c r="Q11" i="4" s="1"/>
  <c r="N12" i="4"/>
  <c r="N11" i="4" s="1"/>
  <c r="H83" i="4" l="1"/>
  <c r="L93" i="4"/>
  <c r="L113" i="4"/>
  <c r="E83" i="4"/>
  <c r="I83" i="4"/>
  <c r="P10" i="4"/>
  <c r="Q10" i="4"/>
  <c r="T109" i="4"/>
  <c r="U109" i="4"/>
  <c r="D83" i="4"/>
  <c r="P55" i="4"/>
  <c r="Q55" i="4"/>
  <c r="N55" i="4"/>
  <c r="L91" i="4"/>
  <c r="L86" i="4" s="1"/>
  <c r="N10" i="4"/>
  <c r="F113" i="4"/>
  <c r="F94" i="4"/>
  <c r="F107" i="4" s="1"/>
  <c r="F109" i="4" s="1"/>
  <c r="J93" i="4"/>
  <c r="J86" i="4" s="1"/>
  <c r="J113" i="4"/>
  <c r="J94" i="4"/>
  <c r="J107" i="4" s="1"/>
  <c r="J109" i="4" s="1"/>
  <c r="G83" i="4"/>
  <c r="K83" i="4"/>
  <c r="R83" i="4"/>
  <c r="R94" i="4" s="1"/>
  <c r="R107" i="4" s="1"/>
  <c r="R109" i="4" s="1"/>
  <c r="S109" i="4"/>
  <c r="M38" i="4"/>
  <c r="P39" i="4"/>
  <c r="N38" i="4"/>
  <c r="K93" i="4" l="1"/>
  <c r="K86" i="4" s="1"/>
  <c r="K107" i="4" s="1"/>
  <c r="K109" i="4" s="1"/>
  <c r="K113" i="4"/>
  <c r="P38" i="4"/>
  <c r="Q38" i="4"/>
  <c r="G93" i="4"/>
  <c r="G86" i="4" s="1"/>
  <c r="G87" i="4" s="1"/>
  <c r="G113" i="4"/>
  <c r="L2" i="4"/>
  <c r="L87" i="4"/>
  <c r="U110" i="4"/>
  <c r="M83" i="4"/>
  <c r="E93" i="4"/>
  <c r="E113" i="4"/>
  <c r="L94" i="4"/>
  <c r="J111" i="4"/>
  <c r="J2" i="4"/>
  <c r="N86" i="4"/>
  <c r="J87" i="4"/>
  <c r="N87" i="4" s="1"/>
  <c r="D113" i="4"/>
  <c r="D94" i="4"/>
  <c r="D107" i="4" s="1"/>
  <c r="D109" i="4" s="1"/>
  <c r="T110" i="4"/>
  <c r="I93" i="4"/>
  <c r="L107" i="4"/>
  <c r="L109" i="4" s="1"/>
  <c r="H93" i="4"/>
  <c r="H86" i="4" s="1"/>
  <c r="H94" i="4"/>
  <c r="H107" i="4" s="1"/>
  <c r="H109" i="4" s="1"/>
  <c r="K110" i="4" l="1"/>
  <c r="K111" i="4"/>
  <c r="H2" i="4"/>
  <c r="H87" i="4"/>
  <c r="Q93" i="4"/>
  <c r="I86" i="4"/>
  <c r="P83" i="4"/>
  <c r="M94" i="4"/>
  <c r="Q83" i="4"/>
  <c r="N83" i="4"/>
  <c r="N94" i="4" s="1"/>
  <c r="N107" i="4" s="1"/>
  <c r="G94" i="4"/>
  <c r="G107" i="4" s="1"/>
  <c r="G109" i="4" s="1"/>
  <c r="H110" i="4" s="1"/>
  <c r="H111" i="4"/>
  <c r="L110" i="4"/>
  <c r="L111" i="4"/>
  <c r="P93" i="4"/>
  <c r="E86" i="4"/>
  <c r="K2" i="4"/>
  <c r="K87" i="4"/>
  <c r="K94" i="4"/>
  <c r="M107" i="4" l="1"/>
  <c r="M109" i="4" s="1"/>
  <c r="R110" i="4" s="1"/>
  <c r="I2" i="4"/>
  <c r="Q86" i="4"/>
  <c r="I87" i="4"/>
  <c r="Q87" i="4" s="1"/>
  <c r="I94" i="4"/>
  <c r="I107" i="4" s="1"/>
  <c r="I109" i="4" s="1"/>
  <c r="E87" i="4"/>
  <c r="P87" i="4" s="1"/>
  <c r="P86" i="4"/>
  <c r="E94" i="4"/>
  <c r="E107" i="4" s="1"/>
  <c r="E109" i="4" s="1"/>
  <c r="G110" i="4"/>
  <c r="G111" i="4"/>
  <c r="I110" i="4" l="1"/>
  <c r="I111" i="4"/>
  <c r="Q109" i="4"/>
  <c r="J110" i="4"/>
  <c r="Q94" i="4"/>
  <c r="Q107" i="4" s="1"/>
  <c r="P94" i="4"/>
  <c r="P107" i="4" s="1"/>
  <c r="T117" i="4" l="1"/>
  <c r="T118" i="4"/>
  <c r="S117" i="4" l="1"/>
  <c r="S118" i="4"/>
</calcChain>
</file>

<file path=xl/comments1.xml><?xml version="1.0" encoding="utf-8"?>
<comments xmlns="http://schemas.openxmlformats.org/spreadsheetml/2006/main">
  <authors>
    <author>Автор</author>
  </authors>
  <commentList>
    <comment ref="G8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добавлены реагенты</t>
        </r>
      </text>
    </comment>
    <comment ref="T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как в плане  2017
</t>
        </r>
      </text>
    </comment>
  </commentList>
</comments>
</file>

<file path=xl/sharedStrings.xml><?xml version="1.0" encoding="utf-8"?>
<sst xmlns="http://schemas.openxmlformats.org/spreadsheetml/2006/main" count="329" uniqueCount="228">
  <si>
    <t>тыс.руб.</t>
  </si>
  <si>
    <t>прямые для цеховых и косвенных расходов</t>
  </si>
  <si>
    <t>к  плану СГРЦиТ</t>
  </si>
  <si>
    <t>к ожид.2015</t>
  </si>
  <si>
    <t>средний</t>
  </si>
  <si>
    <t>%</t>
  </si>
  <si>
    <t>Темп роста тарифа</t>
  </si>
  <si>
    <t>с июля</t>
  </si>
  <si>
    <t>руб./куб.м</t>
  </si>
  <si>
    <t>Тариф на водоснабжение</t>
  </si>
  <si>
    <t>рост тарифа</t>
  </si>
  <si>
    <t>тыс.куб.м</t>
  </si>
  <si>
    <t>Объем водоснабжения</t>
  </si>
  <si>
    <t>по объемам Службы</t>
  </si>
  <si>
    <t>Итого НВВ</t>
  </si>
  <si>
    <t>лизинг преобразователя частоты</t>
  </si>
  <si>
    <t>Расходы на технологическое присоединение по инвестиционным объектам</t>
  </si>
  <si>
    <t>Услуги "Симплекс", Почта России</t>
  </si>
  <si>
    <t>экономически необоснованные расходы за период регулирования 2014 год:</t>
  </si>
  <si>
    <t>10.</t>
  </si>
  <si>
    <t>средства от невыполнения производственной программы в части мероприятий капитального ремонта объектов водоснабжения</t>
  </si>
  <si>
    <t>10.2</t>
  </si>
  <si>
    <t>средства от невыполнения производственной программы в части расходования средств на текущий ремонт объектов водоснабжения</t>
  </si>
  <si>
    <t>10.1</t>
  </si>
  <si>
    <t>экономически необоснованные доходы периода регулирования 2015 года:</t>
  </si>
  <si>
    <t xml:space="preserve">Отклонение фактически достигнутого объёма поданной воды </t>
  </si>
  <si>
    <t>Расходы связанные с обслуживанием заемных средств и собственных средств, направляемых на покрытие недостатка средств</t>
  </si>
  <si>
    <t>9.3</t>
  </si>
  <si>
    <t>Недополученные доходы прошлых периодов регулирования (2013, 2014)</t>
  </si>
  <si>
    <t>9.2</t>
  </si>
  <si>
    <t>Экономически обоснованные расходы, не учтенные органом регулирования тарифов при установлении тарифов на товары (работы, услуги) в прошлом периоде</t>
  </si>
  <si>
    <t>9.1</t>
  </si>
  <si>
    <t>Недополученные  расходы 2014 года в в связи с сокращением нормативов</t>
  </si>
  <si>
    <t>9.</t>
  </si>
  <si>
    <t>НВВ без учета снятых сумм по невыполненному капитальному ремонту</t>
  </si>
  <si>
    <t>Величина нормативной прибыли, определенная в соответствии с пунктом 31 настоящих Методических указаний. 3%</t>
  </si>
  <si>
    <t>8.5</t>
  </si>
  <si>
    <t>Другие расходы, не учитываемые в соответствии с Налоговым кодексом Российской Федерации при определении налоговой базы налога на прибыль</t>
  </si>
  <si>
    <t>Расходы на социальные нужды, предусмотренные коллективными договорами, в соответствии с подпунктом 3 пункта 30 Методических указаний</t>
  </si>
  <si>
    <t>8.4</t>
  </si>
  <si>
    <t>-</t>
  </si>
  <si>
    <t>Расходы на капитальные вложения</t>
  </si>
  <si>
    <t>8.3</t>
  </si>
  <si>
    <t>проценты по кредиту учтены выше</t>
  </si>
  <si>
    <t>Средства на возврат займов и кредитов и процентов по ним</t>
  </si>
  <si>
    <t>8.2</t>
  </si>
  <si>
    <t>Налог на прибыль</t>
  </si>
  <si>
    <t>8.1</t>
  </si>
  <si>
    <t>прибыль меньше</t>
  </si>
  <si>
    <t>Нормативная прибыль</t>
  </si>
  <si>
    <t>8</t>
  </si>
  <si>
    <t>себестоимость утверждена меньше</t>
  </si>
  <si>
    <t>Себестоимость</t>
  </si>
  <si>
    <t>Расходы по забалансовым объектам             ( налог на имущество, амортизация)</t>
  </si>
  <si>
    <t>Косвенные расходы</t>
  </si>
  <si>
    <t>Прочие прямые расходы</t>
  </si>
  <si>
    <t>план СГРЦиТ</t>
  </si>
  <si>
    <t xml:space="preserve">             </t>
  </si>
  <si>
    <t>Прочие налоги и сборы, за исключением налогов и сборов с фонда оплаты труда, учитываемые в составе производственных, ремонтных и административных расходов</t>
  </si>
  <si>
    <t>7.7</t>
  </si>
  <si>
    <t>Транспортный налог</t>
  </si>
  <si>
    <t>7.6</t>
  </si>
  <si>
    <t>Земельный налог/ Аренда земли</t>
  </si>
  <si>
    <t>7.5</t>
  </si>
  <si>
    <t>Водный налог и плата за пользованием водными объектами</t>
  </si>
  <si>
    <t>7.4</t>
  </si>
  <si>
    <t>Плата за негативное воздействие на окружающую среду</t>
  </si>
  <si>
    <t>7.3</t>
  </si>
  <si>
    <t>налог на имущество  меньше плана Водокнала</t>
  </si>
  <si>
    <t>Налог на имущество организаций</t>
  </si>
  <si>
    <t>7.2</t>
  </si>
  <si>
    <t>Расходы связанные с уплатой налогов и сборов</t>
  </si>
  <si>
    <t>7.</t>
  </si>
  <si>
    <t>Аренда земельных участков</t>
  </si>
  <si>
    <t>6.4</t>
  </si>
  <si>
    <t>Лизинговые платежи</t>
  </si>
  <si>
    <t>6.3</t>
  </si>
  <si>
    <t>Концессионная плата</t>
  </si>
  <si>
    <t>6.2</t>
  </si>
  <si>
    <t>Аренда имущества</t>
  </si>
  <si>
    <t>6.1</t>
  </si>
  <si>
    <t>Расходы на арендную плату, лизинговые платежи, концессионную плату</t>
  </si>
  <si>
    <t>6.</t>
  </si>
  <si>
    <t xml:space="preserve">Амортизация основных средств и нематериальных активов, относимых к объектам централизованной системы водоснабжения  </t>
  </si>
  <si>
    <t>5.1</t>
  </si>
  <si>
    <t>Амортизация</t>
  </si>
  <si>
    <t>5.</t>
  </si>
  <si>
    <t>Расходы по сомнительным долгам, в размере не более 2% НВВ</t>
  </si>
  <si>
    <t>4.1</t>
  </si>
  <si>
    <t>несколько меньше сбытовые расходы</t>
  </si>
  <si>
    <t>Сбытовые расходы гарантирующих организаций</t>
  </si>
  <si>
    <t>4</t>
  </si>
  <si>
    <t>Расходы по охране озер</t>
  </si>
  <si>
    <t>Расходы по охране объектов и территорий</t>
  </si>
  <si>
    <t>3.8</t>
  </si>
  <si>
    <t>Стоимость газа на отопление</t>
  </si>
  <si>
    <t>Канцелярские и типографские товары</t>
  </si>
  <si>
    <t>3.7.5</t>
  </si>
  <si>
    <t>Почтовые расходы, подписка</t>
  </si>
  <si>
    <t>3.7.4</t>
  </si>
  <si>
    <t>Ремонт офисного оборудования</t>
  </si>
  <si>
    <t>3.7.3</t>
  </si>
  <si>
    <t>Оргтехника и обслуживание офисного оборудования</t>
  </si>
  <si>
    <t>3.7.2</t>
  </si>
  <si>
    <t>Расходы на амортизацию непроизводственных активов</t>
  </si>
  <si>
    <t>3.7.1</t>
  </si>
  <si>
    <t>Прочие административные расходы</t>
  </si>
  <si>
    <t>3.7</t>
  </si>
  <si>
    <t>Страхование производственных объектов</t>
  </si>
  <si>
    <t>3.6</t>
  </si>
  <si>
    <t>Обучение персонала</t>
  </si>
  <si>
    <t>3.5</t>
  </si>
  <si>
    <t>Служебные командировки</t>
  </si>
  <si>
    <t>3.4</t>
  </si>
  <si>
    <t>Арендная плата ПРИЧАЛА,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</si>
  <si>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3.3</t>
  </si>
  <si>
    <t>Отчисления на социальные нужды административно-управленческого персонала, в том числе налоги и сборы</t>
  </si>
  <si>
    <t>3.2.2</t>
  </si>
  <si>
    <t>Расходы на оплату труда административно-управленческого персонала</t>
  </si>
  <si>
    <t>3.2.1</t>
  </si>
  <si>
    <t>Расходы на оплату труда и отчисления на социальные нужды административно-уравленческого персонала, в том числе налоги и сборы</t>
  </si>
  <si>
    <t>3.2</t>
  </si>
  <si>
    <t>Услуги банка</t>
  </si>
  <si>
    <t>3.1.8</t>
  </si>
  <si>
    <t>транспортно-экспедиционные расходы</t>
  </si>
  <si>
    <t>3.1.7</t>
  </si>
  <si>
    <t>Информационные услуги</t>
  </si>
  <si>
    <t>3.1.6</t>
  </si>
  <si>
    <t>Услуги по вневедомственной охране объектов и территорий</t>
  </si>
  <si>
    <t>3.1.5</t>
  </si>
  <si>
    <t>Консультационные услуги</t>
  </si>
  <si>
    <t>3.1.4</t>
  </si>
  <si>
    <t>не совпадают расшифровки по статьям</t>
  </si>
  <si>
    <t>Аудиторские услуги</t>
  </si>
  <si>
    <t>3.1.3</t>
  </si>
  <si>
    <t>Служба проиндексировала факт 2014</t>
  </si>
  <si>
    <t>Юридические услуги</t>
  </si>
  <si>
    <t>3.1.2</t>
  </si>
  <si>
    <t>Услуги связи и интернет</t>
  </si>
  <si>
    <t>3.1.1</t>
  </si>
  <si>
    <t>Расходы на оплату работ и услуг, выполняемых сторонними организациями</t>
  </si>
  <si>
    <t>3.1</t>
  </si>
  <si>
    <t>Административные расходы</t>
  </si>
  <si>
    <t>3</t>
  </si>
  <si>
    <t>Отчисления на социальные нужды ремонтного персонала, в том числе налоги и сборы</t>
  </si>
  <si>
    <t>2.3.2</t>
  </si>
  <si>
    <t>Расходы на оплату труда ремонтного персонала</t>
  </si>
  <si>
    <t>2.3.1</t>
  </si>
  <si>
    <t>Расходы на оплату труда и отчисления на социальные нужды ремонтного  персонала, в том числе налоги и сборы</t>
  </si>
  <si>
    <t>2.3</t>
  </si>
  <si>
    <t>частично за счет прибыли и амортизации</t>
  </si>
  <si>
    <t>Расходы на капитальный ремонт централизованных систем водоснабжения  либо объектов, входящих в состав таких систем</t>
  </si>
  <si>
    <t>2.2</t>
  </si>
  <si>
    <t>Расходы на текущий ремонт централизированных систем водоснабжения либо объектов, входящих в состав таких систем</t>
  </si>
  <si>
    <t>2.1</t>
  </si>
  <si>
    <t>Ремонтные расходы</t>
  </si>
  <si>
    <t>2</t>
  </si>
  <si>
    <t xml:space="preserve">Расходы на охрану питьевых озер .     На основании Постановлений Правительства Российской Федерации от 14.08.1992 г. № 587 и от 2.11.2009 г. № 886 </t>
  </si>
  <si>
    <t>1.7.4</t>
  </si>
  <si>
    <t xml:space="preserve">Контроль качества воды </t>
  </si>
  <si>
    <t>1.7.3</t>
  </si>
  <si>
    <t>учтено в общей строке "Амортизация"</t>
  </si>
  <si>
    <t>Расходы на амортизацию автотранспорта</t>
  </si>
  <si>
    <t>1.7.2</t>
  </si>
  <si>
    <t>Охрана труда (спеодежда, спецобувь, молоко, горячее питание)</t>
  </si>
  <si>
    <t>1.7.1</t>
  </si>
  <si>
    <t>Прочие производственные расходы</t>
  </si>
  <si>
    <t>1.7</t>
  </si>
  <si>
    <t>Цеховые расходы</t>
  </si>
  <si>
    <t>1.6</t>
  </si>
  <si>
    <t>немного снижены проценты</t>
  </si>
  <si>
    <t>Расходы на уплату процентов по займам и кредитам</t>
  </si>
  <si>
    <t>1.5</t>
  </si>
  <si>
    <t>Отчисления на социальные нужды производственного персонала, втом числе налоги и сборы</t>
  </si>
  <si>
    <t>1.4.2</t>
  </si>
  <si>
    <t>Расходы на оплату труда производственного персонала</t>
  </si>
  <si>
    <t>1.4.1</t>
  </si>
  <si>
    <t>Расходы на оплату труда и отчисления на социальные нужды основного производственного персонала, в том числе налоги и сборы</t>
  </si>
  <si>
    <t>1.4.</t>
  </si>
  <si>
    <t>услуги ГУ ЖКХ ( вместо Славянки) по трансопртировке воды включены в тариф</t>
  </si>
  <si>
    <t>тыс. руб.</t>
  </si>
  <si>
    <t>Расходы на оплату работ и услуг, выполняемых сторонними организациями и индивидуальными предпринимателями, связанные с эксплуатацией централизованных систем, либо объектов в составе таких систем (Славянка)</t>
  </si>
  <si>
    <t>1.3</t>
  </si>
  <si>
    <t>Холодная вода</t>
  </si>
  <si>
    <t>1.2.5</t>
  </si>
  <si>
    <t>Топливо</t>
  </si>
  <si>
    <t>1.2.4</t>
  </si>
  <si>
    <t>Теплоноситель</t>
  </si>
  <si>
    <t>1.2.3</t>
  </si>
  <si>
    <t>Теплоэнергия</t>
  </si>
  <si>
    <t>1.2.2</t>
  </si>
  <si>
    <t>расходы по электроэнергии на уровне ожидаемого 2015</t>
  </si>
  <si>
    <t>Электроэнергия</t>
  </si>
  <si>
    <t>1.2.1</t>
  </si>
  <si>
    <t>Расходы на энергетические ресурсы и холодную воду</t>
  </si>
  <si>
    <t>1.2</t>
  </si>
  <si>
    <t>Материалы и малоценные основные средства</t>
  </si>
  <si>
    <t>1.1.3</t>
  </si>
  <si>
    <t>Горюче-смазочные материалы</t>
  </si>
  <si>
    <t>1.1.2</t>
  </si>
  <si>
    <t>расход гипохлорита учтен Службой на уровне факта 2015, плановыйрасход Водоканала больше</t>
  </si>
  <si>
    <t>Реагенты</t>
  </si>
  <si>
    <t>1.1.1</t>
  </si>
  <si>
    <t>Расходы на приобретение сырья и материалов и их хранение,    в том числе:</t>
  </si>
  <si>
    <t>1.1</t>
  </si>
  <si>
    <t>Производственные расходы</t>
  </si>
  <si>
    <t>7а</t>
  </si>
  <si>
    <t>ожид. (версия МАЙ 2015)</t>
  </si>
  <si>
    <t>факт</t>
  </si>
  <si>
    <t>Проект СЛУЖБЫ 2016 год</t>
  </si>
  <si>
    <t>Проект  2018 год</t>
  </si>
  <si>
    <t>Проект  2017 год</t>
  </si>
  <si>
    <t>Проект МП КХ "Водокнаал"  2016 год</t>
  </si>
  <si>
    <t>ожидаемый год 2015 (весрия СЕНТЯБРЬ)</t>
  </si>
  <si>
    <t>Факт 6 месяцев 2015</t>
  </si>
  <si>
    <t xml:space="preserve">Водоканал, план </t>
  </si>
  <si>
    <t>Водоканал, факт</t>
  </si>
  <si>
    <t>Утвержденный тариф 2017 год</t>
  </si>
  <si>
    <t>Анализ</t>
  </si>
  <si>
    <t>данные Службы</t>
  </si>
  <si>
    <t>Утвержденный тариф 2016 год</t>
  </si>
  <si>
    <t>данные ОКК</t>
  </si>
  <si>
    <t>Единица измерений</t>
  </si>
  <si>
    <t>Наименование</t>
  </si>
  <si>
    <t>№ п/п</t>
  </si>
  <si>
    <t>экономически обоснованные расходы</t>
  </si>
  <si>
    <t>СМЕТА РАСХОДОВ НА ПИТЬЕВУЮ ВОДУ, ТЕХНИЧЕСКУЮ ВОДУ, ТРАНСПОРТИРОВКУ ХОЛОДНОЙ ВОДЫ</t>
  </si>
  <si>
    <t>МП КХ "Водоканал"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</si>
</sst>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_-;\-* #,##0_-;_-* \-??_-;_-@_-"/>
    <numFmt numFmtId="167" formatCode="_-* #,##0.00\ _€_-;\-* #,##0.00\ _€_-;_-* \-??\ _€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5" tint="0.5999938962981048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MT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charset val="204"/>
    </font>
    <font>
      <sz val="8"/>
      <name val="Arial"/>
      <family val="2"/>
    </font>
    <font>
      <sz val="10"/>
      <name val="Arial Cy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8" fillId="0" borderId="0" applyFill="0" applyBorder="0" applyAlignment="0" applyProtection="0"/>
    <xf numFmtId="167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0" fillId="0" borderId="0"/>
    <xf numFmtId="0" fontId="1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164" fontId="1" fillId="0" borderId="0" xfId="1" applyNumberFormat="1"/>
    <xf numFmtId="164" fontId="0" fillId="0" borderId="0" xfId="2" applyFont="1"/>
    <xf numFmtId="0" fontId="1" fillId="2" borderId="1" xfId="1" applyFill="1" applyBorder="1" applyAlignment="1">
      <alignment horizontal="right"/>
    </xf>
    <xf numFmtId="0" fontId="1" fillId="2" borderId="2" xfId="1" applyFill="1" applyBorder="1" applyAlignment="1">
      <alignment horizontal="right"/>
    </xf>
    <xf numFmtId="0" fontId="1" fillId="2" borderId="3" xfId="1" applyFill="1" applyBorder="1" applyAlignment="1">
      <alignment horizontal="right"/>
    </xf>
    <xf numFmtId="0" fontId="1" fillId="2" borderId="1" xfId="1" applyFill="1" applyBorder="1"/>
    <xf numFmtId="0" fontId="1" fillId="3" borderId="1" xfId="1" applyFill="1" applyBorder="1" applyAlignment="1">
      <alignment wrapText="1"/>
    </xf>
    <xf numFmtId="0" fontId="1" fillId="0" borderId="1" xfId="1" applyBorder="1" applyAlignment="1">
      <alignment horizontal="right"/>
    </xf>
    <xf numFmtId="10" fontId="1" fillId="0" borderId="0" xfId="1" applyNumberFormat="1" applyBorder="1" applyAlignment="1">
      <alignment horizontal="right"/>
    </xf>
    <xf numFmtId="4" fontId="1" fillId="0" borderId="1" xfId="1" applyNumberFormat="1" applyBorder="1" applyAlignment="1">
      <alignment horizontal="right"/>
    </xf>
    <xf numFmtId="4" fontId="1" fillId="0" borderId="0" xfId="1" applyNumberFormat="1" applyBorder="1" applyAlignment="1">
      <alignment horizontal="right"/>
    </xf>
    <xf numFmtId="0" fontId="1" fillId="0" borderId="0" xfId="1" applyBorder="1" applyAlignment="1">
      <alignment horizontal="center"/>
    </xf>
    <xf numFmtId="0" fontId="2" fillId="0" borderId="0" xfId="1" applyFont="1" applyBorder="1"/>
    <xf numFmtId="0" fontId="1" fillId="0" borderId="0" xfId="1" applyBorder="1"/>
    <xf numFmtId="10" fontId="1" fillId="0" borderId="1" xfId="1" applyNumberFormat="1" applyBorder="1" applyAlignment="1">
      <alignment horizontal="right"/>
    </xf>
    <xf numFmtId="164" fontId="1" fillId="0" borderId="0" xfId="1" applyNumberFormat="1" applyBorder="1" applyAlignment="1">
      <alignment horizontal="right"/>
    </xf>
    <xf numFmtId="164" fontId="0" fillId="0" borderId="4" xfId="2" applyFont="1" applyBorder="1" applyAlignment="1"/>
    <xf numFmtId="10" fontId="1" fillId="0" borderId="4" xfId="1" applyNumberFormat="1" applyBorder="1" applyAlignment="1">
      <alignment horizontal="right"/>
    </xf>
    <xf numFmtId="10" fontId="1" fillId="0" borderId="2" xfId="1" applyNumberFormat="1" applyBorder="1"/>
    <xf numFmtId="10" fontId="1" fillId="4" borderId="5" xfId="1" applyNumberFormat="1" applyFill="1" applyBorder="1" applyAlignment="1">
      <alignment horizontal="center"/>
    </xf>
    <xf numFmtId="0" fontId="1" fillId="4" borderId="6" xfId="1" applyFill="1" applyBorder="1"/>
    <xf numFmtId="0" fontId="1" fillId="5" borderId="6" xfId="1" applyFill="1" applyBorder="1"/>
    <xf numFmtId="4" fontId="1" fillId="5" borderId="6" xfId="1" applyNumberFormat="1" applyFill="1" applyBorder="1"/>
    <xf numFmtId="164" fontId="0" fillId="0" borderId="6" xfId="2" applyFont="1" applyBorder="1" applyAlignment="1">
      <alignment horizontal="right"/>
    </xf>
    <xf numFmtId="164" fontId="0" fillId="0" borderId="6" xfId="2" applyFont="1" applyBorder="1" applyAlignment="1"/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7" xfId="1" applyBorder="1"/>
    <xf numFmtId="4" fontId="1" fillId="0" borderId="2" xfId="1" applyNumberFormat="1" applyBorder="1"/>
    <xf numFmtId="4" fontId="2" fillId="4" borderId="8" xfId="1" applyNumberFormat="1" applyFont="1" applyFill="1" applyBorder="1" applyAlignment="1">
      <alignment horizontal="center"/>
    </xf>
    <xf numFmtId="4" fontId="2" fillId="4" borderId="9" xfId="1" applyNumberFormat="1" applyFont="1" applyFill="1" applyBorder="1" applyAlignment="1">
      <alignment horizontal="center"/>
    </xf>
    <xf numFmtId="4" fontId="2" fillId="5" borderId="9" xfId="1" applyNumberFormat="1" applyFont="1" applyFill="1" applyBorder="1"/>
    <xf numFmtId="0" fontId="2" fillId="5" borderId="9" xfId="1" applyFont="1" applyFill="1" applyBorder="1"/>
    <xf numFmtId="164" fontId="2" fillId="0" borderId="9" xfId="2" applyFont="1" applyBorder="1" applyAlignment="1">
      <alignment horizontal="right"/>
    </xf>
    <xf numFmtId="164" fontId="2" fillId="0" borderId="9" xfId="2" applyFont="1" applyBorder="1" applyAlignment="1"/>
    <xf numFmtId="0" fontId="2" fillId="0" borderId="9" xfId="1" applyFont="1" applyBorder="1"/>
    <xf numFmtId="0" fontId="2" fillId="0" borderId="10" xfId="1" applyFont="1" applyBorder="1"/>
    <xf numFmtId="165" fontId="0" fillId="0" borderId="11" xfId="2" applyNumberFormat="1" applyFont="1" applyFill="1" applyBorder="1" applyAlignment="1">
      <alignment horizontal="right"/>
    </xf>
    <xf numFmtId="165" fontId="0" fillId="0" borderId="12" xfId="2" applyNumberFormat="1" applyFont="1" applyFill="1" applyBorder="1" applyAlignment="1">
      <alignment horizontal="right"/>
    </xf>
    <xf numFmtId="0" fontId="1" fillId="5" borderId="12" xfId="1" applyFill="1" applyBorder="1"/>
    <xf numFmtId="164" fontId="0" fillId="0" borderId="12" xfId="2" applyFont="1" applyFill="1" applyBorder="1" applyAlignment="1">
      <alignment horizontal="right"/>
    </xf>
    <xf numFmtId="164" fontId="0" fillId="0" borderId="12" xfId="2" applyFont="1" applyFill="1" applyBorder="1" applyAlignment="1"/>
    <xf numFmtId="164" fontId="0" fillId="2" borderId="12" xfId="2" applyFont="1" applyFill="1" applyBorder="1" applyAlignment="1"/>
    <xf numFmtId="164" fontId="0" fillId="4" borderId="12" xfId="2" applyFont="1" applyFill="1" applyBorder="1" applyAlignment="1"/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/>
    </xf>
    <xf numFmtId="49" fontId="1" fillId="0" borderId="13" xfId="1" applyNumberFormat="1" applyFill="1" applyBorder="1"/>
    <xf numFmtId="0" fontId="1" fillId="0" borderId="2" xfId="1" applyBorder="1" applyAlignment="1">
      <alignment horizontal="center"/>
    </xf>
    <xf numFmtId="164" fontId="2" fillId="0" borderId="8" xfId="2" applyFont="1" applyFill="1" applyBorder="1" applyAlignment="1">
      <alignment horizontal="right"/>
    </xf>
    <xf numFmtId="164" fontId="2" fillId="0" borderId="9" xfId="2" applyFont="1" applyFill="1" applyBorder="1" applyAlignment="1">
      <alignment horizontal="right"/>
    </xf>
    <xf numFmtId="164" fontId="2" fillId="0" borderId="9" xfId="2" applyFont="1" applyFill="1" applyBorder="1" applyAlignment="1"/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/>
    </xf>
    <xf numFmtId="49" fontId="2" fillId="0" borderId="10" xfId="1" applyNumberFormat="1" applyFont="1" applyFill="1" applyBorder="1"/>
    <xf numFmtId="164" fontId="2" fillId="6" borderId="14" xfId="2" applyFont="1" applyFill="1" applyBorder="1" applyAlignment="1">
      <alignment horizontal="right"/>
    </xf>
    <xf numFmtId="164" fontId="2" fillId="6" borderId="15" xfId="2" applyFont="1" applyFill="1" applyBorder="1" applyAlignment="1">
      <alignment horizontal="right"/>
    </xf>
    <xf numFmtId="164" fontId="2" fillId="6" borderId="16" xfId="2" applyFont="1" applyFill="1" applyBorder="1" applyAlignment="1">
      <alignment horizontal="right"/>
    </xf>
    <xf numFmtId="164" fontId="2" fillId="6" borderId="16" xfId="2" applyFont="1" applyFill="1" applyBorder="1" applyAlignment="1"/>
    <xf numFmtId="0" fontId="2" fillId="6" borderId="16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vertical="center" wrapText="1"/>
    </xf>
    <xf numFmtId="49" fontId="1" fillId="6" borderId="17" xfId="1" applyNumberFormat="1" applyFont="1" applyFill="1" applyBorder="1" applyAlignment="1">
      <alignment vertical="center" wrapText="1"/>
    </xf>
    <xf numFmtId="164" fontId="2" fillId="6" borderId="18" xfId="2" applyFont="1" applyFill="1" applyBorder="1" applyAlignment="1">
      <alignment horizontal="right"/>
    </xf>
    <xf numFmtId="164" fontId="2" fillId="6" borderId="3" xfId="2" applyFont="1" applyFill="1" applyBorder="1" applyAlignment="1">
      <alignment horizontal="right"/>
    </xf>
    <xf numFmtId="164" fontId="2" fillId="6" borderId="1" xfId="2" applyFont="1" applyFill="1" applyBorder="1" applyAlignment="1">
      <alignment horizontal="right"/>
    </xf>
    <xf numFmtId="164" fontId="2" fillId="6" borderId="1" xfId="2" applyFont="1" applyFill="1" applyBorder="1" applyAlignment="1"/>
    <xf numFmtId="0" fontId="3" fillId="6" borderId="1" xfId="1" applyFont="1" applyFill="1" applyBorder="1" applyAlignment="1">
      <alignment vertical="center" wrapText="1"/>
    </xf>
    <xf numFmtId="49" fontId="1" fillId="6" borderId="19" xfId="1" applyNumberFormat="1" applyFont="1" applyFill="1" applyBorder="1" applyAlignment="1">
      <alignment vertical="center" wrapText="1"/>
    </xf>
    <xf numFmtId="164" fontId="2" fillId="7" borderId="18" xfId="2" applyFont="1" applyFill="1" applyBorder="1" applyAlignment="1">
      <alignment horizontal="right"/>
    </xf>
    <xf numFmtId="164" fontId="2" fillId="7" borderId="3" xfId="2" applyFont="1" applyFill="1" applyBorder="1" applyAlignment="1">
      <alignment horizontal="right"/>
    </xf>
    <xf numFmtId="164" fontId="2" fillId="7" borderId="1" xfId="2" applyFont="1" applyFill="1" applyBorder="1" applyAlignment="1">
      <alignment horizontal="right"/>
    </xf>
    <xf numFmtId="164" fontId="2" fillId="7" borderId="1" xfId="2" applyFont="1" applyFill="1" applyBorder="1" applyAlignment="1"/>
    <xf numFmtId="0" fontId="2" fillId="7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vertical="center" wrapText="1"/>
    </xf>
    <xf numFmtId="49" fontId="2" fillId="7" borderId="19" xfId="1" applyNumberFormat="1" applyFont="1" applyFill="1" applyBorder="1" applyAlignment="1">
      <alignment vertical="center" wrapText="1"/>
    </xf>
    <xf numFmtId="0" fontId="1" fillId="0" borderId="1" xfId="1" applyBorder="1"/>
    <xf numFmtId="0" fontId="5" fillId="6" borderId="16" xfId="1" applyFont="1" applyFill="1" applyBorder="1" applyAlignment="1">
      <alignment vertical="center" wrapText="1"/>
    </xf>
    <xf numFmtId="164" fontId="2" fillId="6" borderId="20" xfId="2" applyFont="1" applyFill="1" applyBorder="1" applyAlignment="1">
      <alignment horizontal="right"/>
    </xf>
    <xf numFmtId="164" fontId="2" fillId="6" borderId="0" xfId="2" applyFont="1" applyFill="1" applyBorder="1" applyAlignment="1">
      <alignment horizontal="right"/>
    </xf>
    <xf numFmtId="164" fontId="2" fillId="6" borderId="21" xfId="2" applyFont="1" applyFill="1" applyBorder="1" applyAlignment="1">
      <alignment horizontal="right"/>
    </xf>
    <xf numFmtId="164" fontId="2" fillId="6" borderId="4" xfId="2" applyFont="1" applyFill="1" applyBorder="1" applyAlignment="1"/>
    <xf numFmtId="164" fontId="2" fillId="6" borderId="22" xfId="2" applyFont="1" applyFill="1" applyBorder="1" applyAlignment="1"/>
    <xf numFmtId="0" fontId="2" fillId="6" borderId="22" xfId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vertical="center" wrapText="1"/>
    </xf>
    <xf numFmtId="49" fontId="1" fillId="6" borderId="23" xfId="1" applyNumberFormat="1" applyFont="1" applyFill="1" applyBorder="1" applyAlignment="1">
      <alignment vertical="center" wrapText="1"/>
    </xf>
    <xf numFmtId="164" fontId="2" fillId="7" borderId="5" xfId="2" applyFont="1" applyFill="1" applyBorder="1" applyAlignment="1">
      <alignment horizontal="right"/>
    </xf>
    <xf numFmtId="164" fontId="2" fillId="7" borderId="24" xfId="2" applyFont="1" applyFill="1" applyBorder="1" applyAlignment="1">
      <alignment horizontal="right"/>
    </xf>
    <xf numFmtId="164" fontId="2" fillId="7" borderId="6" xfId="2" applyFont="1" applyFill="1" applyBorder="1" applyAlignment="1">
      <alignment horizontal="right"/>
    </xf>
    <xf numFmtId="164" fontId="2" fillId="7" borderId="6" xfId="2" applyFont="1" applyFill="1" applyBorder="1" applyAlignment="1"/>
    <xf numFmtId="0" fontId="2" fillId="7" borderId="6" xfId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vertical="center" wrapText="1"/>
    </xf>
    <xf numFmtId="49" fontId="2" fillId="7" borderId="7" xfId="1" applyNumberFormat="1" applyFont="1" applyFill="1" applyBorder="1" applyAlignment="1">
      <alignment vertical="center" wrapText="1"/>
    </xf>
    <xf numFmtId="0" fontId="2" fillId="6" borderId="1" xfId="1" applyFont="1" applyFill="1" applyBorder="1" applyAlignment="1">
      <alignment horizontal="center" vertical="center"/>
    </xf>
    <xf numFmtId="0" fontId="1" fillId="8" borderId="1" xfId="1" applyFill="1" applyBorder="1" applyAlignment="1">
      <alignment horizontal="left" wrapText="1"/>
    </xf>
    <xf numFmtId="49" fontId="2" fillId="6" borderId="19" xfId="1" applyNumberFormat="1" applyFont="1" applyFill="1" applyBorder="1" applyAlignment="1">
      <alignment vertical="center" wrapText="1"/>
    </xf>
    <xf numFmtId="0" fontId="1" fillId="0" borderId="14" xfId="1" applyBorder="1"/>
    <xf numFmtId="0" fontId="1" fillId="0" borderId="16" xfId="1" applyBorder="1"/>
    <xf numFmtId="164" fontId="2" fillId="6" borderId="25" xfId="2" applyFont="1" applyFill="1" applyBorder="1" applyAlignment="1">
      <alignment horizontal="right"/>
    </xf>
    <xf numFmtId="164" fontId="2" fillId="6" borderId="26" xfId="2" applyFont="1" applyFill="1" applyBorder="1" applyAlignment="1">
      <alignment horizontal="right"/>
    </xf>
    <xf numFmtId="164" fontId="2" fillId="6" borderId="27" xfId="2" applyFont="1" applyFill="1" applyBorder="1" applyAlignment="1"/>
    <xf numFmtId="164" fontId="2" fillId="6" borderId="28" xfId="2" applyFont="1" applyFill="1" applyBorder="1" applyAlignment="1"/>
    <xf numFmtId="0" fontId="4" fillId="6" borderId="22" xfId="1" applyFont="1" applyFill="1" applyBorder="1" applyAlignment="1">
      <alignment vertical="center" wrapText="1"/>
    </xf>
    <xf numFmtId="49" fontId="2" fillId="6" borderId="29" xfId="1" applyNumberFormat="1" applyFont="1" applyFill="1" applyBorder="1" applyAlignment="1">
      <alignment vertical="center" wrapText="1"/>
    </xf>
    <xf numFmtId="0" fontId="1" fillId="0" borderId="18" xfId="1" applyBorder="1"/>
    <xf numFmtId="164" fontId="2" fillId="6" borderId="30" xfId="2" applyFont="1" applyFill="1" applyBorder="1" applyAlignment="1">
      <alignment horizontal="right"/>
    </xf>
    <xf numFmtId="164" fontId="2" fillId="6" borderId="31" xfId="2" applyFont="1" applyFill="1" applyBorder="1" applyAlignment="1">
      <alignment horizontal="right"/>
    </xf>
    <xf numFmtId="164" fontId="2" fillId="6" borderId="32" xfId="2" applyFont="1" applyFill="1" applyBorder="1" applyAlignment="1"/>
    <xf numFmtId="164" fontId="2" fillId="6" borderId="33" xfId="2" applyFont="1" applyFill="1" applyBorder="1" applyAlignment="1"/>
    <xf numFmtId="0" fontId="2" fillId="6" borderId="33" xfId="1" applyFont="1" applyFill="1" applyBorder="1" applyAlignment="1">
      <alignment horizontal="center" vertical="center"/>
    </xf>
    <xf numFmtId="0" fontId="4" fillId="6" borderId="33" xfId="1" applyFont="1" applyFill="1" applyBorder="1" applyAlignment="1">
      <alignment vertical="center" wrapText="1"/>
    </xf>
    <xf numFmtId="49" fontId="2" fillId="6" borderId="34" xfId="1" applyNumberFormat="1" applyFont="1" applyFill="1" applyBorder="1" applyAlignment="1">
      <alignment vertical="center" wrapText="1"/>
    </xf>
    <xf numFmtId="164" fontId="2" fillId="6" borderId="35" xfId="2" applyFont="1" applyFill="1" applyBorder="1" applyAlignment="1">
      <alignment horizontal="right"/>
    </xf>
    <xf numFmtId="164" fontId="2" fillId="6" borderId="36" xfId="2" applyFont="1" applyFill="1" applyBorder="1" applyAlignment="1">
      <alignment horizontal="right"/>
    </xf>
    <xf numFmtId="164" fontId="2" fillId="5" borderId="37" xfId="2" applyFont="1" applyFill="1" applyBorder="1" applyAlignment="1"/>
    <xf numFmtId="164" fontId="2" fillId="5" borderId="38" xfId="2" applyFont="1" applyFill="1" applyBorder="1" applyAlignment="1"/>
    <xf numFmtId="0" fontId="2" fillId="5" borderId="38" xfId="1" applyFont="1" applyFill="1" applyBorder="1" applyAlignment="1">
      <alignment horizontal="center" vertical="center"/>
    </xf>
    <xf numFmtId="0" fontId="4" fillId="5" borderId="38" xfId="1" applyFont="1" applyFill="1" applyBorder="1" applyAlignment="1">
      <alignment vertical="center" wrapText="1"/>
    </xf>
    <xf numFmtId="49" fontId="2" fillId="5" borderId="39" xfId="1" applyNumberFormat="1" applyFont="1" applyFill="1" applyBorder="1" applyAlignment="1">
      <alignment vertical="center" wrapText="1"/>
    </xf>
    <xf numFmtId="0" fontId="1" fillId="0" borderId="20" xfId="1" applyBorder="1"/>
    <xf numFmtId="164" fontId="2" fillId="7" borderId="9" xfId="2" applyFont="1" applyFill="1" applyBorder="1" applyAlignment="1">
      <alignment horizontal="right"/>
    </xf>
    <xf numFmtId="164" fontId="2" fillId="7" borderId="40" xfId="2" applyFont="1" applyFill="1" applyBorder="1" applyAlignment="1">
      <alignment horizontal="right"/>
    </xf>
    <xf numFmtId="164" fontId="2" fillId="7" borderId="9" xfId="2" applyFont="1" applyFill="1" applyBorder="1" applyAlignment="1"/>
    <xf numFmtId="0" fontId="2" fillId="7" borderId="9" xfId="1" applyFont="1" applyFill="1" applyBorder="1" applyAlignment="1">
      <alignment horizontal="center" vertical="center"/>
    </xf>
    <xf numFmtId="0" fontId="4" fillId="9" borderId="9" xfId="1" applyFont="1" applyFill="1" applyBorder="1" applyAlignment="1">
      <alignment vertical="center" wrapText="1"/>
    </xf>
    <xf numFmtId="49" fontId="2" fillId="7" borderId="10" xfId="1" applyNumberFormat="1" applyFont="1" applyFill="1" applyBorder="1" applyAlignment="1">
      <alignment vertical="center" wrapText="1"/>
    </xf>
    <xf numFmtId="164" fontId="2" fillId="0" borderId="8" xfId="2" applyFont="1" applyFill="1" applyBorder="1" applyAlignment="1"/>
    <xf numFmtId="164" fontId="2" fillId="5" borderId="41" xfId="2" applyFont="1" applyFill="1" applyBorder="1" applyAlignment="1">
      <alignment horizontal="right" wrapText="1"/>
    </xf>
    <xf numFmtId="49" fontId="4" fillId="6" borderId="33" xfId="1" applyNumberFormat="1" applyFont="1" applyFill="1" applyBorder="1" applyAlignment="1">
      <alignment vertical="center" wrapText="1"/>
    </xf>
    <xf numFmtId="49" fontId="2" fillId="6" borderId="34" xfId="1" applyNumberFormat="1" applyFont="1" applyFill="1" applyBorder="1" applyAlignment="1">
      <alignment vertical="center"/>
    </xf>
    <xf numFmtId="0" fontId="2" fillId="6" borderId="33" xfId="1" applyFont="1" applyFill="1" applyBorder="1" applyAlignment="1">
      <alignment horizontal="center"/>
    </xf>
    <xf numFmtId="0" fontId="4" fillId="2" borderId="33" xfId="1" applyFont="1" applyFill="1" applyBorder="1"/>
    <xf numFmtId="49" fontId="2" fillId="6" borderId="34" xfId="1" applyNumberFormat="1" applyFont="1" applyFill="1" applyBorder="1"/>
    <xf numFmtId="164" fontId="2" fillId="6" borderId="42" xfId="2" applyFont="1" applyFill="1" applyBorder="1" applyAlignment="1">
      <alignment horizontal="right"/>
    </xf>
    <xf numFmtId="164" fontId="2" fillId="6" borderId="43" xfId="2" applyFont="1" applyFill="1" applyBorder="1" applyAlignment="1">
      <alignment horizontal="right"/>
    </xf>
    <xf numFmtId="164" fontId="2" fillId="10" borderId="44" xfId="2" applyFont="1" applyFill="1" applyBorder="1" applyAlignment="1"/>
    <xf numFmtId="0" fontId="2" fillId="10" borderId="44" xfId="1" applyFont="1" applyFill="1" applyBorder="1" applyAlignment="1">
      <alignment horizontal="center"/>
    </xf>
    <xf numFmtId="0" fontId="4" fillId="10" borderId="44" xfId="1" applyFont="1" applyFill="1" applyBorder="1" applyAlignment="1">
      <alignment vertical="center" wrapText="1"/>
    </xf>
    <xf numFmtId="49" fontId="2" fillId="10" borderId="45" xfId="1" applyNumberFormat="1" applyFont="1" applyFill="1" applyBorder="1" applyAlignment="1">
      <alignment vertical="center" wrapText="1"/>
    </xf>
    <xf numFmtId="164" fontId="2" fillId="6" borderId="46" xfId="2" applyFont="1" applyFill="1" applyBorder="1" applyAlignment="1">
      <alignment horizontal="right"/>
    </xf>
    <xf numFmtId="164" fontId="2" fillId="6" borderId="47" xfId="2" applyFont="1" applyFill="1" applyBorder="1" applyAlignment="1">
      <alignment horizontal="right"/>
    </xf>
    <xf numFmtId="164" fontId="2" fillId="6" borderId="48" xfId="2" applyFont="1" applyFill="1" applyBorder="1" applyAlignment="1">
      <alignment horizontal="right"/>
    </xf>
    <xf numFmtId="164" fontId="2" fillId="7" borderId="47" xfId="2" applyFont="1" applyFill="1" applyBorder="1" applyAlignment="1"/>
    <xf numFmtId="0" fontId="2" fillId="6" borderId="49" xfId="1" applyFont="1" applyFill="1" applyBorder="1" applyAlignment="1">
      <alignment horizontal="center"/>
    </xf>
    <xf numFmtId="0" fontId="2" fillId="6" borderId="40" xfId="1" applyFont="1" applyFill="1" applyBorder="1" applyAlignment="1">
      <alignment horizontal="left"/>
    </xf>
    <xf numFmtId="49" fontId="2" fillId="6" borderId="10" xfId="1" applyNumberFormat="1" applyFont="1" applyFill="1" applyBorder="1" applyAlignment="1">
      <alignment horizontal="left"/>
    </xf>
    <xf numFmtId="164" fontId="2" fillId="7" borderId="50" xfId="2" applyFont="1" applyFill="1" applyBorder="1" applyAlignment="1">
      <alignment horizontal="right"/>
    </xf>
    <xf numFmtId="164" fontId="2" fillId="7" borderId="51" xfId="2" applyFont="1" applyFill="1" applyBorder="1" applyAlignment="1">
      <alignment horizontal="right"/>
    </xf>
    <xf numFmtId="164" fontId="2" fillId="7" borderId="52" xfId="2" applyFont="1" applyFill="1" applyBorder="1" applyAlignment="1">
      <alignment horizontal="right"/>
    </xf>
    <xf numFmtId="164" fontId="2" fillId="7" borderId="51" xfId="2" applyFont="1" applyFill="1" applyBorder="1" applyAlignment="1"/>
    <xf numFmtId="0" fontId="2" fillId="7" borderId="53" xfId="1" applyFont="1" applyFill="1" applyBorder="1" applyAlignment="1">
      <alignment horizontal="center"/>
    </xf>
    <xf numFmtId="0" fontId="2" fillId="7" borderId="54" xfId="1" applyFont="1" applyFill="1" applyBorder="1" applyAlignment="1">
      <alignment horizontal="center"/>
    </xf>
    <xf numFmtId="49" fontId="2" fillId="7" borderId="13" xfId="1" applyNumberFormat="1" applyFont="1" applyFill="1" applyBorder="1" applyAlignment="1">
      <alignment horizontal="left"/>
    </xf>
    <xf numFmtId="164" fontId="2" fillId="7" borderId="55" xfId="2" applyFont="1" applyFill="1" applyBorder="1" applyAlignment="1"/>
    <xf numFmtId="164" fontId="2" fillId="7" borderId="22" xfId="2" applyFont="1" applyFill="1" applyBorder="1" applyAlignment="1"/>
    <xf numFmtId="164" fontId="2" fillId="7" borderId="22" xfId="2" applyFont="1" applyFill="1" applyBorder="1" applyAlignment="1">
      <alignment horizontal="right"/>
    </xf>
    <xf numFmtId="164" fontId="2" fillId="5" borderId="56" xfId="2" applyFont="1" applyFill="1" applyBorder="1" applyAlignment="1">
      <alignment horizontal="right"/>
    </xf>
    <xf numFmtId="0" fontId="2" fillId="7" borderId="22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49" fontId="2" fillId="7" borderId="7" xfId="1" applyNumberFormat="1" applyFont="1" applyFill="1" applyBorder="1" applyAlignment="1">
      <alignment horizontal="left"/>
    </xf>
    <xf numFmtId="164" fontId="2" fillId="0" borderId="5" xfId="2" applyFont="1" applyFill="1" applyBorder="1" applyAlignment="1">
      <alignment horizontal="right"/>
    </xf>
    <xf numFmtId="164" fontId="2" fillId="0" borderId="6" xfId="2" applyFont="1" applyFill="1" applyBorder="1" applyAlignment="1">
      <alignment horizontal="right"/>
    </xf>
    <xf numFmtId="164" fontId="2" fillId="2" borderId="1" xfId="2" applyFont="1" applyFill="1" applyBorder="1" applyAlignment="1">
      <alignment horizontal="right" vertical="center" wrapText="1"/>
    </xf>
    <xf numFmtId="164" fontId="2" fillId="0" borderId="24" xfId="2" applyFont="1" applyFill="1" applyBorder="1" applyAlignment="1">
      <alignment horizontal="right"/>
    </xf>
    <xf numFmtId="164" fontId="2" fillId="0" borderId="6" xfId="2" applyFont="1" applyFill="1" applyBorder="1" applyAlignment="1"/>
    <xf numFmtId="49" fontId="2" fillId="0" borderId="6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vertical="center" wrapText="1"/>
    </xf>
    <xf numFmtId="49" fontId="2" fillId="0" borderId="7" xfId="1" applyNumberFormat="1" applyFont="1" applyFill="1" applyBorder="1" applyAlignment="1">
      <alignment vertical="center" wrapText="1"/>
    </xf>
    <xf numFmtId="164" fontId="2" fillId="5" borderId="40" xfId="2" applyFont="1" applyFill="1" applyBorder="1" applyAlignment="1">
      <alignment horizontal="right" wrapText="1"/>
    </xf>
    <xf numFmtId="49" fontId="2" fillId="0" borderId="9" xfId="1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vertical="center" wrapText="1"/>
    </xf>
    <xf numFmtId="49" fontId="2" fillId="0" borderId="10" xfId="1" applyNumberFormat="1" applyFont="1" applyFill="1" applyBorder="1" applyAlignment="1">
      <alignment vertical="center" wrapText="1"/>
    </xf>
    <xf numFmtId="164" fontId="2" fillId="2" borderId="14" xfId="2" applyFont="1" applyFill="1" applyBorder="1" applyAlignment="1">
      <alignment horizontal="right" vertical="center" wrapText="1"/>
    </xf>
    <xf numFmtId="164" fontId="2" fillId="2" borderId="16" xfId="2" applyFont="1" applyFill="1" applyBorder="1" applyAlignment="1">
      <alignment horizontal="right" vertical="center" wrapText="1"/>
    </xf>
    <xf numFmtId="164" fontId="2" fillId="2" borderId="57" xfId="2" applyFont="1" applyFill="1" applyBorder="1" applyAlignment="1">
      <alignment horizontal="right" vertical="center" wrapText="1"/>
    </xf>
    <xf numFmtId="164" fontId="2" fillId="2" borderId="12" xfId="2" applyFont="1" applyFill="1" applyBorder="1" applyAlignment="1">
      <alignment vertical="center" wrapText="1"/>
    </xf>
    <xf numFmtId="49" fontId="2" fillId="6" borderId="58" xfId="1" applyNumberFormat="1" applyFont="1" applyFill="1" applyBorder="1" applyAlignment="1">
      <alignment horizontal="center" vertical="center" wrapText="1"/>
    </xf>
    <xf numFmtId="0" fontId="4" fillId="2" borderId="54" xfId="1" applyFont="1" applyFill="1" applyBorder="1" applyAlignment="1">
      <alignment vertical="center" wrapText="1"/>
    </xf>
    <xf numFmtId="49" fontId="2" fillId="2" borderId="29" xfId="1" applyNumberFormat="1" applyFont="1" applyFill="1" applyBorder="1" applyAlignment="1">
      <alignment horizontal="center" vertical="center" wrapText="1"/>
    </xf>
    <xf numFmtId="164" fontId="2" fillId="2" borderId="18" xfId="2" applyFont="1" applyFill="1" applyBorder="1" applyAlignment="1">
      <alignment horizontal="right" vertical="center" wrapText="1"/>
    </xf>
    <xf numFmtId="164" fontId="2" fillId="2" borderId="59" xfId="2" applyFont="1" applyFill="1" applyBorder="1" applyAlignment="1">
      <alignment horizontal="right" vertical="center" wrapText="1"/>
    </xf>
    <xf numFmtId="164" fontId="2" fillId="2" borderId="9" xfId="2" applyFont="1" applyFill="1" applyBorder="1" applyAlignment="1">
      <alignment vertical="center" wrapText="1"/>
    </xf>
    <xf numFmtId="49" fontId="2" fillId="6" borderId="60" xfId="1" applyNumberFormat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164" fontId="2" fillId="2" borderId="61" xfId="2" applyFont="1" applyFill="1" applyBorder="1" applyAlignment="1">
      <alignment horizontal="right" vertical="center" wrapText="1"/>
    </xf>
    <xf numFmtId="164" fontId="2" fillId="2" borderId="4" xfId="2" applyFont="1" applyFill="1" applyBorder="1" applyAlignment="1">
      <alignment horizontal="right" vertical="center" wrapText="1"/>
    </xf>
    <xf numFmtId="164" fontId="2" fillId="2" borderId="62" xfId="2" applyFont="1" applyFill="1" applyBorder="1" applyAlignment="1">
      <alignment horizontal="right" vertical="center" wrapText="1"/>
    </xf>
    <xf numFmtId="164" fontId="2" fillId="2" borderId="6" xfId="2" applyFont="1" applyFill="1" applyBorder="1" applyAlignment="1">
      <alignment vertical="center" wrapText="1"/>
    </xf>
    <xf numFmtId="49" fontId="2" fillId="6" borderId="63" xfId="1" applyNumberFormat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vertical="center" wrapText="1"/>
    </xf>
    <xf numFmtId="49" fontId="2" fillId="2" borderId="29" xfId="1" applyNumberFormat="1" applyFont="1" applyFill="1" applyBorder="1" applyAlignment="1">
      <alignment horizontal="center" vertical="center" wrapText="1"/>
    </xf>
    <xf numFmtId="164" fontId="2" fillId="6" borderId="1" xfId="2" applyFont="1" applyFill="1" applyBorder="1" applyAlignment="1">
      <alignment horizontal="right" vertical="center" wrapText="1"/>
    </xf>
    <xf numFmtId="164" fontId="2" fillId="6" borderId="1" xfId="2" applyFont="1" applyFill="1" applyBorder="1" applyAlignment="1">
      <alignment vertical="center" wrapText="1"/>
    </xf>
    <xf numFmtId="49" fontId="2" fillId="6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 wrapText="1"/>
    </xf>
    <xf numFmtId="164" fontId="2" fillId="6" borderId="64" xfId="2" applyFont="1" applyFill="1" applyBorder="1" applyAlignment="1">
      <alignment horizontal="right"/>
    </xf>
    <xf numFmtId="164" fontId="4" fillId="6" borderId="58" xfId="2" applyFont="1" applyFill="1" applyBorder="1" applyAlignment="1">
      <alignment horizontal="right" vertical="center" wrapText="1"/>
    </xf>
    <xf numFmtId="164" fontId="2" fillId="6" borderId="65" xfId="2" applyFont="1" applyFill="1" applyBorder="1" applyAlignment="1">
      <alignment horizontal="right"/>
    </xf>
    <xf numFmtId="0" fontId="2" fillId="6" borderId="28" xfId="1" applyFont="1" applyFill="1" applyBorder="1" applyAlignment="1">
      <alignment horizontal="center"/>
    </xf>
    <xf numFmtId="0" fontId="4" fillId="6" borderId="28" xfId="1" applyFont="1" applyFill="1" applyBorder="1"/>
    <xf numFmtId="49" fontId="2" fillId="6" borderId="66" xfId="1" applyNumberFormat="1" applyFont="1" applyFill="1" applyBorder="1"/>
    <xf numFmtId="0" fontId="4" fillId="6" borderId="33" xfId="1" applyFont="1" applyFill="1" applyBorder="1"/>
    <xf numFmtId="164" fontId="2" fillId="5" borderId="30" xfId="2" applyFont="1" applyFill="1" applyBorder="1" applyAlignment="1">
      <alignment horizontal="right"/>
    </xf>
    <xf numFmtId="4" fontId="1" fillId="0" borderId="0" xfId="1" applyNumberFormat="1"/>
    <xf numFmtId="164" fontId="4" fillId="6" borderId="26" xfId="2" applyFont="1" applyFill="1" applyBorder="1" applyAlignment="1">
      <alignment horizontal="right" vertical="center" wrapText="1"/>
    </xf>
    <xf numFmtId="164" fontId="2" fillId="5" borderId="43" xfId="2" applyFont="1" applyFill="1" applyBorder="1" applyAlignment="1">
      <alignment horizontal="right" wrapText="1"/>
    </xf>
    <xf numFmtId="164" fontId="2" fillId="6" borderId="44" xfId="2" applyFont="1" applyFill="1" applyBorder="1" applyAlignment="1"/>
    <xf numFmtId="0" fontId="2" fillId="6" borderId="44" xfId="1" applyFont="1" applyFill="1" applyBorder="1" applyAlignment="1">
      <alignment horizontal="center"/>
    </xf>
    <xf numFmtId="0" fontId="4" fillId="6" borderId="44" xfId="1" applyFont="1" applyFill="1" applyBorder="1"/>
    <xf numFmtId="49" fontId="2" fillId="6" borderId="45" xfId="1" applyNumberFormat="1" applyFont="1" applyFill="1" applyBorder="1"/>
    <xf numFmtId="164" fontId="2" fillId="7" borderId="8" xfId="2" applyFont="1" applyFill="1" applyBorder="1" applyAlignment="1"/>
    <xf numFmtId="164" fontId="4" fillId="7" borderId="60" xfId="2" applyFont="1" applyFill="1" applyBorder="1" applyAlignment="1">
      <alignment horizontal="right" vertical="center" wrapText="1"/>
    </xf>
    <xf numFmtId="164" fontId="2" fillId="7" borderId="41" xfId="2" applyFont="1" applyFill="1" applyBorder="1" applyAlignment="1">
      <alignment horizontal="right"/>
    </xf>
    <xf numFmtId="0" fontId="2" fillId="7" borderId="67" xfId="1" applyFont="1" applyFill="1" applyBorder="1" applyAlignment="1">
      <alignment horizontal="center"/>
    </xf>
    <xf numFmtId="0" fontId="2" fillId="7" borderId="60" xfId="1" applyFont="1" applyFill="1" applyBorder="1" applyAlignment="1">
      <alignment horizontal="center" vertical="center" wrapText="1"/>
    </xf>
    <xf numFmtId="49" fontId="2" fillId="7" borderId="41" xfId="1" applyNumberFormat="1" applyFont="1" applyFill="1" applyBorder="1"/>
    <xf numFmtId="164" fontId="2" fillId="6" borderId="68" xfId="2" applyFont="1" applyFill="1" applyBorder="1" applyAlignment="1">
      <alignment horizontal="right"/>
    </xf>
    <xf numFmtId="164" fontId="2" fillId="6" borderId="69" xfId="2" applyFont="1" applyFill="1" applyBorder="1" applyAlignment="1">
      <alignment horizontal="right"/>
    </xf>
    <xf numFmtId="164" fontId="2" fillId="6" borderId="70" xfId="2" applyFont="1" applyFill="1" applyBorder="1" applyAlignment="1"/>
    <xf numFmtId="164" fontId="2" fillId="6" borderId="71" xfId="2" applyFont="1" applyFill="1" applyBorder="1" applyAlignment="1"/>
    <xf numFmtId="0" fontId="2" fillId="6" borderId="22" xfId="1" applyFont="1" applyFill="1" applyBorder="1" applyAlignment="1">
      <alignment horizontal="center"/>
    </xf>
    <xf numFmtId="0" fontId="4" fillId="6" borderId="22" xfId="1" applyFont="1" applyFill="1" applyBorder="1" applyAlignment="1">
      <alignment horizontal="left" vertical="center" wrapText="1"/>
    </xf>
    <xf numFmtId="49" fontId="2" fillId="6" borderId="29" xfId="1" applyNumberFormat="1" applyFont="1" applyFill="1" applyBorder="1"/>
    <xf numFmtId="0" fontId="4" fillId="6" borderId="33" xfId="1" applyFont="1" applyFill="1" applyBorder="1" applyAlignment="1">
      <alignment horizontal="left" vertical="center" wrapText="1"/>
    </xf>
    <xf numFmtId="164" fontId="2" fillId="6" borderId="37" xfId="2" applyFont="1" applyFill="1" applyBorder="1" applyAlignment="1"/>
    <xf numFmtId="164" fontId="2" fillId="6" borderId="38" xfId="2" applyFont="1" applyFill="1" applyBorder="1" applyAlignment="1"/>
    <xf numFmtId="0" fontId="2" fillId="6" borderId="38" xfId="1" applyFont="1" applyFill="1" applyBorder="1" applyAlignment="1">
      <alignment horizontal="center"/>
    </xf>
    <xf numFmtId="0" fontId="4" fillId="6" borderId="38" xfId="1" applyFont="1" applyFill="1" applyBorder="1" applyAlignment="1">
      <alignment horizontal="left" vertical="center" wrapText="1"/>
    </xf>
    <xf numFmtId="49" fontId="2" fillId="6" borderId="39" xfId="1" applyNumberFormat="1" applyFont="1" applyFill="1" applyBorder="1"/>
    <xf numFmtId="164" fontId="4" fillId="7" borderId="41" xfId="2" applyFont="1" applyFill="1" applyBorder="1" applyAlignment="1">
      <alignment horizontal="right" vertical="center" wrapText="1"/>
    </xf>
    <xf numFmtId="164" fontId="4" fillId="7" borderId="9" xfId="2" applyFont="1" applyFill="1" applyBorder="1" applyAlignment="1">
      <alignment vertical="center" wrapText="1"/>
    </xf>
    <xf numFmtId="0" fontId="4" fillId="7" borderId="67" xfId="1" applyFont="1" applyFill="1" applyBorder="1" applyAlignment="1">
      <alignment horizontal="center" vertical="center" wrapText="1"/>
    </xf>
    <xf numFmtId="49" fontId="2" fillId="7" borderId="41" xfId="1" applyNumberFormat="1" applyFont="1" applyFill="1" applyBorder="1" applyAlignment="1">
      <alignment horizontal="left" vertical="center"/>
    </xf>
    <xf numFmtId="164" fontId="4" fillId="6" borderId="72" xfId="2" applyFont="1" applyFill="1" applyBorder="1" applyAlignment="1">
      <alignment horizontal="right" vertical="center" wrapText="1"/>
    </xf>
    <xf numFmtId="164" fontId="4" fillId="6" borderId="22" xfId="2" applyFont="1" applyFill="1" applyBorder="1" applyAlignment="1">
      <alignment vertical="center" wrapText="1"/>
    </xf>
    <xf numFmtId="0" fontId="4" fillId="6" borderId="22" xfId="1" applyFont="1" applyFill="1" applyBorder="1" applyAlignment="1">
      <alignment horizontal="center" vertical="center" wrapText="1"/>
    </xf>
    <xf numFmtId="49" fontId="2" fillId="6" borderId="17" xfId="1" applyNumberFormat="1" applyFont="1" applyFill="1" applyBorder="1" applyAlignment="1">
      <alignment vertical="center" wrapText="1"/>
    </xf>
    <xf numFmtId="164" fontId="4" fillId="7" borderId="8" xfId="2" applyFont="1" applyFill="1" applyBorder="1" applyAlignment="1">
      <alignment vertical="center" wrapText="1"/>
    </xf>
    <xf numFmtId="164" fontId="4" fillId="7" borderId="9" xfId="2" applyFont="1" applyFill="1" applyBorder="1" applyAlignment="1">
      <alignment horizontal="right" vertical="center" wrapText="1"/>
    </xf>
    <xf numFmtId="164" fontId="4" fillId="7" borderId="40" xfId="2" applyFont="1" applyFill="1" applyBorder="1" applyAlignment="1">
      <alignment vertical="center" wrapText="1"/>
    </xf>
    <xf numFmtId="0" fontId="2" fillId="7" borderId="9" xfId="1" applyFont="1" applyFill="1" applyBorder="1" applyAlignment="1">
      <alignment horizontal="center" vertical="center" wrapText="1"/>
    </xf>
    <xf numFmtId="49" fontId="2" fillId="7" borderId="10" xfId="1" applyNumberFormat="1" applyFont="1" applyFill="1" applyBorder="1" applyAlignment="1">
      <alignment horizontal="left"/>
    </xf>
    <xf numFmtId="164" fontId="2" fillId="6" borderId="73" xfId="2" applyFont="1" applyFill="1" applyBorder="1" applyAlignment="1">
      <alignment horizontal="right"/>
    </xf>
    <xf numFmtId="164" fontId="2" fillId="6" borderId="73" xfId="2" applyFont="1" applyFill="1" applyBorder="1" applyAlignment="1"/>
    <xf numFmtId="164" fontId="2" fillId="6" borderId="74" xfId="2" applyFont="1" applyFill="1" applyBorder="1" applyAlignment="1">
      <alignment horizontal="right"/>
    </xf>
    <xf numFmtId="164" fontId="2" fillId="6" borderId="22" xfId="2" applyFont="1" applyFill="1" applyBorder="1" applyAlignment="1">
      <alignment vertical="center" wrapText="1"/>
    </xf>
    <xf numFmtId="164" fontId="4" fillId="7" borderId="5" xfId="2" applyFont="1" applyFill="1" applyBorder="1" applyAlignment="1">
      <alignment vertical="center" wrapText="1"/>
    </xf>
    <xf numFmtId="164" fontId="4" fillId="7" borderId="6" xfId="2" applyFont="1" applyFill="1" applyBorder="1" applyAlignment="1">
      <alignment vertical="center" wrapText="1"/>
    </xf>
    <xf numFmtId="164" fontId="4" fillId="7" borderId="6" xfId="2" applyFont="1" applyFill="1" applyBorder="1" applyAlignment="1">
      <alignment horizontal="right" vertical="center" wrapText="1"/>
    </xf>
    <xf numFmtId="164" fontId="4" fillId="5" borderId="24" xfId="2" applyFont="1" applyFill="1" applyBorder="1" applyAlignment="1">
      <alignment vertical="center" wrapText="1"/>
    </xf>
    <xf numFmtId="0" fontId="2" fillId="7" borderId="47" xfId="1" applyFont="1" applyFill="1" applyBorder="1" applyAlignment="1">
      <alignment horizontal="center" vertical="center" wrapText="1"/>
    </xf>
    <xf numFmtId="49" fontId="2" fillId="7" borderId="49" xfId="1" applyNumberFormat="1" applyFont="1" applyFill="1" applyBorder="1" applyAlignment="1">
      <alignment horizontal="left"/>
    </xf>
    <xf numFmtId="164" fontId="0" fillId="0" borderId="68" xfId="2" applyFont="1" applyFill="1" applyBorder="1" applyAlignment="1">
      <alignment horizontal="right"/>
    </xf>
    <xf numFmtId="164" fontId="0" fillId="0" borderId="25" xfId="2" applyFont="1" applyFill="1" applyBorder="1" applyAlignment="1">
      <alignment horizontal="right"/>
    </xf>
    <xf numFmtId="164" fontId="3" fillId="0" borderId="4" xfId="2" applyFont="1" applyFill="1" applyBorder="1" applyAlignment="1">
      <alignment vertical="center" wrapText="1"/>
    </xf>
    <xf numFmtId="164" fontId="3" fillId="0" borderId="1" xfId="2" applyFont="1" applyFill="1" applyBorder="1" applyAlignment="1">
      <alignment vertical="center" wrapText="1"/>
    </xf>
    <xf numFmtId="0" fontId="1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" fillId="0" borderId="25" xfId="1" applyBorder="1"/>
    <xf numFmtId="164" fontId="4" fillId="6" borderId="75" xfId="2" applyFont="1" applyFill="1" applyBorder="1" applyAlignment="1">
      <alignment vertical="center" wrapText="1"/>
    </xf>
    <xf numFmtId="164" fontId="4" fillId="6" borderId="44" xfId="2" applyFont="1" applyFill="1" applyBorder="1" applyAlignment="1">
      <alignment vertical="center" wrapText="1"/>
    </xf>
    <xf numFmtId="164" fontId="4" fillId="6" borderId="44" xfId="2" applyFont="1" applyFill="1" applyBorder="1" applyAlignment="1">
      <alignment horizontal="right" vertical="center" wrapText="1"/>
    </xf>
    <xf numFmtId="164" fontId="0" fillId="0" borderId="21" xfId="2" applyFont="1" applyFill="1" applyBorder="1" applyAlignment="1">
      <alignment horizontal="right"/>
    </xf>
    <xf numFmtId="0" fontId="2" fillId="6" borderId="44" xfId="1" applyFont="1" applyFill="1" applyBorder="1" applyAlignment="1">
      <alignment horizontal="center" vertical="center" wrapText="1"/>
    </xf>
    <xf numFmtId="0" fontId="4" fillId="6" borderId="44" xfId="1" applyFont="1" applyFill="1" applyBorder="1" applyAlignment="1">
      <alignment horizontal="left" vertical="center" wrapText="1"/>
    </xf>
    <xf numFmtId="164" fontId="0" fillId="0" borderId="18" xfId="2" applyFont="1" applyFill="1" applyBorder="1" applyAlignment="1">
      <alignment horizontal="right"/>
    </xf>
    <xf numFmtId="164" fontId="0" fillId="0" borderId="1" xfId="2" applyFont="1" applyFill="1" applyBorder="1" applyAlignment="1">
      <alignment horizontal="right"/>
    </xf>
    <xf numFmtId="49" fontId="1" fillId="0" borderId="29" xfId="1" applyNumberFormat="1" applyFill="1" applyBorder="1"/>
    <xf numFmtId="164" fontId="0" fillId="0" borderId="14" xfId="2" applyFont="1" applyFill="1" applyBorder="1" applyAlignment="1">
      <alignment horizontal="right"/>
    </xf>
    <xf numFmtId="164" fontId="0" fillId="0" borderId="16" xfId="2" applyFont="1" applyFill="1" applyBorder="1" applyAlignment="1">
      <alignment horizontal="right"/>
    </xf>
    <xf numFmtId="164" fontId="0" fillId="0" borderId="15" xfId="2" applyFont="1" applyFill="1" applyBorder="1" applyAlignment="1">
      <alignment horizontal="right"/>
    </xf>
    <xf numFmtId="164" fontId="3" fillId="0" borderId="15" xfId="2" applyFont="1" applyFill="1" applyBorder="1" applyAlignment="1">
      <alignment vertical="center" wrapText="1"/>
    </xf>
    <xf numFmtId="164" fontId="3" fillId="0" borderId="22" xfId="2" applyFont="1" applyFill="1" applyBorder="1" applyAlignment="1">
      <alignment vertical="center" wrapText="1"/>
    </xf>
    <xf numFmtId="0" fontId="1" fillId="0" borderId="16" xfId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 wrapText="1"/>
    </xf>
    <xf numFmtId="49" fontId="1" fillId="0" borderId="17" xfId="1" applyNumberFormat="1" applyFill="1" applyBorder="1"/>
    <xf numFmtId="164" fontId="0" fillId="0" borderId="3" xfId="2" applyFont="1" applyFill="1" applyBorder="1" applyAlignment="1">
      <alignment horizontal="right"/>
    </xf>
    <xf numFmtId="164" fontId="3" fillId="0" borderId="3" xfId="2" applyFont="1" applyFill="1" applyBorder="1" applyAlignment="1">
      <alignment vertical="center" wrapText="1"/>
    </xf>
    <xf numFmtId="164" fontId="0" fillId="0" borderId="69" xfId="2" applyFont="1" applyFill="1" applyBorder="1" applyAlignment="1">
      <alignment horizontal="right"/>
    </xf>
    <xf numFmtId="0" fontId="1" fillId="0" borderId="4" xfId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49" fontId="1" fillId="0" borderId="23" xfId="1" applyNumberFormat="1" applyFill="1" applyBorder="1"/>
    <xf numFmtId="164" fontId="4" fillId="6" borderId="32" xfId="2" applyFont="1" applyFill="1" applyBorder="1" applyAlignment="1">
      <alignment vertical="center" wrapText="1"/>
    </xf>
    <xf numFmtId="164" fontId="4" fillId="6" borderId="33" xfId="2" applyFont="1" applyFill="1" applyBorder="1" applyAlignment="1">
      <alignment vertical="center" wrapText="1"/>
    </xf>
    <xf numFmtId="164" fontId="4" fillId="6" borderId="33" xfId="2" applyFont="1" applyFill="1" applyBorder="1" applyAlignment="1">
      <alignment horizontal="right" vertical="center" wrapText="1"/>
    </xf>
    <xf numFmtId="164" fontId="4" fillId="6" borderId="76" xfId="2" applyFont="1" applyFill="1" applyBorder="1" applyAlignment="1">
      <alignment vertical="center" wrapText="1"/>
    </xf>
    <xf numFmtId="0" fontId="2" fillId="6" borderId="33" xfId="1" applyFont="1" applyFill="1" applyBorder="1" applyAlignment="1">
      <alignment horizontal="center" vertical="center" wrapText="1"/>
    </xf>
    <xf numFmtId="164" fontId="2" fillId="6" borderId="31" xfId="2" applyFont="1" applyFill="1" applyBorder="1" applyAlignment="1">
      <alignment horizontal="right" vertical="center"/>
    </xf>
    <xf numFmtId="164" fontId="4" fillId="6" borderId="30" xfId="2" applyFont="1" applyFill="1" applyBorder="1" applyAlignment="1">
      <alignment horizontal="right" vertical="center" wrapText="1"/>
    </xf>
    <xf numFmtId="164" fontId="2" fillId="6" borderId="33" xfId="2" applyFont="1" applyFill="1" applyBorder="1" applyAlignment="1">
      <alignment horizontal="right" vertical="center" wrapText="1"/>
    </xf>
    <xf numFmtId="0" fontId="7" fillId="6" borderId="33" xfId="1" applyFont="1" applyFill="1" applyBorder="1" applyAlignment="1">
      <alignment horizontal="left" vertical="center" wrapText="1"/>
    </xf>
    <xf numFmtId="164" fontId="0" fillId="0" borderId="77" xfId="2" applyFont="1" applyBorder="1" applyAlignment="1">
      <alignment horizontal="right" vertical="center"/>
    </xf>
    <xf numFmtId="164" fontId="0" fillId="0" borderId="77" xfId="2" applyFont="1" applyBorder="1" applyAlignment="1">
      <alignment vertical="center"/>
    </xf>
    <xf numFmtId="164" fontId="0" fillId="0" borderId="78" xfId="2" applyFont="1" applyBorder="1" applyAlignment="1">
      <alignment horizontal="right"/>
    </xf>
    <xf numFmtId="164" fontId="3" fillId="0" borderId="79" xfId="2" applyFont="1" applyBorder="1" applyAlignment="1">
      <alignment vertical="center" wrapText="1"/>
    </xf>
    <xf numFmtId="0" fontId="1" fillId="0" borderId="79" xfId="1" applyBorder="1" applyAlignment="1">
      <alignment horizontal="center" vertical="center" wrapText="1"/>
    </xf>
    <xf numFmtId="0" fontId="3" fillId="0" borderId="79" xfId="1" applyFont="1" applyBorder="1" applyAlignment="1">
      <alignment horizontal="left" vertical="center" wrapText="1"/>
    </xf>
    <xf numFmtId="49" fontId="1" fillId="0" borderId="80" xfId="1" applyNumberFormat="1" applyBorder="1" applyAlignment="1">
      <alignment vertical="center" wrapText="1"/>
    </xf>
    <xf numFmtId="164" fontId="0" fillId="0" borderId="68" xfId="2" applyFont="1" applyBorder="1" applyAlignment="1">
      <alignment horizontal="right" vertical="center"/>
    </xf>
    <xf numFmtId="164" fontId="0" fillId="0" borderId="68" xfId="2" applyFont="1" applyBorder="1" applyAlignment="1">
      <alignment vertical="center"/>
    </xf>
    <xf numFmtId="164" fontId="0" fillId="0" borderId="69" xfId="2" applyFont="1" applyBorder="1" applyAlignment="1">
      <alignment horizontal="right"/>
    </xf>
    <xf numFmtId="164" fontId="0" fillId="0" borderId="4" xfId="2" applyFont="1" applyBorder="1" applyAlignment="1">
      <alignment vertical="center" wrapText="1"/>
    </xf>
    <xf numFmtId="0" fontId="1" fillId="0" borderId="4" xfId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49" fontId="1" fillId="0" borderId="23" xfId="1" applyNumberFormat="1" applyBorder="1" applyAlignment="1">
      <alignment vertical="center" wrapText="1"/>
    </xf>
    <xf numFmtId="164" fontId="2" fillId="6" borderId="32" xfId="2" applyFont="1" applyFill="1" applyBorder="1" applyAlignment="1">
      <alignment vertical="center" wrapText="1"/>
    </xf>
    <xf numFmtId="164" fontId="2" fillId="6" borderId="33" xfId="2" applyFont="1" applyFill="1" applyBorder="1" applyAlignment="1">
      <alignment vertical="center" wrapText="1"/>
    </xf>
    <xf numFmtId="164" fontId="2" fillId="6" borderId="76" xfId="2" applyFont="1" applyFill="1" applyBorder="1" applyAlignment="1">
      <alignment vertical="center" wrapText="1"/>
    </xf>
    <xf numFmtId="164" fontId="0" fillId="0" borderId="68" xfId="2" applyFont="1" applyBorder="1" applyAlignment="1">
      <alignment horizontal="right"/>
    </xf>
    <xf numFmtId="164" fontId="0" fillId="0" borderId="81" xfId="2" applyFont="1" applyBorder="1" applyAlignment="1">
      <alignment horizontal="right"/>
    </xf>
    <xf numFmtId="164" fontId="0" fillId="0" borderId="82" xfId="2" applyFont="1" applyBorder="1" applyAlignment="1">
      <alignment horizontal="right"/>
    </xf>
    <xf numFmtId="164" fontId="0" fillId="0" borderId="83" xfId="2" applyFont="1" applyBorder="1" applyAlignment="1">
      <alignment vertical="center" wrapText="1"/>
    </xf>
    <xf numFmtId="164" fontId="0" fillId="0" borderId="22" xfId="2" applyFont="1" applyBorder="1" applyAlignment="1">
      <alignment vertical="center" wrapText="1"/>
    </xf>
    <xf numFmtId="0" fontId="3" fillId="0" borderId="44" xfId="1" applyFont="1" applyBorder="1" applyAlignment="1">
      <alignment horizontal="left" vertical="center" wrapText="1"/>
    </xf>
    <xf numFmtId="164" fontId="0" fillId="0" borderId="1" xfId="2" applyFont="1" applyBorder="1" applyAlignment="1">
      <alignment vertical="center" wrapText="1"/>
    </xf>
    <xf numFmtId="164" fontId="0" fillId="0" borderId="74" xfId="2" applyFont="1" applyBorder="1" applyAlignment="1">
      <alignment horizontal="right"/>
    </xf>
    <xf numFmtId="164" fontId="0" fillId="0" borderId="21" xfId="2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49" fontId="1" fillId="0" borderId="19" xfId="1" applyNumberFormat="1" applyBorder="1" applyAlignment="1">
      <alignment vertical="center" wrapText="1"/>
    </xf>
    <xf numFmtId="164" fontId="8" fillId="0" borderId="74" xfId="2" applyFont="1" applyBorder="1" applyAlignment="1">
      <alignment horizontal="right"/>
    </xf>
    <xf numFmtId="164" fontId="9" fillId="5" borderId="69" xfId="2" applyFont="1" applyFill="1" applyBorder="1" applyAlignment="1">
      <alignment wrapText="1"/>
    </xf>
    <xf numFmtId="164" fontId="0" fillId="0" borderId="68" xfId="2" applyFont="1" applyBorder="1" applyAlignment="1">
      <alignment horizontal="right" wrapText="1"/>
    </xf>
    <xf numFmtId="0" fontId="2" fillId="5" borderId="84" xfId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left" vertical="center" wrapText="1"/>
    </xf>
    <xf numFmtId="0" fontId="2" fillId="5" borderId="72" xfId="1" applyFont="1" applyFill="1" applyBorder="1" applyAlignment="1">
      <alignment horizontal="center" vertical="center" wrapText="1"/>
    </xf>
    <xf numFmtId="164" fontId="9" fillId="5" borderId="65" xfId="2" applyFont="1" applyFill="1" applyBorder="1" applyAlignment="1">
      <alignment wrapText="1"/>
    </xf>
    <xf numFmtId="164" fontId="0" fillId="6" borderId="75" xfId="2" applyFont="1" applyFill="1" applyBorder="1" applyAlignment="1">
      <alignment vertical="center" wrapText="1"/>
    </xf>
    <xf numFmtId="164" fontId="0" fillId="6" borderId="44" xfId="2" applyFont="1" applyFill="1" applyBorder="1" applyAlignment="1">
      <alignment vertical="center" wrapText="1"/>
    </xf>
    <xf numFmtId="164" fontId="0" fillId="6" borderId="44" xfId="2" applyFont="1" applyFill="1" applyBorder="1" applyAlignment="1">
      <alignment horizontal="right" vertical="center" wrapText="1"/>
    </xf>
    <xf numFmtId="164" fontId="0" fillId="6" borderId="85" xfId="2" applyFont="1" applyFill="1" applyBorder="1" applyAlignment="1">
      <alignment vertical="center" wrapText="1"/>
    </xf>
    <xf numFmtId="164" fontId="0" fillId="6" borderId="38" xfId="2" applyFont="1" applyFill="1" applyBorder="1" applyAlignment="1">
      <alignment vertical="center" wrapText="1"/>
    </xf>
    <xf numFmtId="0" fontId="1" fillId="6" borderId="38" xfId="1" applyFill="1" applyBorder="1" applyAlignment="1">
      <alignment horizontal="center" vertical="center" wrapText="1"/>
    </xf>
    <xf numFmtId="0" fontId="3" fillId="6" borderId="38" xfId="1" applyFont="1" applyFill="1" applyBorder="1" applyAlignment="1">
      <alignment horizontal="left" vertical="center" wrapText="1"/>
    </xf>
    <xf numFmtId="49" fontId="1" fillId="6" borderId="39" xfId="1" applyNumberFormat="1" applyFill="1" applyBorder="1" applyAlignment="1">
      <alignment vertical="center" wrapText="1"/>
    </xf>
    <xf numFmtId="164" fontId="2" fillId="7" borderId="5" xfId="2" applyFont="1" applyFill="1" applyBorder="1" applyAlignment="1">
      <alignment vertical="center" wrapText="1"/>
    </xf>
    <xf numFmtId="164" fontId="2" fillId="7" borderId="6" xfId="2" applyFont="1" applyFill="1" applyBorder="1" applyAlignment="1">
      <alignment vertical="center" wrapText="1"/>
    </xf>
    <xf numFmtId="164" fontId="2" fillId="7" borderId="6" xfId="2" applyFont="1" applyFill="1" applyBorder="1" applyAlignment="1">
      <alignment horizontal="right" vertical="center" wrapText="1"/>
    </xf>
    <xf numFmtId="164" fontId="2" fillId="7" borderId="40" xfId="2" applyFont="1" applyFill="1" applyBorder="1" applyAlignment="1">
      <alignment vertical="center" wrapText="1"/>
    </xf>
    <xf numFmtId="164" fontId="2" fillId="7" borderId="9" xfId="2" applyFont="1" applyFill="1" applyBorder="1" applyAlignment="1">
      <alignment vertical="center" wrapText="1"/>
    </xf>
    <xf numFmtId="49" fontId="2" fillId="7" borderId="10" xfId="1" applyNumberFormat="1" applyFont="1" applyFill="1" applyBorder="1" applyAlignment="1">
      <alignment horizontal="left" vertical="center" wrapText="1"/>
    </xf>
    <xf numFmtId="164" fontId="0" fillId="0" borderId="60" xfId="2" applyFont="1" applyBorder="1" applyAlignment="1">
      <alignment horizontal="center" vertical="center" wrapText="1"/>
    </xf>
    <xf numFmtId="164" fontId="0" fillId="0" borderId="60" xfId="2" applyFont="1" applyBorder="1" applyAlignment="1">
      <alignment horizontal="right" vertical="center" wrapText="1"/>
    </xf>
    <xf numFmtId="164" fontId="0" fillId="0" borderId="86" xfId="2" applyFont="1" applyBorder="1" applyAlignment="1">
      <alignment horizontal="right" vertical="center" wrapText="1"/>
    </xf>
    <xf numFmtId="164" fontId="0" fillId="0" borderId="16" xfId="2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 wrapText="1"/>
    </xf>
    <xf numFmtId="49" fontId="1" fillId="0" borderId="17" xfId="1" applyNumberFormat="1" applyBorder="1" applyAlignment="1">
      <alignment horizontal="left" vertical="center" wrapText="1"/>
    </xf>
    <xf numFmtId="164" fontId="0" fillId="0" borderId="26" xfId="2" applyFont="1" applyBorder="1" applyAlignment="1">
      <alignment horizontal="center" vertical="center" wrapText="1"/>
    </xf>
    <xf numFmtId="164" fontId="0" fillId="0" borderId="26" xfId="2" applyFont="1" applyBorder="1" applyAlignment="1">
      <alignment horizontal="right" vertical="center" wrapText="1"/>
    </xf>
    <xf numFmtId="164" fontId="0" fillId="0" borderId="69" xfId="2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49" fontId="1" fillId="0" borderId="23" xfId="1" applyNumberFormat="1" applyBorder="1" applyAlignment="1">
      <alignment horizontal="left" vertical="center" wrapText="1"/>
    </xf>
    <xf numFmtId="164" fontId="2" fillId="6" borderId="31" xfId="2" applyFont="1" applyFill="1" applyBorder="1" applyAlignment="1">
      <alignment horizontal="center" vertical="center" wrapText="1"/>
    </xf>
    <xf numFmtId="0" fontId="4" fillId="6" borderId="33" xfId="1" applyFont="1" applyFill="1" applyBorder="1" applyAlignment="1">
      <alignment horizontal="center" vertical="center" wrapText="1"/>
    </xf>
    <xf numFmtId="49" fontId="2" fillId="6" borderId="34" xfId="1" applyNumberFormat="1" applyFont="1" applyFill="1" applyBorder="1" applyAlignment="1">
      <alignment horizontal="left" vertical="center" wrapText="1"/>
    </xf>
    <xf numFmtId="4" fontId="2" fillId="6" borderId="31" xfId="2" applyNumberFormat="1" applyFont="1" applyFill="1" applyBorder="1" applyAlignment="1">
      <alignment horizontal="right" vertical="center" wrapText="1"/>
    </xf>
    <xf numFmtId="164" fontId="2" fillId="5" borderId="43" xfId="2" applyFont="1" applyFill="1" applyBorder="1" applyAlignment="1">
      <alignment horizontal="right" vertical="center" wrapText="1"/>
    </xf>
    <xf numFmtId="0" fontId="4" fillId="9" borderId="33" xfId="1" applyFont="1" applyFill="1" applyBorder="1" applyAlignment="1">
      <alignment horizontal="left" vertical="center" wrapText="1"/>
    </xf>
    <xf numFmtId="164" fontId="2" fillId="6" borderId="36" xfId="2" applyFont="1" applyFill="1" applyBorder="1" applyAlignment="1">
      <alignment horizontal="right" vertical="center" wrapText="1"/>
    </xf>
    <xf numFmtId="164" fontId="2" fillId="6" borderId="35" xfId="2" applyFont="1" applyFill="1" applyBorder="1" applyAlignment="1">
      <alignment horizontal="right" vertical="center" wrapText="1"/>
    </xf>
    <xf numFmtId="164" fontId="2" fillId="6" borderId="38" xfId="2" applyFont="1" applyFill="1" applyBorder="1" applyAlignment="1">
      <alignment vertical="center" wrapText="1"/>
    </xf>
    <xf numFmtId="0" fontId="4" fillId="6" borderId="38" xfId="1" applyFont="1" applyFill="1" applyBorder="1" applyAlignment="1">
      <alignment horizontal="center" vertical="center" wrapText="1"/>
    </xf>
    <xf numFmtId="49" fontId="2" fillId="6" borderId="39" xfId="1" applyNumberFormat="1" applyFont="1" applyFill="1" applyBorder="1" applyAlignment="1">
      <alignment horizontal="left" vertical="center" wrapText="1"/>
    </xf>
    <xf numFmtId="164" fontId="10" fillId="7" borderId="8" xfId="2" applyFont="1" applyFill="1" applyBorder="1" applyAlignment="1">
      <alignment vertical="center" wrapText="1"/>
    </xf>
    <xf numFmtId="164" fontId="10" fillId="7" borderId="9" xfId="2" applyFont="1" applyFill="1" applyBorder="1" applyAlignment="1">
      <alignment vertical="center" wrapText="1"/>
    </xf>
    <xf numFmtId="0" fontId="11" fillId="7" borderId="9" xfId="1" applyFont="1" applyFill="1" applyBorder="1" applyAlignment="1">
      <alignment horizontal="center" vertical="center" wrapText="1"/>
    </xf>
    <xf numFmtId="49" fontId="10" fillId="7" borderId="10" xfId="1" applyNumberFormat="1" applyFont="1" applyFill="1" applyBorder="1" applyAlignment="1">
      <alignment horizontal="left" vertical="center" wrapText="1"/>
    </xf>
    <xf numFmtId="164" fontId="0" fillId="0" borderId="68" xfId="2" applyFont="1" applyBorder="1" applyAlignment="1">
      <alignment horizontal="right" vertical="center" wrapText="1"/>
    </xf>
    <xf numFmtId="164" fontId="0" fillId="0" borderId="86" xfId="2" applyFont="1" applyBorder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49" fontId="1" fillId="0" borderId="19" xfId="1" applyNumberFormat="1" applyBorder="1" applyAlignment="1">
      <alignment horizontal="left" vertical="center" wrapText="1"/>
    </xf>
    <xf numFmtId="0" fontId="0" fillId="0" borderId="18" xfId="2" applyNumberFormat="1" applyFon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164" fontId="0" fillId="11" borderId="1" xfId="2" applyFont="1" applyFill="1" applyBorder="1" applyAlignment="1">
      <alignment horizontal="right" vertical="center" wrapText="1"/>
    </xf>
    <xf numFmtId="164" fontId="0" fillId="11" borderId="1" xfId="2" applyFont="1" applyFill="1" applyBorder="1" applyAlignment="1">
      <alignment vertical="center" wrapText="1"/>
    </xf>
    <xf numFmtId="164" fontId="0" fillId="0" borderId="74" xfId="2" applyFont="1" applyBorder="1" applyAlignment="1">
      <alignment horizontal="right" wrapText="1"/>
    </xf>
    <xf numFmtId="164" fontId="0" fillId="0" borderId="68" xfId="2" applyFont="1" applyBorder="1" applyAlignment="1">
      <alignment horizontal="center" vertical="center" wrapText="1"/>
    </xf>
    <xf numFmtId="164" fontId="2" fillId="6" borderId="32" xfId="2" applyFont="1" applyFill="1" applyBorder="1" applyAlignment="1">
      <alignment horizontal="right" vertical="center" wrapText="1"/>
    </xf>
    <xf numFmtId="164" fontId="2" fillId="6" borderId="31" xfId="2" applyFont="1" applyFill="1" applyBorder="1" applyAlignment="1">
      <alignment horizontal="right" vertical="center" wrapText="1"/>
    </xf>
    <xf numFmtId="164" fontId="2" fillId="6" borderId="30" xfId="2" applyFont="1" applyFill="1" applyBorder="1" applyAlignment="1">
      <alignment horizontal="right" vertical="center" wrapText="1"/>
    </xf>
    <xf numFmtId="164" fontId="0" fillId="6" borderId="76" xfId="2" applyFont="1" applyFill="1" applyBorder="1" applyAlignment="1">
      <alignment horizontal="right" vertical="center" wrapText="1"/>
    </xf>
    <xf numFmtId="164" fontId="0" fillId="6" borderId="33" xfId="2" applyFont="1" applyFill="1" applyBorder="1" applyAlignment="1">
      <alignment vertical="center" wrapText="1"/>
    </xf>
    <xf numFmtId="0" fontId="12" fillId="6" borderId="33" xfId="1" applyFont="1" applyFill="1" applyBorder="1" applyAlignment="1">
      <alignment horizontal="left" vertical="center" wrapText="1"/>
    </xf>
    <xf numFmtId="164" fontId="2" fillId="6" borderId="75" xfId="2" applyFont="1" applyFill="1" applyBorder="1" applyAlignment="1">
      <alignment horizontal="right" vertical="center" wrapText="1"/>
    </xf>
    <xf numFmtId="164" fontId="2" fillId="6" borderId="44" xfId="2" applyFont="1" applyFill="1" applyBorder="1" applyAlignment="1">
      <alignment horizontal="right" vertical="center" wrapText="1"/>
    </xf>
    <xf numFmtId="164" fontId="2" fillId="6" borderId="44" xfId="2" applyFont="1" applyFill="1" applyBorder="1" applyAlignment="1">
      <alignment vertical="center" wrapText="1"/>
    </xf>
    <xf numFmtId="0" fontId="4" fillId="6" borderId="44" xfId="1" applyFont="1" applyFill="1" applyBorder="1" applyAlignment="1">
      <alignment horizontal="center" vertical="center" wrapText="1"/>
    </xf>
    <xf numFmtId="49" fontId="2" fillId="6" borderId="45" xfId="1" applyNumberFormat="1" applyFont="1" applyFill="1" applyBorder="1" applyAlignment="1">
      <alignment horizontal="left" vertical="center" wrapText="1"/>
    </xf>
    <xf numFmtId="164" fontId="2" fillId="5" borderId="30" xfId="2" applyFont="1" applyFill="1" applyBorder="1" applyAlignment="1">
      <alignment horizontal="right" vertical="center" wrapText="1"/>
    </xf>
    <xf numFmtId="164" fontId="0" fillId="0" borderId="79" xfId="2" applyFont="1" applyBorder="1" applyAlignment="1">
      <alignment vertical="center" wrapText="1"/>
    </xf>
    <xf numFmtId="0" fontId="3" fillId="0" borderId="79" xfId="1" applyFont="1" applyBorder="1" applyAlignment="1">
      <alignment horizontal="center" vertical="center" wrapText="1"/>
    </xf>
    <xf numFmtId="49" fontId="1" fillId="0" borderId="80" xfId="1" applyNumberFormat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 vertical="center" wrapText="1"/>
    </xf>
    <xf numFmtId="0" fontId="2" fillId="6" borderId="34" xfId="1" applyFont="1" applyFill="1" applyBorder="1" applyAlignment="1">
      <alignment horizontal="left" vertical="center" wrapText="1"/>
    </xf>
    <xf numFmtId="0" fontId="7" fillId="6" borderId="44" xfId="1" applyFont="1" applyFill="1" applyBorder="1" applyAlignment="1">
      <alignment horizontal="left" vertical="center" wrapText="1"/>
    </xf>
    <xf numFmtId="164" fontId="0" fillId="0" borderId="77" xfId="2" applyFont="1" applyBorder="1" applyAlignment="1">
      <alignment horizontal="right" vertical="center" wrapText="1"/>
    </xf>
    <xf numFmtId="164" fontId="0" fillId="0" borderId="78" xfId="2" applyFont="1" applyBorder="1" applyAlignment="1">
      <alignment horizontal="right" vertical="center" wrapText="1"/>
    </xf>
    <xf numFmtId="164" fontId="0" fillId="0" borderId="79" xfId="2" applyFont="1" applyBorder="1" applyAlignment="1">
      <alignment horizontal="right" vertical="center" wrapText="1"/>
    </xf>
    <xf numFmtId="164" fontId="0" fillId="0" borderId="73" xfId="2" applyFont="1" applyBorder="1" applyAlignment="1">
      <alignment horizontal="right" vertical="center" wrapText="1"/>
    </xf>
    <xf numFmtId="164" fontId="0" fillId="0" borderId="74" xfId="2" applyFont="1" applyBorder="1" applyAlignment="1">
      <alignment horizontal="right" vertical="center" wrapText="1"/>
    </xf>
    <xf numFmtId="164" fontId="0" fillId="0" borderId="1" xfId="2" applyFont="1" applyBorder="1" applyAlignment="1">
      <alignment horizontal="right" vertical="center" wrapText="1"/>
    </xf>
    <xf numFmtId="164" fontId="0" fillId="5" borderId="69" xfId="2" applyFont="1" applyFill="1" applyBorder="1" applyAlignment="1">
      <alignment horizontal="right" vertical="center" wrapText="1"/>
    </xf>
    <xf numFmtId="164" fontId="0" fillId="0" borderId="4" xfId="2" applyFont="1" applyBorder="1" applyAlignment="1">
      <alignment horizontal="right" vertical="center" wrapText="1"/>
    </xf>
    <xf numFmtId="164" fontId="2" fillId="6" borderId="83" xfId="2" applyFont="1" applyFill="1" applyBorder="1" applyAlignment="1">
      <alignment horizontal="right" vertical="center" wrapText="1"/>
    </xf>
    <xf numFmtId="164" fontId="0" fillId="0" borderId="63" xfId="2" applyFont="1" applyBorder="1" applyAlignment="1">
      <alignment horizontal="right" vertical="center" wrapText="1"/>
    </xf>
    <xf numFmtId="164" fontId="0" fillId="0" borderId="84" xfId="2" applyFont="1" applyBorder="1" applyAlignment="1">
      <alignment horizontal="right" vertical="center" wrapText="1"/>
    </xf>
    <xf numFmtId="164" fontId="0" fillId="0" borderId="18" xfId="2" applyFont="1" applyBorder="1" applyAlignment="1">
      <alignment horizontal="right" vertical="center" wrapText="1"/>
    </xf>
    <xf numFmtId="164" fontId="0" fillId="0" borderId="3" xfId="2" applyFont="1" applyBorder="1" applyAlignment="1">
      <alignment horizontal="right" vertical="center" wrapText="1"/>
    </xf>
    <xf numFmtId="0" fontId="3" fillId="9" borderId="4" xfId="1" applyFont="1" applyFill="1" applyBorder="1" applyAlignment="1">
      <alignment horizontal="left" vertical="center" wrapText="1"/>
    </xf>
    <xf numFmtId="164" fontId="0" fillId="7" borderId="8" xfId="2" applyFont="1" applyFill="1" applyBorder="1" applyAlignment="1">
      <alignment horizontal="center" vertical="center" wrapText="1"/>
    </xf>
    <xf numFmtId="164" fontId="0" fillId="7" borderId="9" xfId="2" applyFont="1" applyFill="1" applyBorder="1" applyAlignment="1">
      <alignment horizontal="center" vertical="center" wrapText="1"/>
    </xf>
    <xf numFmtId="164" fontId="0" fillId="7" borderId="9" xfId="2" applyFont="1" applyFill="1" applyBorder="1" applyAlignment="1">
      <alignment horizontal="right" vertical="center" wrapText="1"/>
    </xf>
    <xf numFmtId="164" fontId="0" fillId="7" borderId="40" xfId="2" applyFont="1" applyFill="1" applyBorder="1" applyAlignment="1">
      <alignment horizontal="right" vertical="center" wrapText="1"/>
    </xf>
    <xf numFmtId="0" fontId="2" fillId="7" borderId="10" xfId="1" applyFont="1" applyFill="1" applyBorder="1" applyAlignment="1">
      <alignment horizontal="left" vertical="center" wrapText="1"/>
    </xf>
    <xf numFmtId="164" fontId="0" fillId="0" borderId="60" xfId="2" applyFont="1" applyBorder="1" applyAlignment="1">
      <alignment horizontal="right"/>
    </xf>
    <xf numFmtId="164" fontId="0" fillId="0" borderId="9" xfId="2" applyFont="1" applyBorder="1" applyAlignment="1">
      <alignment horizontal="right" vertical="center" wrapText="1"/>
    </xf>
    <xf numFmtId="164" fontId="0" fillId="0" borderId="41" xfId="2" applyFont="1" applyBorder="1" applyAlignment="1">
      <alignment horizontal="right"/>
    </xf>
    <xf numFmtId="164" fontId="0" fillId="0" borderId="40" xfId="2" applyFont="1" applyBorder="1" applyAlignment="1">
      <alignment horizontal="right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left" vertical="center" wrapText="1"/>
    </xf>
    <xf numFmtId="0" fontId="1" fillId="0" borderId="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60" xfId="1" applyBorder="1" applyAlignment="1">
      <alignment horizontal="center" vertical="center"/>
    </xf>
    <xf numFmtId="0" fontId="2" fillId="12" borderId="63" xfId="1" applyFont="1" applyFill="1" applyBorder="1" applyAlignment="1">
      <alignment horizontal="center" vertical="center" wrapText="1"/>
    </xf>
    <xf numFmtId="0" fontId="2" fillId="12" borderId="63" xfId="1" applyFont="1" applyFill="1" applyBorder="1" applyAlignment="1">
      <alignment horizontal="left" vertical="center" wrapText="1"/>
    </xf>
    <xf numFmtId="0" fontId="2" fillId="12" borderId="84" xfId="1" applyFont="1" applyFill="1" applyBorder="1" applyAlignment="1">
      <alignment horizontal="center" vertical="center" wrapText="1"/>
    </xf>
    <xf numFmtId="0" fontId="2" fillId="0" borderId="63" xfId="1" applyFont="1" applyBorder="1" applyAlignment="1">
      <alignment horizontal="right" vertical="center" wrapText="1"/>
    </xf>
    <xf numFmtId="0" fontId="2" fillId="0" borderId="84" xfId="1" applyFont="1" applyBorder="1" applyAlignment="1">
      <alignment horizontal="right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2" borderId="63" xfId="1" applyFont="1" applyFill="1" applyBorder="1" applyAlignment="1">
      <alignment horizontal="center" vertical="center" wrapText="1"/>
    </xf>
    <xf numFmtId="0" fontId="2" fillId="2" borderId="60" xfId="1" applyFont="1" applyFill="1" applyBorder="1" applyAlignment="1">
      <alignment horizontal="right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1" fillId="2" borderId="26" xfId="1" applyFill="1" applyBorder="1" applyAlignment="1">
      <alignment horizontal="center" wrapText="1"/>
    </xf>
    <xf numFmtId="0" fontId="2" fillId="12" borderId="26" xfId="1" applyFont="1" applyFill="1" applyBorder="1" applyAlignment="1">
      <alignment horizontal="center" vertical="center" wrapText="1"/>
    </xf>
    <xf numFmtId="0" fontId="2" fillId="12" borderId="58" xfId="1" applyFont="1" applyFill="1" applyBorder="1" applyAlignment="1">
      <alignment horizontal="left" vertical="center" wrapText="1"/>
    </xf>
    <xf numFmtId="0" fontId="2" fillId="12" borderId="25" xfId="1" applyFont="1" applyFill="1" applyBorder="1" applyAlignment="1">
      <alignment horizontal="center" vertical="center" wrapText="1"/>
    </xf>
    <xf numFmtId="0" fontId="2" fillId="0" borderId="58" xfId="1" applyFont="1" applyBorder="1" applyAlignment="1">
      <alignment horizontal="right" vertical="center" wrapText="1"/>
    </xf>
    <xf numFmtId="0" fontId="2" fillId="0" borderId="25" xfId="1" applyFont="1" applyBorder="1" applyAlignment="1">
      <alignment horizontal="right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2" borderId="58" xfId="1" applyFont="1" applyFill="1" applyBorder="1" applyAlignment="1">
      <alignment horizontal="center" vertical="center" wrapText="1"/>
    </xf>
    <xf numFmtId="0" fontId="2" fillId="0" borderId="87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4" borderId="87" xfId="1" applyFont="1" applyFill="1" applyBorder="1" applyAlignment="1">
      <alignment horizontal="center" vertical="center" wrapText="1"/>
    </xf>
    <xf numFmtId="0" fontId="2" fillId="4" borderId="41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1" fillId="2" borderId="58" xfId="1" applyFill="1" applyBorder="1" applyAlignment="1">
      <alignment horizontal="center" wrapText="1"/>
    </xf>
    <xf numFmtId="0" fontId="2" fillId="12" borderId="58" xfId="1" applyFont="1" applyFill="1" applyBorder="1" applyAlignment="1">
      <alignment horizontal="center" vertical="center" wrapText="1"/>
    </xf>
    <xf numFmtId="0" fontId="1" fillId="0" borderId="87" xfId="1" applyBorder="1" applyAlignment="1"/>
    <xf numFmtId="0" fontId="1" fillId="0" borderId="41" xfId="1" applyBorder="1" applyAlignment="1"/>
    <xf numFmtId="0" fontId="2" fillId="0" borderId="87" xfId="1" applyFont="1" applyBorder="1" applyAlignment="1"/>
    <xf numFmtId="0" fontId="2" fillId="0" borderId="59" xfId="1" applyFont="1" applyBorder="1" applyAlignment="1"/>
    <xf numFmtId="0" fontId="2" fillId="12" borderId="72" xfId="1" applyFont="1" applyFill="1" applyBorder="1" applyAlignment="1">
      <alignment horizontal="center" vertical="center" wrapText="1"/>
    </xf>
    <xf numFmtId="0" fontId="2" fillId="0" borderId="87" xfId="1" applyFont="1" applyBorder="1" applyAlignment="1">
      <alignment horizontal="center"/>
    </xf>
    <xf numFmtId="0" fontId="2" fillId="0" borderId="59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62" xfId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/>
    <xf numFmtId="164" fontId="13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0" fontId="14" fillId="0" borderId="0" xfId="1" applyFont="1"/>
    <xf numFmtId="164" fontId="0" fillId="0" borderId="0" xfId="2" applyFont="1" applyAlignment="1">
      <alignment horizontal="right"/>
    </xf>
    <xf numFmtId="164" fontId="15" fillId="0" borderId="0" xfId="2" applyFont="1" applyAlignment="1">
      <alignment horizontal="right"/>
    </xf>
  </cellXfs>
  <cellStyles count="35">
    <cellStyle name="Dziesiętny 2" xfId="3"/>
    <cellStyle name="Normalny 2" xfId="4"/>
    <cellStyle name="Normalny 3" xfId="5"/>
    <cellStyle name="Normalny 4" xfId="6"/>
    <cellStyle name="Normalny 5" xfId="7"/>
    <cellStyle name="Normalny 6" xfId="8"/>
    <cellStyle name="Normalny 7" xfId="9"/>
    <cellStyle name="Обычный" xfId="0" builtinId="0"/>
    <cellStyle name="Обычный 2" xfId="1"/>
    <cellStyle name="Обычный 2 2" xfId="10"/>
    <cellStyle name="Обычный 2 3" xfId="11"/>
    <cellStyle name="Обычный 3" xfId="12"/>
    <cellStyle name="Обычный 3 2" xfId="13"/>
    <cellStyle name="Обычный 3 2 2" xfId="14"/>
    <cellStyle name="Обычный 4" xfId="15"/>
    <cellStyle name="Обычный 4 2" xfId="16"/>
    <cellStyle name="Обычный 5" xfId="17"/>
    <cellStyle name="Обычный 6" xfId="18"/>
    <cellStyle name="Обычный 7" xfId="19"/>
    <cellStyle name="Обычный 7 2" xfId="20"/>
    <cellStyle name="Обычный 8" xfId="21"/>
    <cellStyle name="Процентный 2" xfId="22"/>
    <cellStyle name="Процентный 2 2" xfId="23"/>
    <cellStyle name="Процентный 2 3" xfId="24"/>
    <cellStyle name="Процентный 3" xfId="25"/>
    <cellStyle name="Процентный 4" xfId="26"/>
    <cellStyle name="Процентный 5" xfId="27"/>
    <cellStyle name="Процентный 5 2" xfId="28"/>
    <cellStyle name="Процентный 6" xfId="29"/>
    <cellStyle name="Процентный 7" xfId="30"/>
    <cellStyle name="Процентный 8" xfId="31"/>
    <cellStyle name="Процентный 9" xfId="32"/>
    <cellStyle name="Финансовый 2" xfId="2"/>
    <cellStyle name="Финансовый 2 2" xfId="33"/>
    <cellStyle name="Финансовый 3" xfId="3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40;&#1050;&#1058;%202016%20&#1042;&#1086;&#1076;&#1086;&#1082;&#1072;&#1085;&#1072;&#1083;_&#1050;&#1054;&#1056;&#1056;&#1045;&#1050;&#1058;&#1048;&#1056;&#1054;&#1042;&#1050;&#1040;_&#1085;&#1072;%20&#1090;&#1072;&#1088;&#1080;&#1092;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54;&#1045;&#1050;&#1058;%20&#1057;&#1051;&#1059;&#1046;&#1041;&#1067;%202016_%20&#1040;&#1085;&#1072;&#1083;&#1080;&#107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5;&#1083;&#1072;&#1085;\&#1057;&#1077;&#1073;&#1077;&#1089;&#1090;&#1086;&#1080;&#1084;&#1086;&#1089;&#1090;&#1100;.&#1055;&#1083;&#1072;&#1085;%20%202009%20&#1075;\&#1063;&#1077;&#1088;&#1085;&#1086;&#1074;&#1080;&#1082;%20.&#1055;&#1083;&#1072;&#1085;&#1086;&#1074;&#1072;&#1103;%20&#1089;&#1077;&#1073;&#1077;&#1089;&#1090;&#1086;&#1080;&#1084;&#1086;&#1089;&#1090;&#1100;%20%20&#1085;&#1072;%202009%20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5;&#1083;&#1072;&#1085;\&#1057;&#1077;&#1073;&#1077;&#1089;&#1090;&#1086;&#1080;&#1084;&#1086;&#1089;&#1090;&#1100;.&#1055;&#1083;&#1072;&#1085;%20%202009%20&#1075;\&#1063;&#1077;&#1088;&#1085;&#1086;&#1074;&#1080;&#1082;%20.&#1055;&#1083;&#1072;&#1085;&#1086;&#1074;&#1072;&#1103;%20&#1089;&#1077;&#1073;&#1077;&#1089;&#1090;&#1086;&#1080;&#1084;&#1086;&#1089;&#1090;&#1100;%20%20&#1085;&#1072;%202009%20&#10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5;&#1088;&#1086;&#1077;&#1082;&#1090;%202009\&#1052;&#1101;&#1088;&#1080;&#1103;%20&#1087;&#1088;&#1086;&#1077;&#1082;&#1090;\&#1090;&#1072;&#1088;&#1080;&#1092;%20&#1085;&#1072;%202009%20&#1075;%20&#1076;&#1083;&#1103;%20&#1052;&#1101;&#1088;&#1080;&#1080;\&#1056;&#1072;&#1089;&#1095;&#1077;&#1090;%20&#1090;&#1072;&#1088;&#1080;&#1092;&#1086;&#1074;%20%20%20&#1085;&#1072;%202009%20&#1075;%20(version%2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88;&#1086;&#1077;&#1082;&#1090;%202009\&#1052;&#1101;&#1088;&#1080;&#1103;%20&#1087;&#1088;&#1086;&#1077;&#1082;&#1090;\&#1090;&#1072;&#1088;&#1080;&#1092;%20&#1085;&#1072;%202009%20&#1075;%20&#1076;&#1083;&#1103;%20&#1052;&#1101;&#1088;&#1080;&#1080;\&#1056;&#1072;&#1089;&#1095;&#1077;&#1090;%20&#1090;&#1072;&#1088;&#1080;&#1092;&#1086;&#1074;%20%20%20&#1085;&#1072;%202009%20&#1075;%20(versio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2"/>
      <sheetName val="Лист11"/>
      <sheetName val="Лист10"/>
      <sheetName val="Расчёт ВС методом индексации"/>
      <sheetName val="Неподконтрольные расходы ВС"/>
      <sheetName val="Базовый уровень опер.расх.ВС "/>
      <sheetName val="Смета ВС_2016 (анализ_верная)"/>
      <sheetName val="Смета ВС_2016"/>
      <sheetName val="расшифровки ВС_2016"/>
      <sheetName val="Цеховые расходы  (окт.2017)"/>
      <sheetName val="Цеховые расходы "/>
      <sheetName val="Зар.плата осн.персонала (2)"/>
      <sheetName val="Зар.плата осн.персонала"/>
      <sheetName val="Баланс ВС_2016 (2)"/>
      <sheetName val="Баланс ВО 2016"/>
      <sheetName val="Баланс ВС_2016"/>
      <sheetName val="Админ. расх. (окт.2017)"/>
      <sheetName val="Админ. расх. (2)"/>
      <sheetName val="Кап.вложения"/>
      <sheetName val="ИПЦ"/>
      <sheetName val="Прилож1.1 по-новому"/>
      <sheetName val="Смета ВО_2018"/>
      <sheetName val="Смета ВО_2016"/>
      <sheetName val="Смета ВО_2016 верная"/>
      <sheetName val="Смета ВО_2016 (2)"/>
      <sheetName val="Экспертиза ВО"/>
      <sheetName val="эксплуат. затр. по очистным"/>
      <sheetName val="затраты на ремонт  _6 мес.2015"/>
      <sheetName val="по объемам_2013"/>
      <sheetName val="по объемам_2014 (2)"/>
      <sheetName val="сбытовые расходы (2)"/>
      <sheetName val="расшифровка кредитов "/>
      <sheetName val="расшифровка кредитов"/>
      <sheetName val="охрана озер"/>
      <sheetName val="налоги"/>
      <sheetName val="материалы- ВС,ВО"/>
      <sheetName val="ФОТ по тек. и капит. ремонту"/>
      <sheetName val="расшифровки ВО_2016"/>
      <sheetName val="Неподконтрольные расходы В0"/>
      <sheetName val="Базовый уровень опер.расх.ВО"/>
      <sheetName val="Расчёт ВО методом индексаци "/>
      <sheetName val="опер. расх. всего_версия май"/>
      <sheetName val="индекс изменения активоа"/>
      <sheetName val="Экспертиза ВС"/>
      <sheetName val="расшифров. для Службы окт20 (2"/>
      <sheetName val="расшиф. для Службы 2016бу"/>
      <sheetName val="расшифров для Службы 2016 факт"/>
      <sheetName val="Лист9"/>
      <sheetName val="Лист8"/>
      <sheetName val="Лист7"/>
      <sheetName val="Лист6"/>
      <sheetName val="Лист2"/>
      <sheetName val="Лист1"/>
    </sheetNames>
    <sheetDataSet>
      <sheetData sheetId="0"/>
      <sheetData sheetId="1"/>
      <sheetData sheetId="2"/>
      <sheetData sheetId="3">
        <row r="12">
          <cell r="P12">
            <v>103386.13295411518</v>
          </cell>
        </row>
        <row r="16">
          <cell r="P16">
            <v>103295.1</v>
          </cell>
        </row>
        <row r="17">
          <cell r="P17">
            <v>4751</v>
          </cell>
        </row>
        <row r="20">
          <cell r="P20">
            <v>2565</v>
          </cell>
        </row>
        <row r="30">
          <cell r="P30">
            <v>37524.639999999999</v>
          </cell>
        </row>
        <row r="32">
          <cell r="R32">
            <v>801566.55100210174</v>
          </cell>
          <cell r="S32">
            <v>915815.98639414401</v>
          </cell>
        </row>
      </sheetData>
      <sheetData sheetId="4">
        <row r="8">
          <cell r="P8">
            <v>4384.7278513200008</v>
          </cell>
        </row>
        <row r="9">
          <cell r="P9">
            <v>0</v>
          </cell>
        </row>
        <row r="11">
          <cell r="Q11">
            <v>15462.109949999998</v>
          </cell>
        </row>
        <row r="13">
          <cell r="N13">
            <v>7701.12</v>
          </cell>
        </row>
        <row r="21">
          <cell r="N21">
            <v>37560.9</v>
          </cell>
        </row>
        <row r="22">
          <cell r="N22">
            <v>6251.6</v>
          </cell>
        </row>
        <row r="23">
          <cell r="N23">
            <v>1977.718875</v>
          </cell>
        </row>
        <row r="25">
          <cell r="N25">
            <v>457.96019464896</v>
          </cell>
        </row>
        <row r="26">
          <cell r="N26">
            <v>3061.86</v>
          </cell>
        </row>
        <row r="34">
          <cell r="N34">
            <v>26541</v>
          </cell>
        </row>
      </sheetData>
      <sheetData sheetId="5">
        <row r="11">
          <cell r="N11">
            <v>221635.82464967802</v>
          </cell>
        </row>
        <row r="12">
          <cell r="N12">
            <v>51408.620153120515</v>
          </cell>
        </row>
        <row r="14">
          <cell r="M14">
            <v>14929.51</v>
          </cell>
        </row>
        <row r="17">
          <cell r="M17">
            <v>2677.5</v>
          </cell>
        </row>
        <row r="18">
          <cell r="M18">
            <v>2102.9499999999998</v>
          </cell>
        </row>
        <row r="19">
          <cell r="M19">
            <v>11569.28</v>
          </cell>
        </row>
        <row r="20">
          <cell r="M20">
            <v>59348.682671000017</v>
          </cell>
        </row>
      </sheetData>
      <sheetData sheetId="6"/>
      <sheetData sheetId="7">
        <row r="33">
          <cell r="J33">
            <v>18246.560000000001</v>
          </cell>
        </row>
        <row r="34">
          <cell r="J34">
            <v>80027.679000000004</v>
          </cell>
        </row>
        <row r="36">
          <cell r="J36">
            <v>5953.8779999999997</v>
          </cell>
        </row>
        <row r="37">
          <cell r="J37">
            <v>1798.071156</v>
          </cell>
        </row>
        <row r="40">
          <cell r="M40">
            <v>1036.2662173566998</v>
          </cell>
        </row>
        <row r="45">
          <cell r="M45">
            <v>836.44394616287991</v>
          </cell>
        </row>
        <row r="46">
          <cell r="M46">
            <v>731.9</v>
          </cell>
        </row>
        <row r="47">
          <cell r="M47">
            <v>446.12119999999993</v>
          </cell>
        </row>
        <row r="49">
          <cell r="M49">
            <v>23950.349036657277</v>
          </cell>
        </row>
        <row r="50">
          <cell r="M50">
            <v>7233.005409070498</v>
          </cell>
        </row>
        <row r="51">
          <cell r="M51">
            <v>6.7776191999999993</v>
          </cell>
        </row>
        <row r="52">
          <cell r="M52">
            <v>304.992864</v>
          </cell>
        </row>
        <row r="53">
          <cell r="M53">
            <v>319.08723119999996</v>
          </cell>
        </row>
        <row r="54">
          <cell r="M54">
            <v>58.602072544400002</v>
          </cell>
        </row>
        <row r="57">
          <cell r="M57">
            <v>300.53061044999998</v>
          </cell>
        </row>
        <row r="58">
          <cell r="M58">
            <v>312.35774849999996</v>
          </cell>
        </row>
        <row r="59">
          <cell r="M59">
            <v>424.02907300071627</v>
          </cell>
        </row>
        <row r="60">
          <cell r="M60">
            <v>669.15702799999997</v>
          </cell>
        </row>
        <row r="61">
          <cell r="M61">
            <v>7795.0615399999988</v>
          </cell>
        </row>
        <row r="64">
          <cell r="M64">
            <v>7824.9219999999996</v>
          </cell>
        </row>
      </sheetData>
      <sheetData sheetId="8">
        <row r="66">
          <cell r="O66">
            <v>101757.13182206675</v>
          </cell>
          <cell r="Q66">
            <v>133628.00283119999</v>
          </cell>
          <cell r="R66">
            <v>131780.04914528801</v>
          </cell>
        </row>
        <row r="80">
          <cell r="M80">
            <v>8125.4956574377075</v>
          </cell>
          <cell r="Q80">
            <v>10060.522989449999</v>
          </cell>
          <cell r="R80">
            <v>10493.125477996349</v>
          </cell>
        </row>
        <row r="97">
          <cell r="M97">
            <v>2965.9034169599995</v>
          </cell>
          <cell r="Q97">
            <v>3459.24</v>
          </cell>
          <cell r="R97">
            <v>3607.9873199999997</v>
          </cell>
        </row>
        <row r="154">
          <cell r="Q154">
            <v>85528.498552809993</v>
          </cell>
          <cell r="R154">
            <v>95104.105788100002</v>
          </cell>
        </row>
        <row r="173">
          <cell r="Q173">
            <v>4384.7278513200008</v>
          </cell>
          <cell r="R173">
            <v>4537.2016825000001</v>
          </cell>
        </row>
        <row r="215">
          <cell r="Q215">
            <v>1377.82390394</v>
          </cell>
          <cell r="R215">
            <v>1915.43074325</v>
          </cell>
        </row>
        <row r="236">
          <cell r="Q236">
            <v>14207.576118240002</v>
          </cell>
          <cell r="R236">
            <v>15462.109949999998</v>
          </cell>
        </row>
        <row r="258">
          <cell r="Q258">
            <v>0</v>
          </cell>
          <cell r="R258">
            <v>0</v>
          </cell>
        </row>
        <row r="277">
          <cell r="Q277">
            <v>26249.045712344003</v>
          </cell>
          <cell r="R277">
            <v>28188.524000000005</v>
          </cell>
        </row>
        <row r="286">
          <cell r="Q286">
            <v>4051.54</v>
          </cell>
          <cell r="R286">
            <v>4225.7562199999993</v>
          </cell>
        </row>
        <row r="291">
          <cell r="Q291">
            <v>2469.6567600000003</v>
          </cell>
          <cell r="R291">
            <v>2575.8520006799999</v>
          </cell>
        </row>
        <row r="305">
          <cell r="Q305">
            <v>14329.4853</v>
          </cell>
          <cell r="R305">
            <v>17069.823588122716</v>
          </cell>
        </row>
        <row r="313">
          <cell r="Q313">
            <v>16812.64</v>
          </cell>
          <cell r="R313">
            <v>19367.37</v>
          </cell>
        </row>
        <row r="321">
          <cell r="Q321">
            <v>34733.163</v>
          </cell>
          <cell r="R321">
            <v>69123.093999999997</v>
          </cell>
        </row>
        <row r="329">
          <cell r="Q329">
            <v>5650.2</v>
          </cell>
          <cell r="R329">
            <v>6476.9202284219982</v>
          </cell>
        </row>
        <row r="330">
          <cell r="Q330">
            <v>1706.3603999999998</v>
          </cell>
          <cell r="R330">
            <v>1956.0299089834434</v>
          </cell>
        </row>
        <row r="383">
          <cell r="Q383">
            <v>66414.782000000007</v>
          </cell>
          <cell r="S383">
            <v>103295.1</v>
          </cell>
        </row>
        <row r="430">
          <cell r="Q430">
            <v>34529.944900000002</v>
          </cell>
          <cell r="R430">
            <v>37560.9</v>
          </cell>
        </row>
        <row r="432">
          <cell r="Q432">
            <v>2318.9</v>
          </cell>
          <cell r="R432">
            <v>2318.9</v>
          </cell>
        </row>
        <row r="433">
          <cell r="Q433">
            <v>6035.6409999999996</v>
          </cell>
          <cell r="R433">
            <v>9047.7999999999993</v>
          </cell>
        </row>
        <row r="436">
          <cell r="Q436">
            <v>3999.4939999999997</v>
          </cell>
          <cell r="R436">
            <v>3999.4939999999997</v>
          </cell>
        </row>
        <row r="437">
          <cell r="Q437">
            <v>464.19200000000001</v>
          </cell>
          <cell r="R437">
            <v>464.19200000000001</v>
          </cell>
        </row>
        <row r="446">
          <cell r="Q446">
            <v>6042.5</v>
          </cell>
          <cell r="R446">
            <v>3200</v>
          </cell>
        </row>
      </sheetData>
      <sheetData sheetId="9"/>
      <sheetData sheetId="10">
        <row r="70">
          <cell r="R70">
            <v>28675.177440000003</v>
          </cell>
          <cell r="S70">
            <v>31361.375226692224</v>
          </cell>
        </row>
      </sheetData>
      <sheetData sheetId="11">
        <row r="150">
          <cell r="N150">
            <v>173244.897</v>
          </cell>
          <cell r="Q150">
            <v>188464.28795655296</v>
          </cell>
        </row>
        <row r="152">
          <cell r="N152">
            <v>52319.958893999996</v>
          </cell>
          <cell r="Q152">
            <v>53587.382479208143</v>
          </cell>
        </row>
      </sheetData>
      <sheetData sheetId="12"/>
      <sheetData sheetId="13"/>
      <sheetData sheetId="14"/>
      <sheetData sheetId="15"/>
      <sheetData sheetId="16"/>
      <sheetData sheetId="17">
        <row r="11">
          <cell r="AD11">
            <v>1138.7040000000002</v>
          </cell>
          <cell r="AG11">
            <v>1238.7380076960001</v>
          </cell>
        </row>
        <row r="12">
          <cell r="AD12">
            <v>15.697920000000002</v>
          </cell>
          <cell r="AG12">
            <v>17.07696657408</v>
          </cell>
        </row>
        <row r="13">
          <cell r="AD13">
            <v>756.00000000000011</v>
          </cell>
          <cell r="AG13">
            <v>822.41384400000004</v>
          </cell>
        </row>
        <row r="14">
          <cell r="AD14">
            <v>499.61464000000007</v>
          </cell>
          <cell r="AG14">
            <v>543.50528650935996</v>
          </cell>
        </row>
        <row r="15">
          <cell r="AD15">
            <v>0</v>
          </cell>
          <cell r="AG15">
            <v>0</v>
          </cell>
        </row>
        <row r="16">
          <cell r="AD16">
            <v>1093.5120000000002</v>
          </cell>
          <cell r="AG16">
            <v>1189.5759356880001</v>
          </cell>
        </row>
        <row r="18">
          <cell r="AD18">
            <v>839.7704</v>
          </cell>
          <cell r="AG18">
            <v>913.54338986959999</v>
          </cell>
        </row>
        <row r="19">
          <cell r="AD19">
            <v>305.09584000000001</v>
          </cell>
          <cell r="AG19">
            <v>185.86299449096958</v>
          </cell>
        </row>
        <row r="22">
          <cell r="AD22">
            <v>23359.809177264004</v>
          </cell>
          <cell r="AG22">
            <v>25411.945053677464</v>
          </cell>
        </row>
        <row r="40">
          <cell r="AD40">
            <v>7054.6623715337282</v>
          </cell>
          <cell r="AG40">
            <v>7674.4074062105938</v>
          </cell>
        </row>
        <row r="43">
          <cell r="AD43">
            <v>17.203200000000002</v>
          </cell>
          <cell r="AG43">
            <v>18.714483916799999</v>
          </cell>
        </row>
        <row r="44">
          <cell r="AD44">
            <v>818.83200000000011</v>
          </cell>
          <cell r="AG44">
            <v>890.76557236799999</v>
          </cell>
        </row>
        <row r="45">
          <cell r="AD45">
            <v>872.54719999999998</v>
          </cell>
          <cell r="AG45">
            <v>949.19959897279989</v>
          </cell>
        </row>
        <row r="46">
          <cell r="AD46">
            <v>93.077600000000018</v>
          </cell>
          <cell r="AG46">
            <v>101.25437408240001</v>
          </cell>
        </row>
        <row r="48">
          <cell r="AD48">
            <v>815.92000000000007</v>
          </cell>
          <cell r="AG48">
            <v>887.59775607999995</v>
          </cell>
        </row>
        <row r="49">
          <cell r="AD49">
            <v>0</v>
          </cell>
          <cell r="AE49">
            <v>0</v>
          </cell>
        </row>
        <row r="50">
          <cell r="AD50">
            <v>561.28800000000001</v>
          </cell>
          <cell r="AG50">
            <v>610.59658951199992</v>
          </cell>
        </row>
        <row r="51">
          <cell r="AD51">
            <v>1678.3256000000003</v>
          </cell>
          <cell r="AG51">
            <v>1825.7648256344</v>
          </cell>
        </row>
        <row r="53">
          <cell r="AD53">
            <v>10857.974400000003</v>
          </cell>
          <cell r="AG53">
            <v>11811.8365930656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9">
          <cell r="L9">
            <v>8979.1959999999999</v>
          </cell>
          <cell r="M9">
            <v>8979.1959999999999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 ВС методом индексации"/>
      <sheetName val="Неподконтрольные расходы ВС"/>
      <sheetName val="Базовый уровень опер.расх.ВС "/>
      <sheetName val="Смета ВС_2016 (анализ)"/>
      <sheetName val="Смета ВС_2016"/>
      <sheetName val="расшифровки ВС_2016"/>
      <sheetName val="Цеховые расходы "/>
      <sheetName val="Зар.плата осн.персонала"/>
      <sheetName val="Баланс ВС_2016 (2)"/>
      <sheetName val="Баланс ВО 2016"/>
      <sheetName val="Баланс ВС_2016"/>
      <sheetName val="Админ. расх. (2)"/>
      <sheetName val="Кап.вложения"/>
      <sheetName val="ИПЦ"/>
      <sheetName val="Прилож1.1 по-новому"/>
      <sheetName val="Смета ВО_2016"/>
      <sheetName val="Смета ВО_2016 _анализ"/>
      <sheetName val="Экспертиза ВО"/>
      <sheetName val="расшифровки ВО_2016"/>
      <sheetName val="эксплуат. затр. по очистным"/>
      <sheetName val="затраты на ремонт  _6 мес.2015"/>
      <sheetName val="по объемам_2013"/>
      <sheetName val="по объемам_2014 (2)"/>
      <sheetName val="сбытовые расходы"/>
      <sheetName val="расшифровка кредитов"/>
      <sheetName val="охрана озер"/>
      <sheetName val="налоги"/>
      <sheetName val="материалы- ВС,ВО"/>
      <sheetName val="ФОТ по тек. и капит. ремонту"/>
      <sheetName val="Неподконтрольные расходы В0"/>
      <sheetName val="Базовый уровень опер.расх.ВО"/>
      <sheetName val="Расчёт ВО методом индексаци "/>
      <sheetName val="опер. расх. всего_версия май"/>
      <sheetName val="индекс изменения активоа"/>
      <sheetName val="Экспертиза ВС"/>
      <sheetName val="анализ ФОТ"/>
      <sheetName val="Лист2"/>
    </sheetNames>
    <sheetDataSet>
      <sheetData sheetId="0"/>
      <sheetData sheetId="1"/>
      <sheetData sheetId="2"/>
      <sheetData sheetId="3"/>
      <sheetData sheetId="4"/>
      <sheetData sheetId="5">
        <row r="66">
          <cell r="E66">
            <v>75548.850217999992</v>
          </cell>
          <cell r="F66">
            <v>75317.127132852678</v>
          </cell>
          <cell r="G66">
            <v>87730.314410000006</v>
          </cell>
          <cell r="H66">
            <v>40105.535199999998</v>
          </cell>
          <cell r="I66">
            <v>103184.77899999999</v>
          </cell>
          <cell r="J66">
            <v>149866.22293876001</v>
          </cell>
          <cell r="K66">
            <v>154729.834568046</v>
          </cell>
          <cell r="L66">
            <v>162459.493177761</v>
          </cell>
          <cell r="M66">
            <v>98678.515022066742</v>
          </cell>
        </row>
        <row r="80">
          <cell r="E80">
            <v>7795.1102408881325</v>
          </cell>
          <cell r="F80">
            <v>7355.7455652621475</v>
          </cell>
          <cell r="G80">
            <v>8197.4431674917996</v>
          </cell>
          <cell r="H80">
            <v>4509.4796700873585</v>
          </cell>
          <cell r="I80">
            <v>8595.627823016217</v>
          </cell>
          <cell r="J80">
            <v>8029.6540141226305</v>
          </cell>
          <cell r="K80">
            <v>8374.9291367299029</v>
          </cell>
          <cell r="L80">
            <v>8735.0510896092874</v>
          </cell>
          <cell r="M80">
            <v>8125.4956574377075</v>
          </cell>
        </row>
        <row r="97">
          <cell r="D97">
            <v>5394.9824956444436</v>
          </cell>
          <cell r="E97">
            <v>5486.6264496479998</v>
          </cell>
          <cell r="F97">
            <v>5692.1533043048876</v>
          </cell>
          <cell r="G97">
            <v>5710.9975417504002</v>
          </cell>
          <cell r="H97">
            <v>2480.1041121999997</v>
          </cell>
          <cell r="I97">
            <v>4607.3456194</v>
          </cell>
          <cell r="J97">
            <v>4804.7913550479998</v>
          </cell>
          <cell r="K97">
            <v>4637.1099443000639</v>
          </cell>
          <cell r="L97">
            <v>4836.5056719049662</v>
          </cell>
          <cell r="M97">
            <v>2965.9034169599995</v>
          </cell>
        </row>
        <row r="154">
          <cell r="E154">
            <v>85452.684260000009</v>
          </cell>
          <cell r="F154">
            <v>99221.139540000004</v>
          </cell>
          <cell r="G154">
            <v>85402.459593000007</v>
          </cell>
          <cell r="H154">
            <v>43117.899999999994</v>
          </cell>
          <cell r="I154">
            <v>95641.9</v>
          </cell>
          <cell r="J154">
            <v>99503.809000000008</v>
          </cell>
          <cell r="K154">
            <v>104777.511</v>
          </cell>
          <cell r="L154">
            <v>110330.72</v>
          </cell>
          <cell r="M154">
            <v>96985.115341571465</v>
          </cell>
        </row>
        <row r="172">
          <cell r="H172">
            <v>2627.95</v>
          </cell>
          <cell r="I172">
            <v>4391.75</v>
          </cell>
          <cell r="J172">
            <v>3579.2224999999999</v>
          </cell>
          <cell r="K172">
            <v>3733.1290674999996</v>
          </cell>
          <cell r="L172">
            <v>3893.6536174024991</v>
          </cell>
        </row>
        <row r="177">
          <cell r="E177">
            <v>5039.5480114000002</v>
          </cell>
          <cell r="F177">
            <v>2715.3230250000001</v>
          </cell>
          <cell r="G177">
            <v>4381.1189226000006</v>
          </cell>
          <cell r="M177">
            <v>3486.3068749999993</v>
          </cell>
        </row>
        <row r="195">
          <cell r="E195">
            <v>0</v>
          </cell>
        </row>
        <row r="219">
          <cell r="E219">
            <v>765.9913415499999</v>
          </cell>
          <cell r="F219">
            <v>987.50872519999996</v>
          </cell>
          <cell r="G219">
            <v>1459.1224141649998</v>
          </cell>
          <cell r="H219">
            <v>626.36227999999994</v>
          </cell>
          <cell r="I219">
            <v>1558.3150799999999</v>
          </cell>
          <cell r="J219">
            <v>1865.5016386</v>
          </cell>
          <cell r="K219">
            <v>1972.1421660517999</v>
          </cell>
          <cell r="L219">
            <v>2085.4957272883826</v>
          </cell>
          <cell r="M219">
            <v>1097.361787</v>
          </cell>
        </row>
        <row r="240">
          <cell r="E240">
            <v>12194.269200000001</v>
          </cell>
          <cell r="F240">
            <v>13353.590700000001</v>
          </cell>
          <cell r="G240">
            <v>13105.715549999999</v>
          </cell>
          <cell r="H240">
            <v>4804.2987400000002</v>
          </cell>
          <cell r="I240">
            <v>13382.423875</v>
          </cell>
          <cell r="J240">
            <v>13726.810052999997</v>
          </cell>
          <cell r="K240">
            <v>14227.513651289395</v>
          </cell>
          <cell r="L240">
            <v>14891.896871888763</v>
          </cell>
          <cell r="M240">
            <v>13989.0792</v>
          </cell>
        </row>
        <row r="262">
          <cell r="D262">
            <v>0</v>
          </cell>
          <cell r="E262">
            <v>0</v>
          </cell>
          <cell r="F262">
            <v>8426.7199999999993</v>
          </cell>
          <cell r="M262">
            <v>7520.625</v>
          </cell>
        </row>
        <row r="277">
          <cell r="D277">
            <v>7134.3047967231996</v>
          </cell>
          <cell r="E277">
            <v>6593.4003141701987</v>
          </cell>
          <cell r="F277">
            <v>15270.548474879999</v>
          </cell>
          <cell r="G277">
            <v>18865.194651292681</v>
          </cell>
          <cell r="H277">
            <v>7796.6153129269987</v>
          </cell>
          <cell r="I277">
            <v>14224.503886774455</v>
          </cell>
          <cell r="J277">
            <v>24529.93735</v>
          </cell>
          <cell r="K277">
            <v>11084.6847375</v>
          </cell>
          <cell r="L277">
            <v>5542.3423687499999</v>
          </cell>
          <cell r="M277">
            <v>22829.93735</v>
          </cell>
        </row>
        <row r="286">
          <cell r="D286">
            <v>2485.4</v>
          </cell>
          <cell r="E286">
            <v>0</v>
          </cell>
          <cell r="G286">
            <v>0</v>
          </cell>
          <cell r="J286">
            <v>2677.5</v>
          </cell>
          <cell r="K286">
            <v>2701.23</v>
          </cell>
          <cell r="L286">
            <v>2985.36</v>
          </cell>
          <cell r="M286">
            <v>2677.5</v>
          </cell>
        </row>
        <row r="291">
          <cell r="E291">
            <v>3297.1114371840054</v>
          </cell>
          <cell r="F291">
            <v>1583.56</v>
          </cell>
          <cell r="G291">
            <v>2805</v>
          </cell>
          <cell r="H291">
            <v>1051.4745887999998</v>
          </cell>
          <cell r="I291">
            <v>2102.9491775999995</v>
          </cell>
          <cell r="J291">
            <v>2197.5818905919996</v>
          </cell>
          <cell r="K291">
            <v>2292.0779118874552</v>
          </cell>
          <cell r="L291">
            <v>2390.6372620986158</v>
          </cell>
          <cell r="M291">
            <v>2102.9499999999998</v>
          </cell>
        </row>
        <row r="292">
          <cell r="D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305">
          <cell r="M305">
            <v>11569.278599999998</v>
          </cell>
        </row>
        <row r="306">
          <cell r="M306">
            <v>16349.728599999999</v>
          </cell>
        </row>
        <row r="313">
          <cell r="D313">
            <v>13627.8</v>
          </cell>
          <cell r="E313">
            <v>9338.6</v>
          </cell>
          <cell r="F313">
            <v>16415.400000000001</v>
          </cell>
          <cell r="G313">
            <v>16415.400000000001</v>
          </cell>
          <cell r="H313">
            <v>3832.0311359999992</v>
          </cell>
          <cell r="I313">
            <v>16415.400000000001</v>
          </cell>
          <cell r="J313">
            <v>18246.560000000001</v>
          </cell>
          <cell r="K313">
            <v>19031.16</v>
          </cell>
          <cell r="L313">
            <v>19836.68</v>
          </cell>
          <cell r="M313">
            <v>6932.6614800000007</v>
          </cell>
        </row>
        <row r="321">
          <cell r="D321">
            <v>80028.299999999988</v>
          </cell>
          <cell r="E321">
            <v>40362.868000000002</v>
          </cell>
          <cell r="G321">
            <v>33794.18</v>
          </cell>
          <cell r="H321">
            <v>15733.232639999998</v>
          </cell>
          <cell r="I321">
            <v>33794.18</v>
          </cell>
          <cell r="J321">
            <v>80027.679000000004</v>
          </cell>
          <cell r="K321">
            <v>79409.237999999998</v>
          </cell>
          <cell r="L321">
            <v>64812.381999999998</v>
          </cell>
          <cell r="M321">
            <v>46957.133515000009</v>
          </cell>
        </row>
        <row r="330">
          <cell r="G330">
            <v>1719.1893600000001</v>
          </cell>
        </row>
        <row r="383">
          <cell r="F383">
            <v>34140.699999999997</v>
          </cell>
          <cell r="M383">
            <v>49381.307484999998</v>
          </cell>
        </row>
        <row r="384">
          <cell r="E384">
            <v>3870.7</v>
          </cell>
          <cell r="G384">
            <v>2929.9234643999998</v>
          </cell>
          <cell r="H384">
            <v>2970.19</v>
          </cell>
          <cell r="I384">
            <v>5970.0819000000001</v>
          </cell>
          <cell r="J384">
            <v>4849.9180149999993</v>
          </cell>
          <cell r="K384">
            <v>7743.0770399999992</v>
          </cell>
          <cell r="L384">
            <v>6196.0945499999998</v>
          </cell>
        </row>
        <row r="385">
          <cell r="E385">
            <v>21926.545999999998</v>
          </cell>
          <cell r="G385">
            <v>32284.439683199995</v>
          </cell>
          <cell r="H385">
            <v>12696.406000000001</v>
          </cell>
          <cell r="I385">
            <v>25519.776060000004</v>
          </cell>
          <cell r="J385">
            <v>35842.069935</v>
          </cell>
          <cell r="K385">
            <v>63030.973354999995</v>
          </cell>
          <cell r="L385">
            <v>91299.298999999999</v>
          </cell>
        </row>
        <row r="386">
          <cell r="E386">
            <v>2778.7700000000004</v>
          </cell>
          <cell r="G386">
            <v>7131.3231491999995</v>
          </cell>
          <cell r="H386">
            <v>2372.65</v>
          </cell>
          <cell r="I386">
            <v>4769.0264999999999</v>
          </cell>
          <cell r="J386">
            <v>2701.1193749999998</v>
          </cell>
          <cell r="K386">
            <v>2728.1295699999996</v>
          </cell>
          <cell r="L386">
            <v>2755.4114249999993</v>
          </cell>
        </row>
        <row r="387">
          <cell r="E387">
            <v>2400</v>
          </cell>
          <cell r="G387">
            <v>9840.1203143999992</v>
          </cell>
          <cell r="H387">
            <v>5891.1239999999998</v>
          </cell>
          <cell r="I387">
            <v>10056.148668</v>
          </cell>
          <cell r="J387">
            <v>5946.0301600000003</v>
          </cell>
          <cell r="K387">
            <v>6005.4877449999994</v>
          </cell>
          <cell r="L387">
            <v>6065.5445799999998</v>
          </cell>
        </row>
        <row r="388">
          <cell r="G388">
            <v>6.57</v>
          </cell>
        </row>
        <row r="395">
          <cell r="M395">
            <v>49381.307484999998</v>
          </cell>
        </row>
        <row r="403">
          <cell r="E403">
            <v>0</v>
          </cell>
        </row>
        <row r="410">
          <cell r="D410">
            <v>0</v>
          </cell>
          <cell r="E410">
            <v>0</v>
          </cell>
        </row>
        <row r="414">
          <cell r="D414">
            <v>0</v>
          </cell>
          <cell r="E414">
            <v>0</v>
          </cell>
        </row>
        <row r="419">
          <cell r="D419">
            <v>0</v>
          </cell>
          <cell r="E419">
            <v>0</v>
          </cell>
        </row>
        <row r="430">
          <cell r="E430">
            <v>10393.487879999999</v>
          </cell>
          <cell r="F430">
            <v>12436</v>
          </cell>
          <cell r="G430">
            <v>10913.162274</v>
          </cell>
          <cell r="M430">
            <v>10913.162274</v>
          </cell>
        </row>
        <row r="431"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1611.64</v>
          </cell>
          <cell r="G432">
            <v>1627.7564000000002</v>
          </cell>
          <cell r="H432">
            <v>969.375</v>
          </cell>
          <cell r="I432">
            <v>1938.75</v>
          </cell>
          <cell r="J432">
            <v>1958.1375</v>
          </cell>
          <cell r="K432">
            <v>1977.718875</v>
          </cell>
          <cell r="L432">
            <v>1997.4960637500001</v>
          </cell>
          <cell r="M432">
            <v>1958.1375</v>
          </cell>
        </row>
        <row r="433">
          <cell r="E433">
            <v>4801.6000000000004</v>
          </cell>
          <cell r="F433">
            <v>4281.99</v>
          </cell>
          <cell r="G433">
            <v>5866.23</v>
          </cell>
          <cell r="H433">
            <v>3218.69</v>
          </cell>
          <cell r="I433">
            <v>6437.38</v>
          </cell>
          <cell r="J433">
            <v>6733.4525000000003</v>
          </cell>
          <cell r="K433">
            <v>7823</v>
          </cell>
          <cell r="L433">
            <v>9047.7999999999993</v>
          </cell>
          <cell r="M433">
            <v>6733.4525000000003</v>
          </cell>
        </row>
        <row r="436">
          <cell r="E436">
            <v>5723.7197999999989</v>
          </cell>
          <cell r="F436">
            <v>702</v>
          </cell>
          <cell r="G436">
            <v>5723.7197999999989</v>
          </cell>
          <cell r="H436">
            <v>4534.6550399999996</v>
          </cell>
          <cell r="I436">
            <v>9069.3100799999993</v>
          </cell>
          <cell r="J436">
            <v>9160.0031807999985</v>
          </cell>
          <cell r="K436">
            <v>9251.603212607999</v>
          </cell>
          <cell r="L436">
            <v>9344.11924473408</v>
          </cell>
          <cell r="M436">
            <v>5723.7197999999989</v>
          </cell>
        </row>
        <row r="437">
          <cell r="E437">
            <v>389.98999999999995</v>
          </cell>
          <cell r="F437">
            <v>309</v>
          </cell>
          <cell r="G437">
            <v>409.48950000000002</v>
          </cell>
          <cell r="H437">
            <v>224.46828479999999</v>
          </cell>
          <cell r="I437">
            <v>448.93656959999998</v>
          </cell>
          <cell r="J437">
            <v>453.42593529599998</v>
          </cell>
          <cell r="K437">
            <v>457.96019464896</v>
          </cell>
          <cell r="L437">
            <v>462.53979659544956</v>
          </cell>
          <cell r="M437">
            <v>453.42593529599998</v>
          </cell>
        </row>
        <row r="441">
          <cell r="E441">
            <v>0</v>
          </cell>
          <cell r="G441">
            <v>0</v>
          </cell>
        </row>
        <row r="460">
          <cell r="J460">
            <v>6758.2120000000004</v>
          </cell>
        </row>
        <row r="468">
          <cell r="E468">
            <v>7824.9219999999996</v>
          </cell>
          <cell r="F468">
            <v>7440.5519999999997</v>
          </cell>
          <cell r="M468">
            <v>7824.9219999999996</v>
          </cell>
        </row>
      </sheetData>
      <sheetData sheetId="6">
        <row r="63">
          <cell r="J63">
            <v>12507.791422336721</v>
          </cell>
          <cell r="K63">
            <v>24877.432215673445</v>
          </cell>
          <cell r="L63">
            <v>26101.316212873742</v>
          </cell>
          <cell r="M63">
            <v>27313.396548131317</v>
          </cell>
          <cell r="N63">
            <v>28427.743100161963</v>
          </cell>
          <cell r="O63">
            <v>14929.50682114878</v>
          </cell>
        </row>
      </sheetData>
      <sheetData sheetId="7">
        <row r="92">
          <cell r="H92">
            <v>17797806</v>
          </cell>
          <cell r="I92">
            <v>37046520</v>
          </cell>
          <cell r="J92">
            <v>40680296</v>
          </cell>
          <cell r="K92">
            <v>42575823.674999997</v>
          </cell>
          <cell r="L92">
            <v>44406584.093024999</v>
          </cell>
        </row>
        <row r="112">
          <cell r="E112">
            <v>161397.15701400003</v>
          </cell>
          <cell r="G112">
            <v>178698.94954560001</v>
          </cell>
          <cell r="H112">
            <v>82328.2785</v>
          </cell>
          <cell r="I112">
            <v>172323.99966600002</v>
          </cell>
          <cell r="J112">
            <v>164992.3734288</v>
          </cell>
          <cell r="K112">
            <v>169181.66385183836</v>
          </cell>
          <cell r="L112">
            <v>176456.47539746738</v>
          </cell>
        </row>
        <row r="150">
          <cell r="F150">
            <v>166992.19523449324</v>
          </cell>
          <cell r="M150">
            <v>164992.3734288</v>
          </cell>
          <cell r="O150">
            <v>0</v>
          </cell>
        </row>
        <row r="152">
          <cell r="E152">
            <v>48741.941418228009</v>
          </cell>
          <cell r="F152">
            <v>50431.642960816956</v>
          </cell>
          <cell r="G152">
            <v>53967.082762771199</v>
          </cell>
          <cell r="H152">
            <v>24863.140106999999</v>
          </cell>
          <cell r="I152">
            <v>52041.847899132008</v>
          </cell>
          <cell r="J152">
            <v>49827.696775497599</v>
          </cell>
          <cell r="K152">
            <v>51092.862483255187</v>
          </cell>
          <cell r="L152">
            <v>53289.85557003515</v>
          </cell>
          <cell r="M152">
            <v>49827.696775497599</v>
          </cell>
          <cell r="O152">
            <v>0</v>
          </cell>
        </row>
        <row r="196">
          <cell r="E196">
            <v>5264.6983200000004</v>
          </cell>
        </row>
        <row r="217">
          <cell r="F217">
            <v>5581.6991999999991</v>
          </cell>
        </row>
        <row r="221">
          <cell r="G221">
            <v>5692.68</v>
          </cell>
          <cell r="H221">
            <v>2894.3964000000005</v>
          </cell>
          <cell r="I221">
            <v>5725.0998000000009</v>
          </cell>
          <cell r="J221">
            <v>5953.8779999999997</v>
          </cell>
          <cell r="K221">
            <v>6209.8947539999999</v>
          </cell>
          <cell r="L221">
            <v>6476.9202284219982</v>
          </cell>
          <cell r="M221">
            <v>5953.8779999999997</v>
          </cell>
          <cell r="O221">
            <v>0</v>
          </cell>
        </row>
        <row r="223">
          <cell r="E223">
            <v>1589.9388926399999</v>
          </cell>
          <cell r="F223">
            <v>1685.6731583999997</v>
          </cell>
          <cell r="H223">
            <v>874.10771280000017</v>
          </cell>
          <cell r="I223">
            <v>1728.9801396</v>
          </cell>
          <cell r="J223">
            <v>1798.071156</v>
          </cell>
          <cell r="K223">
            <v>1875.388215708</v>
          </cell>
          <cell r="L223">
            <v>1956.0299089834434</v>
          </cell>
          <cell r="M223">
            <v>1798.071156</v>
          </cell>
          <cell r="O223">
            <v>0</v>
          </cell>
        </row>
      </sheetData>
      <sheetData sheetId="8">
        <row r="48">
          <cell r="O48">
            <v>40762.129321767512</v>
          </cell>
        </row>
      </sheetData>
      <sheetData sheetId="9"/>
      <sheetData sheetId="10"/>
      <sheetData sheetId="11">
        <row r="11">
          <cell r="O11">
            <v>880.67701</v>
          </cell>
          <cell r="Q11">
            <v>1840.6149508999999</v>
          </cell>
          <cell r="R11">
            <v>0</v>
          </cell>
          <cell r="U11">
            <v>0</v>
          </cell>
          <cell r="X11">
            <v>0</v>
          </cell>
          <cell r="AA11">
            <v>1036.2662173566998</v>
          </cell>
        </row>
        <row r="12">
          <cell r="O12">
            <v>215.07177999999999</v>
          </cell>
          <cell r="Q12">
            <v>449.50002019999994</v>
          </cell>
          <cell r="R12">
            <v>0</v>
          </cell>
          <cell r="U12">
            <v>0</v>
          </cell>
          <cell r="X12">
            <v>0</v>
          </cell>
          <cell r="AA12">
            <v>253.06851137259994</v>
          </cell>
        </row>
        <row r="13">
          <cell r="O13">
            <v>0</v>
          </cell>
          <cell r="Q13">
            <v>1541.375</v>
          </cell>
          <cell r="R13">
            <v>0</v>
          </cell>
          <cell r="U13">
            <v>0</v>
          </cell>
          <cell r="X13">
            <v>0</v>
          </cell>
          <cell r="AA13">
            <v>852.01604999999995</v>
          </cell>
        </row>
        <row r="14">
          <cell r="O14">
            <v>263.36713000000003</v>
          </cell>
          <cell r="Q14">
            <v>550.43730170000003</v>
          </cell>
          <cell r="R14">
            <v>0</v>
          </cell>
          <cell r="U14">
            <v>0</v>
          </cell>
          <cell r="X14">
            <v>0</v>
          </cell>
          <cell r="AA14">
            <v>309.89620085709998</v>
          </cell>
        </row>
        <row r="15">
          <cell r="G15">
            <v>699</v>
          </cell>
          <cell r="Q15">
            <v>0</v>
          </cell>
          <cell r="R15">
            <v>0</v>
          </cell>
          <cell r="U15">
            <v>0</v>
          </cell>
          <cell r="X15">
            <v>0</v>
          </cell>
          <cell r="AA15">
            <v>0</v>
          </cell>
        </row>
        <row r="16">
          <cell r="O16">
            <v>724.02088000000003</v>
          </cell>
          <cell r="Q16">
            <v>1513.2036392</v>
          </cell>
          <cell r="R16">
            <v>0</v>
          </cell>
          <cell r="U16">
            <v>0</v>
          </cell>
          <cell r="X16">
            <v>0</v>
          </cell>
          <cell r="AA16">
            <v>836.44394616287991</v>
          </cell>
        </row>
        <row r="17">
          <cell r="R17">
            <v>0</v>
          </cell>
        </row>
        <row r="18">
          <cell r="D18">
            <v>3213.4</v>
          </cell>
          <cell r="G18">
            <v>1411</v>
          </cell>
          <cell r="O18">
            <v>570</v>
          </cell>
          <cell r="Q18">
            <v>1320</v>
          </cell>
          <cell r="AA18">
            <v>731.9</v>
          </cell>
        </row>
        <row r="19">
          <cell r="AA19">
            <v>446.12119999999993</v>
          </cell>
        </row>
        <row r="22">
          <cell r="AA22">
            <v>23950.349036657277</v>
          </cell>
        </row>
        <row r="40">
          <cell r="AA40">
            <v>7233.005409070498</v>
          </cell>
        </row>
        <row r="43">
          <cell r="O43">
            <v>5.76</v>
          </cell>
          <cell r="P43">
            <v>11.52</v>
          </cell>
          <cell r="R43">
            <v>0</v>
          </cell>
          <cell r="U43">
            <v>0</v>
          </cell>
          <cell r="X43">
            <v>0</v>
          </cell>
          <cell r="AA43">
            <v>6.7776191999999993</v>
          </cell>
        </row>
        <row r="44">
          <cell r="O44">
            <v>336.33708000000001</v>
          </cell>
          <cell r="P44">
            <v>672.67416000000003</v>
          </cell>
          <cell r="R44">
            <v>0</v>
          </cell>
          <cell r="U44">
            <v>0</v>
          </cell>
          <cell r="X44">
            <v>0</v>
          </cell>
          <cell r="AA44">
            <v>304.992864</v>
          </cell>
        </row>
        <row r="45">
          <cell r="O45">
            <v>607.92999999999995</v>
          </cell>
          <cell r="P45">
            <v>1215.8599999999999</v>
          </cell>
          <cell r="R45">
            <v>0</v>
          </cell>
          <cell r="U45">
            <v>0</v>
          </cell>
          <cell r="X45">
            <v>0</v>
          </cell>
          <cell r="AA45">
            <v>319.08723119999996</v>
          </cell>
        </row>
        <row r="46">
          <cell r="O46">
            <v>49.803320000000006</v>
          </cell>
          <cell r="P46">
            <v>99.606640000000013</v>
          </cell>
          <cell r="R46">
            <v>0</v>
          </cell>
          <cell r="U46">
            <v>0</v>
          </cell>
          <cell r="X46">
            <v>0</v>
          </cell>
          <cell r="AA46">
            <v>58.602072544400002</v>
          </cell>
        </row>
        <row r="48">
          <cell r="O48">
            <v>660.27949000000001</v>
          </cell>
          <cell r="P48">
            <v>1320.55898</v>
          </cell>
          <cell r="R48">
            <v>0</v>
          </cell>
          <cell r="U48">
            <v>0</v>
          </cell>
          <cell r="X48">
            <v>0</v>
          </cell>
          <cell r="AA48">
            <v>300.53061044999998</v>
          </cell>
        </row>
        <row r="49">
          <cell r="O49">
            <v>351.00847000000005</v>
          </cell>
          <cell r="P49">
            <v>702.01694000000009</v>
          </cell>
          <cell r="R49">
            <v>0</v>
          </cell>
          <cell r="U49">
            <v>0</v>
          </cell>
          <cell r="X49">
            <v>0</v>
          </cell>
          <cell r="AA49">
            <v>312.35774849999996</v>
          </cell>
        </row>
        <row r="50">
          <cell r="O50">
            <v>317.60550999999998</v>
          </cell>
          <cell r="P50">
            <v>635.21101999999996</v>
          </cell>
          <cell r="R50">
            <v>0</v>
          </cell>
          <cell r="U50">
            <v>0</v>
          </cell>
          <cell r="X50">
            <v>0</v>
          </cell>
          <cell r="AA50">
            <v>424.02907300071627</v>
          </cell>
        </row>
        <row r="51">
          <cell r="AA51">
            <v>669.15702799999997</v>
          </cell>
        </row>
        <row r="53">
          <cell r="O53">
            <v>6624.68</v>
          </cell>
          <cell r="P53">
            <v>13249.36</v>
          </cell>
          <cell r="R53">
            <v>0</v>
          </cell>
          <cell r="U53">
            <v>0</v>
          </cell>
          <cell r="X53">
            <v>0</v>
          </cell>
          <cell r="AA53">
            <v>7795.0615399999988</v>
          </cell>
        </row>
        <row r="56">
          <cell r="O56">
            <v>2892.32</v>
          </cell>
          <cell r="P56">
            <v>5784.64</v>
          </cell>
          <cell r="R56">
            <v>11569.278599999998</v>
          </cell>
          <cell r="U56">
            <v>12066.757579799998</v>
          </cell>
          <cell r="X56">
            <v>12585.628155731396</v>
          </cell>
        </row>
      </sheetData>
      <sheetData sheetId="12">
        <row r="24">
          <cell r="K2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H9">
            <v>8177043.4899999993</v>
          </cell>
          <cell r="I9">
            <v>8528656.3600699995</v>
          </cell>
          <cell r="J9">
            <v>8895388.5835530087</v>
          </cell>
        </row>
      </sheetData>
      <sheetData sheetId="24">
        <row r="73">
          <cell r="B73">
            <v>0.59</v>
          </cell>
        </row>
      </sheetData>
      <sheetData sheetId="25"/>
      <sheetData sheetId="26">
        <row r="97">
          <cell r="H97">
            <v>6305.6802239999997</v>
          </cell>
          <cell r="I97">
            <v>17441.691557999999</v>
          </cell>
          <cell r="J97">
            <v>26832.239810624</v>
          </cell>
          <cell r="K97">
            <v>21796.254630155203</v>
          </cell>
          <cell r="L97">
            <v>44411.338733662968</v>
          </cell>
        </row>
        <row r="105">
          <cell r="H105">
            <v>15252.868548799999</v>
          </cell>
          <cell r="I105">
            <v>35336.068207600001</v>
          </cell>
          <cell r="J105">
            <v>45137.258926720002</v>
          </cell>
          <cell r="K105">
            <v>41306.536912412157</v>
          </cell>
          <cell r="L105">
            <v>65263.293838742487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H119"/>
  <sheetViews>
    <sheetView tabSelected="1" zoomScale="90" zoomScaleNormal="90" workbookViewId="0">
      <pane xSplit="1" ySplit="8" topLeftCell="B88" activePane="bottomRight" state="frozen"/>
      <selection pane="topRight" activeCell="B1" sqref="B1"/>
      <selection pane="bottomLeft" activeCell="A9" sqref="A9"/>
      <selection pane="bottomRight" activeCell="U94" sqref="U94"/>
    </sheetView>
  </sheetViews>
  <sheetFormatPr defaultRowHeight="15" outlineLevelCol="1"/>
  <cols>
    <col min="1" max="1" width="5.7109375" style="1" customWidth="1"/>
    <col min="2" max="2" width="36.85546875" style="1" customWidth="1"/>
    <col min="3" max="3" width="11.140625" style="1" hidden="1" customWidth="1"/>
    <col min="4" max="4" width="14.42578125" style="2" hidden="1" customWidth="1"/>
    <col min="5" max="5" width="14.28515625" style="2" hidden="1" customWidth="1"/>
    <col min="6" max="6" width="15.42578125" style="2" hidden="1" customWidth="1"/>
    <col min="7" max="9" width="14.28515625" style="2" hidden="1" customWidth="1"/>
    <col min="10" max="10" width="14" style="2" hidden="1" customWidth="1"/>
    <col min="11" max="11" width="14.7109375" style="2" hidden="1" customWidth="1"/>
    <col min="12" max="12" width="14" style="2" hidden="1" customWidth="1"/>
    <col min="13" max="13" width="15.28515625" style="2" customWidth="1"/>
    <col min="14" max="14" width="16.42578125" style="2" hidden="1" customWidth="1" outlineLevel="1"/>
    <col min="15" max="15" width="21.42578125" style="2" hidden="1" customWidth="1" outlineLevel="1"/>
    <col min="16" max="16" width="16.140625" style="1" hidden="1" customWidth="1" outlineLevel="1"/>
    <col min="17" max="17" width="1.7109375" style="1" hidden="1" customWidth="1" outlineLevel="1"/>
    <col min="18" max="18" width="15.85546875" style="1" customWidth="1" outlineLevel="1"/>
    <col min="19" max="19" width="16.42578125" style="1" customWidth="1"/>
    <col min="20" max="20" width="17" style="1" customWidth="1"/>
    <col min="21" max="21" width="21.28515625" style="1" customWidth="1"/>
    <col min="22" max="22" width="16.7109375" style="1" customWidth="1"/>
    <col min="23" max="23" width="13.85546875" style="1" bestFit="1" customWidth="1"/>
    <col min="24" max="24" width="15.5703125" style="1" customWidth="1"/>
    <col min="25" max="16384" width="9.140625" style="1"/>
  </cols>
  <sheetData>
    <row r="1" spans="1:22" ht="19.5" customHeight="1">
      <c r="F1" s="466"/>
      <c r="G1" s="468"/>
      <c r="H1" s="469"/>
      <c r="I1" s="469"/>
      <c r="J1" s="469"/>
      <c r="K1" s="469"/>
      <c r="L1" s="469"/>
      <c r="M1" s="468"/>
    </row>
    <row r="2" spans="1:22">
      <c r="B2" s="467" t="s">
        <v>227</v>
      </c>
      <c r="D2" s="466"/>
      <c r="H2" s="465">
        <f>H86*0.2</f>
        <v>2624.0286313654042</v>
      </c>
      <c r="I2" s="465">
        <f>I86*0.2</f>
        <v>5782.3888455277411</v>
      </c>
      <c r="J2" s="465">
        <f>J86*0.2</f>
        <v>6691.1793027905651</v>
      </c>
      <c r="K2" s="465">
        <f>K86*0.2</f>
        <v>6995.3457119837767</v>
      </c>
      <c r="L2" s="465">
        <f>L86*0.2</f>
        <v>7437.6082335738411</v>
      </c>
    </row>
    <row r="3" spans="1:22">
      <c r="A3" s="464" t="s">
        <v>226</v>
      </c>
      <c r="B3" s="464"/>
      <c r="C3" s="464"/>
      <c r="D3" s="464"/>
      <c r="E3" s="464"/>
      <c r="F3" s="464"/>
      <c r="G3" s="464"/>
      <c r="H3" s="464"/>
      <c r="I3" s="464"/>
      <c r="J3" s="464"/>
      <c r="K3" s="460"/>
      <c r="L3" s="460"/>
    </row>
    <row r="4" spans="1:22" ht="15.75" thickBot="1">
      <c r="A4" s="463"/>
      <c r="B4" s="462"/>
      <c r="C4" s="461" t="s">
        <v>225</v>
      </c>
      <c r="D4" s="461"/>
      <c r="E4" s="461"/>
      <c r="F4" s="461"/>
      <c r="G4" s="460"/>
      <c r="H4" s="460"/>
      <c r="I4" s="460"/>
      <c r="J4" s="460"/>
      <c r="K4" s="460"/>
      <c r="L4" s="460"/>
    </row>
    <row r="5" spans="1:22" ht="15.75" customHeight="1" thickBot="1">
      <c r="A5" s="443" t="s">
        <v>224</v>
      </c>
      <c r="B5" s="443" t="s">
        <v>223</v>
      </c>
      <c r="C5" s="443" t="s">
        <v>222</v>
      </c>
      <c r="D5" s="459" t="s">
        <v>221</v>
      </c>
      <c r="E5" s="458"/>
      <c r="F5" s="458"/>
      <c r="G5" s="458"/>
      <c r="H5" s="458"/>
      <c r="I5" s="458"/>
      <c r="J5" s="458"/>
      <c r="K5" s="458"/>
      <c r="L5" s="457"/>
      <c r="M5" s="456" t="s">
        <v>220</v>
      </c>
      <c r="N5" s="455" t="s">
        <v>219</v>
      </c>
      <c r="O5" s="454"/>
      <c r="P5" s="453" t="s">
        <v>218</v>
      </c>
      <c r="Q5" s="452"/>
      <c r="R5" s="451" t="s">
        <v>217</v>
      </c>
      <c r="S5" s="450" t="s">
        <v>216</v>
      </c>
      <c r="T5" s="450" t="s">
        <v>215</v>
      </c>
    </row>
    <row r="6" spans="1:22" ht="30" customHeight="1" thickBot="1">
      <c r="A6" s="449"/>
      <c r="B6" s="449"/>
      <c r="C6" s="449"/>
      <c r="D6" s="448">
        <v>2014</v>
      </c>
      <c r="E6" s="447"/>
      <c r="F6" s="446">
        <v>2015</v>
      </c>
      <c r="G6" s="445"/>
      <c r="H6" s="444" t="s">
        <v>214</v>
      </c>
      <c r="I6" s="444" t="s">
        <v>213</v>
      </c>
      <c r="J6" s="443" t="s">
        <v>212</v>
      </c>
      <c r="K6" s="442" t="s">
        <v>211</v>
      </c>
      <c r="L6" s="441" t="s">
        <v>210</v>
      </c>
      <c r="M6" s="440"/>
      <c r="N6" s="439" t="s">
        <v>209</v>
      </c>
      <c r="O6" s="439" t="s">
        <v>209</v>
      </c>
      <c r="P6" s="439" t="s">
        <v>209</v>
      </c>
      <c r="Q6" s="439" t="s">
        <v>209</v>
      </c>
      <c r="R6" s="438"/>
      <c r="S6" s="437"/>
      <c r="T6" s="437"/>
    </row>
    <row r="7" spans="1:22" ht="46.5" customHeight="1" thickBot="1">
      <c r="A7" s="432"/>
      <c r="B7" s="432"/>
      <c r="C7" s="432"/>
      <c r="D7" s="435" t="s">
        <v>56</v>
      </c>
      <c r="E7" s="436" t="s">
        <v>208</v>
      </c>
      <c r="F7" s="435" t="s">
        <v>56</v>
      </c>
      <c r="G7" s="434" t="s">
        <v>207</v>
      </c>
      <c r="H7" s="433"/>
      <c r="I7" s="433"/>
      <c r="J7" s="432"/>
      <c r="K7" s="431"/>
      <c r="L7" s="430"/>
      <c r="M7" s="429"/>
      <c r="N7" s="428"/>
      <c r="O7" s="428"/>
      <c r="P7" s="428"/>
      <c r="Q7" s="428"/>
      <c r="R7" s="427"/>
      <c r="S7" s="426">
        <v>2016</v>
      </c>
      <c r="T7" s="426">
        <v>2018</v>
      </c>
    </row>
    <row r="8" spans="1:22" ht="15.75" thickBot="1">
      <c r="A8" s="425">
        <v>1</v>
      </c>
      <c r="B8" s="424">
        <v>2</v>
      </c>
      <c r="C8" s="424">
        <v>3</v>
      </c>
      <c r="D8" s="424">
        <v>4</v>
      </c>
      <c r="E8" s="424">
        <v>5</v>
      </c>
      <c r="F8" s="424">
        <v>6</v>
      </c>
      <c r="G8" s="424">
        <v>7</v>
      </c>
      <c r="H8" s="424" t="s">
        <v>206</v>
      </c>
      <c r="I8" s="424">
        <v>7</v>
      </c>
      <c r="J8" s="424">
        <v>8</v>
      </c>
      <c r="K8" s="424">
        <v>9</v>
      </c>
      <c r="L8" s="424">
        <v>10</v>
      </c>
      <c r="M8" s="424">
        <v>9</v>
      </c>
      <c r="N8" s="424">
        <v>10</v>
      </c>
      <c r="O8" s="424">
        <v>11</v>
      </c>
      <c r="P8" s="424">
        <v>12</v>
      </c>
      <c r="Q8" s="423">
        <v>13</v>
      </c>
      <c r="R8" s="422"/>
      <c r="S8" s="16"/>
      <c r="T8" s="120"/>
    </row>
    <row r="9" spans="1:22" ht="15.75" thickBot="1">
      <c r="A9" s="421"/>
      <c r="B9" s="420"/>
      <c r="C9" s="420"/>
      <c r="D9" s="417"/>
      <c r="E9" s="417"/>
      <c r="F9" s="417"/>
      <c r="G9" s="417"/>
      <c r="H9" s="417"/>
      <c r="I9" s="417"/>
      <c r="J9" s="417"/>
      <c r="K9" s="417"/>
      <c r="L9" s="419"/>
      <c r="M9" s="416"/>
      <c r="N9" s="416"/>
      <c r="O9" s="418"/>
      <c r="P9" s="417"/>
      <c r="Q9" s="105"/>
      <c r="R9" s="416"/>
      <c r="S9" s="416"/>
      <c r="T9" s="416"/>
    </row>
    <row r="10" spans="1:22" ht="15.75" thickBot="1">
      <c r="A10" s="415">
        <v>1</v>
      </c>
      <c r="B10" s="242" t="s">
        <v>205</v>
      </c>
      <c r="C10" s="242"/>
      <c r="D10" s="412">
        <f>D11+D15+D21+D22+D25+D26+D27</f>
        <v>341890.75729236763</v>
      </c>
      <c r="E10" s="412">
        <f>E11+E15+E21+E22+E25+E26+E27</f>
        <v>438498.46990506834</v>
      </c>
      <c r="F10" s="412">
        <f>F11+F15+F21+F22+F25+F26+F27</f>
        <v>497880.25466280989</v>
      </c>
      <c r="G10" s="412">
        <f>G11+G15+G21+G22+G25+G26+G27</f>
        <v>495016.51887307112</v>
      </c>
      <c r="H10" s="412">
        <f>H11+H15+H21+H22+H25+H26+H27</f>
        <v>232710.05393335107</v>
      </c>
      <c r="I10" s="412">
        <f>I11+I15+I21+I22+I25+I26+I27</f>
        <v>506989.0229105961</v>
      </c>
      <c r="J10" s="412">
        <f>J11+J15+J21+J22+J25+J26+J27</f>
        <v>549221.72731729399</v>
      </c>
      <c r="K10" s="412">
        <f>K11+K15+K21+K22+K25+K26+K27</f>
        <v>562123.57281152951</v>
      </c>
      <c r="L10" s="412">
        <f>L11+L15+L21+L22+L25+L26+L27</f>
        <v>582390.77443436801</v>
      </c>
      <c r="M10" s="412">
        <f>M11+M15+M21+M22+M25+M26+M27</f>
        <v>501777.64527548233</v>
      </c>
      <c r="N10" s="412">
        <f>N11+N15+N21+N22+N25+N26+N27</f>
        <v>47444.0820418117</v>
      </c>
      <c r="O10" s="414"/>
      <c r="P10" s="412">
        <f>M10/E10-1</f>
        <v>0.1443087712121629</v>
      </c>
      <c r="Q10" s="413">
        <f>M10/I10-1</f>
        <v>-1.0279073904195246E-2</v>
      </c>
      <c r="R10" s="412">
        <f>R11+R15+R21+R22+R25+R26+R27</f>
        <v>523161.03630157764</v>
      </c>
      <c r="S10" s="412">
        <f>S11+S15+S21+S22+S25+S26+S27</f>
        <v>553986.15335330402</v>
      </c>
      <c r="T10" s="411">
        <f>T11+T15+T21+T22+T25+T26+T27</f>
        <v>588373.01157839037</v>
      </c>
      <c r="V10" s="3"/>
    </row>
    <row r="11" spans="1:22" ht="33" customHeight="1" thickBot="1">
      <c r="A11" s="389" t="s">
        <v>204</v>
      </c>
      <c r="B11" s="266" t="s">
        <v>203</v>
      </c>
      <c r="C11" s="388" t="s">
        <v>0</v>
      </c>
      <c r="D11" s="386">
        <f>D12+D13+D14</f>
        <v>89113.382495644444</v>
      </c>
      <c r="E11" s="386">
        <f>E12+E13+E14</f>
        <v>88830.586908536119</v>
      </c>
      <c r="F11" s="386">
        <f>F12+F13+F14</f>
        <v>88365.026002419705</v>
      </c>
      <c r="G11" s="386">
        <f>G12+G13+G14</f>
        <v>101638.75511924221</v>
      </c>
      <c r="H11" s="386">
        <f>H12+H13+H14</f>
        <v>47095.118982287357</v>
      </c>
      <c r="I11" s="386">
        <f>I12+I13+I14</f>
        <v>116387.75244241621</v>
      </c>
      <c r="J11" s="386">
        <f>J12+J13+J14</f>
        <v>162700.66830793064</v>
      </c>
      <c r="K11" s="386">
        <f>K12+K13+K14</f>
        <v>167741.87364907598</v>
      </c>
      <c r="L11" s="386">
        <f>L12+L13+L14</f>
        <v>176031.04993927525</v>
      </c>
      <c r="M11" s="360">
        <f>M12+M13+M14</f>
        <v>109769.91409646446</v>
      </c>
      <c r="N11" s="360">
        <f>N12+N13+N14</f>
        <v>52930.754211466192</v>
      </c>
      <c r="O11" s="360" t="e">
        <f>O12+O13+O14</f>
        <v>#VALUE!</v>
      </c>
      <c r="P11" s="360">
        <f>P12+P13+P14</f>
        <v>-0.11089164721310951</v>
      </c>
      <c r="Q11" s="360">
        <f>Q12+Q13+Q14</f>
        <v>-0.45463247587826916</v>
      </c>
      <c r="R11" s="360">
        <f>R12+R13+R14</f>
        <v>112848.53089646446</v>
      </c>
      <c r="S11" s="360">
        <f>S12+S13+S14</f>
        <v>147147.76582064998</v>
      </c>
      <c r="T11" s="360">
        <f>T12+T13+T14</f>
        <v>145881.16194328436</v>
      </c>
      <c r="V11" s="3"/>
    </row>
    <row r="12" spans="1:22" ht="26.25" customHeight="1" thickTop="1">
      <c r="A12" s="353" t="s">
        <v>202</v>
      </c>
      <c r="B12" s="410" t="s">
        <v>201</v>
      </c>
      <c r="C12" s="352" t="s">
        <v>0</v>
      </c>
      <c r="D12" s="404">
        <v>79518.399999999994</v>
      </c>
      <c r="E12" s="404">
        <f>'[2]расшифровки ВС_2016'!E66</f>
        <v>75548.850217999992</v>
      </c>
      <c r="F12" s="404">
        <f>'[2]расшифровки ВС_2016'!F66</f>
        <v>75317.127132852678</v>
      </c>
      <c r="G12" s="404">
        <f>'[2]расшифровки ВС_2016'!G66</f>
        <v>87730.314410000006</v>
      </c>
      <c r="H12" s="404">
        <f>'[2]расшифровки ВС_2016'!H66</f>
        <v>40105.535199999998</v>
      </c>
      <c r="I12" s="404">
        <f>'[2]расшифровки ВС_2016'!I66</f>
        <v>103184.77899999999</v>
      </c>
      <c r="J12" s="404">
        <f>'[2]расшифровки ВС_2016'!J66</f>
        <v>149866.22293876001</v>
      </c>
      <c r="K12" s="404">
        <f>'[2]расшифровки ВС_2016'!K66</f>
        <v>154729.834568046</v>
      </c>
      <c r="L12" s="404">
        <f>'[2]расшифровки ВС_2016'!L66</f>
        <v>162459.493177761</v>
      </c>
      <c r="M12" s="369">
        <f>'[2]расшифровки ВС_2016'!M66</f>
        <v>98678.515022066742</v>
      </c>
      <c r="N12" s="369">
        <f>J12-M12</f>
        <v>51187.707916693267</v>
      </c>
      <c r="O12" s="403" t="s">
        <v>200</v>
      </c>
      <c r="P12" s="369">
        <f>M12/E12-1</f>
        <v>0.30615508690502824</v>
      </c>
      <c r="Q12" s="369">
        <f>M12/I12-1</f>
        <v>-4.3671789789201831E-2</v>
      </c>
      <c r="R12" s="369">
        <f>'[1]расшифровки ВС_2016'!O66</f>
        <v>101757.13182206675</v>
      </c>
      <c r="S12" s="369">
        <f>'[1]расшифровки ВС_2016'!Q66</f>
        <v>133628.00283119999</v>
      </c>
      <c r="T12" s="369">
        <f>'[1]расшифровки ВС_2016'!R66</f>
        <v>131780.04914528801</v>
      </c>
      <c r="V12" s="3"/>
    </row>
    <row r="13" spans="1:22">
      <c r="A13" s="353" t="s">
        <v>199</v>
      </c>
      <c r="B13" s="319" t="s">
        <v>198</v>
      </c>
      <c r="C13" s="352" t="s">
        <v>0</v>
      </c>
      <c r="D13" s="402">
        <v>4200</v>
      </c>
      <c r="E13" s="402">
        <f>'[2]расшифровки ВС_2016'!E80</f>
        <v>7795.1102408881325</v>
      </c>
      <c r="F13" s="402">
        <f>'[2]расшифровки ВС_2016'!F80</f>
        <v>7355.7455652621475</v>
      </c>
      <c r="G13" s="402">
        <f>'[2]расшифровки ВС_2016'!G80</f>
        <v>8197.4431674917996</v>
      </c>
      <c r="H13" s="402">
        <f>'[2]расшифровки ВС_2016'!H80</f>
        <v>4509.4796700873585</v>
      </c>
      <c r="I13" s="402">
        <f>'[2]расшифровки ВС_2016'!I80</f>
        <v>8595.627823016217</v>
      </c>
      <c r="J13" s="402">
        <f>'[2]расшифровки ВС_2016'!J80</f>
        <v>8029.6540141226305</v>
      </c>
      <c r="K13" s="402">
        <f>'[2]расшифровки ВС_2016'!K80</f>
        <v>8374.9291367299029</v>
      </c>
      <c r="L13" s="402">
        <f>'[2]расшифровки ВС_2016'!L80</f>
        <v>8735.0510896092874</v>
      </c>
      <c r="M13" s="402">
        <f>'[2]расшифровки ВС_2016'!M80</f>
        <v>8125.4956574377075</v>
      </c>
      <c r="N13" s="402">
        <f>J13-M13</f>
        <v>-95.841643315076908</v>
      </c>
      <c r="O13" s="409"/>
      <c r="P13" s="402">
        <f>M13/E13-1</f>
        <v>4.2383674680646077E-2</v>
      </c>
      <c r="Q13" s="402">
        <f>M13/I13-1</f>
        <v>-5.4694337081423239E-2</v>
      </c>
      <c r="R13" s="402">
        <f>'[1]расшифровки ВС_2016'!M80</f>
        <v>8125.4956574377075</v>
      </c>
      <c r="S13" s="402">
        <f>'[1]расшифровки ВС_2016'!Q80</f>
        <v>10060.522989449999</v>
      </c>
      <c r="T13" s="408">
        <f>'[1]расшифровки ВС_2016'!R80</f>
        <v>10493.125477996349</v>
      </c>
      <c r="V13" s="3"/>
    </row>
    <row r="14" spans="1:22" ht="26.25" thickBot="1">
      <c r="A14" s="393" t="s">
        <v>197</v>
      </c>
      <c r="B14" s="298" t="s">
        <v>196</v>
      </c>
      <c r="C14" s="392" t="s">
        <v>0</v>
      </c>
      <c r="D14" s="399">
        <f>'[2]расшифровки ВС_2016'!D97</f>
        <v>5394.9824956444436</v>
      </c>
      <c r="E14" s="399">
        <f>'[2]расшифровки ВС_2016'!E97</f>
        <v>5486.6264496479998</v>
      </c>
      <c r="F14" s="399">
        <f>'[2]расшифровки ВС_2016'!F97</f>
        <v>5692.1533043048876</v>
      </c>
      <c r="G14" s="399">
        <f>'[2]расшифровки ВС_2016'!G97</f>
        <v>5710.9975417504002</v>
      </c>
      <c r="H14" s="399">
        <f>'[2]расшифровки ВС_2016'!H97</f>
        <v>2480.1041121999997</v>
      </c>
      <c r="I14" s="399">
        <f>'[2]расшифровки ВС_2016'!I97</f>
        <v>4607.3456194</v>
      </c>
      <c r="J14" s="399">
        <f>'[2]расшифровки ВС_2016'!J97</f>
        <v>4804.7913550479998</v>
      </c>
      <c r="K14" s="399">
        <f>'[2]расшифровки ВС_2016'!K97</f>
        <v>4637.1099443000639</v>
      </c>
      <c r="L14" s="399">
        <f>'[2]расшифровки ВС_2016'!L97</f>
        <v>4836.5056719049662</v>
      </c>
      <c r="M14" s="406">
        <f>'[2]расшифровки ВС_2016'!M97</f>
        <v>2965.9034169599995</v>
      </c>
      <c r="N14" s="406">
        <f>J14-M14</f>
        <v>1838.8879380880003</v>
      </c>
      <c r="O14" s="407"/>
      <c r="P14" s="406">
        <f>M14/E14-1</f>
        <v>-0.45943040879878383</v>
      </c>
      <c r="Q14" s="406">
        <f>M14/I14-1</f>
        <v>-0.35626634900764409</v>
      </c>
      <c r="R14" s="406">
        <f>'[1]расшифровки ВС_2016'!M97</f>
        <v>2965.9034169599995</v>
      </c>
      <c r="S14" s="406">
        <f>'[1]расшифровки ВС_2016'!Q97</f>
        <v>3459.24</v>
      </c>
      <c r="T14" s="406">
        <f>'[1]расшифровки ВС_2016'!R97</f>
        <v>3607.9873199999997</v>
      </c>
      <c r="V14" s="3"/>
    </row>
    <row r="15" spans="1:22" ht="32.25" customHeight="1" thickTop="1" thickBot="1">
      <c r="A15" s="389" t="s">
        <v>195</v>
      </c>
      <c r="B15" s="266" t="s">
        <v>194</v>
      </c>
      <c r="C15" s="388" t="s">
        <v>0</v>
      </c>
      <c r="D15" s="386">
        <f>D16+D17+D18+D19+D20</f>
        <v>105396.42</v>
      </c>
      <c r="E15" s="386">
        <f>E16+E17+E18+E19+E20</f>
        <v>103452.49281295</v>
      </c>
      <c r="F15" s="386">
        <f>F16+F17+F18+F19+F20</f>
        <v>116277.5619902</v>
      </c>
      <c r="G15" s="386">
        <f>G16+G17+G18+G19+G20</f>
        <v>104348.416479765</v>
      </c>
      <c r="H15" s="386">
        <f>H16+H17+H18+H19+H20</f>
        <v>51176.511019999991</v>
      </c>
      <c r="I15" s="386">
        <f>I16+I17+I18+I19+I20</f>
        <v>114974.388955</v>
      </c>
      <c r="J15" s="386">
        <f>J16+J17+J18+J19+J20</f>
        <v>118675.34319160001</v>
      </c>
      <c r="K15" s="386">
        <f>K16+K17+K18+K19+K20</f>
        <v>124710.29588484119</v>
      </c>
      <c r="L15" s="386">
        <f>L16+L17+L18+L19+L20</f>
        <v>131201.76621657965</v>
      </c>
      <c r="M15" s="386">
        <f>M16+M17+M18+M19+M20</f>
        <v>115557.86320357147</v>
      </c>
      <c r="N15" s="386">
        <f>J15-M15</f>
        <v>3117.4799880285427</v>
      </c>
      <c r="O15" s="405"/>
      <c r="P15" s="386">
        <f>M15/E15-1</f>
        <v>0.1170138105082581</v>
      </c>
      <c r="Q15" s="386">
        <f>M15/I15-1</f>
        <v>5.0748193043219647E-3</v>
      </c>
      <c r="R15" s="386">
        <f>R16+R17+R18+R19+R20</f>
        <v>123155.32075543518</v>
      </c>
      <c r="S15" s="386">
        <f>S16+S17+S18+S19+S20</f>
        <v>105498.62642631</v>
      </c>
      <c r="T15" s="385">
        <f>T16+T17+T18+T19+T20</f>
        <v>117018.84816385001</v>
      </c>
      <c r="V15" s="3"/>
    </row>
    <row r="16" spans="1:22" ht="23.25" customHeight="1" thickTop="1">
      <c r="A16" s="353" t="s">
        <v>193</v>
      </c>
      <c r="B16" s="305" t="s">
        <v>192</v>
      </c>
      <c r="C16" s="352" t="s">
        <v>0</v>
      </c>
      <c r="D16" s="404">
        <f>69513.4+17519.4</f>
        <v>87032.799999999988</v>
      </c>
      <c r="E16" s="404">
        <f>'[2]расшифровки ВС_2016'!E154</f>
        <v>85452.684260000009</v>
      </c>
      <c r="F16" s="404">
        <f>'[2]расшифровки ВС_2016'!F154</f>
        <v>99221.139540000004</v>
      </c>
      <c r="G16" s="404">
        <f>'[2]расшифровки ВС_2016'!G154</f>
        <v>85402.459593000007</v>
      </c>
      <c r="H16" s="404">
        <f>'[2]расшифровки ВС_2016'!H154</f>
        <v>43117.899999999994</v>
      </c>
      <c r="I16" s="404">
        <f>'[2]расшифровки ВС_2016'!I154</f>
        <v>95641.9</v>
      </c>
      <c r="J16" s="404">
        <f>'[2]расшифровки ВС_2016'!J154</f>
        <v>99503.809000000008</v>
      </c>
      <c r="K16" s="404">
        <f>'[2]расшифровки ВС_2016'!K154</f>
        <v>104777.511</v>
      </c>
      <c r="L16" s="404">
        <f>'[2]расшифровки ВС_2016'!L154</f>
        <v>110330.72</v>
      </c>
      <c r="M16" s="369">
        <f>'[2]расшифровки ВС_2016'!M154</f>
        <v>96985.115341571465</v>
      </c>
      <c r="N16" s="369">
        <f>J16-M16</f>
        <v>2518.6936584285431</v>
      </c>
      <c r="O16" s="403" t="s">
        <v>191</v>
      </c>
      <c r="P16" s="369">
        <f>M16/E16-1</f>
        <v>0.13495692009489901</v>
      </c>
      <c r="Q16" s="369">
        <f>M16/I16-1</f>
        <v>1.4044214319994364E-2</v>
      </c>
      <c r="R16" s="369">
        <f>'[1]Расчёт ВС методом индексации'!P12</f>
        <v>103386.13295411518</v>
      </c>
      <c r="S16" s="369">
        <f>'[1]расшифровки ВС_2016'!Q154</f>
        <v>85528.498552809993</v>
      </c>
      <c r="T16" s="369">
        <f>'[1]расшифровки ВС_2016'!R154</f>
        <v>95104.105788100002</v>
      </c>
      <c r="V16" s="3"/>
    </row>
    <row r="17" spans="1:22">
      <c r="A17" s="353" t="s">
        <v>190</v>
      </c>
      <c r="B17" s="319" t="s">
        <v>189</v>
      </c>
      <c r="C17" s="352" t="s">
        <v>0</v>
      </c>
      <c r="D17" s="402">
        <v>3586.36</v>
      </c>
      <c r="E17" s="402">
        <f>'[2]расшифровки ВС_2016'!E177</f>
        <v>5039.5480114000002</v>
      </c>
      <c r="F17" s="402">
        <f>'[2]расшифровки ВС_2016'!F177</f>
        <v>2715.3230250000001</v>
      </c>
      <c r="G17" s="402">
        <f>'[2]расшифровки ВС_2016'!G177</f>
        <v>4381.1189226000006</v>
      </c>
      <c r="H17" s="402">
        <f>'[2]расшифровки ВС_2016'!H172</f>
        <v>2627.95</v>
      </c>
      <c r="I17" s="402">
        <f>'[2]расшифровки ВС_2016'!I172</f>
        <v>4391.75</v>
      </c>
      <c r="J17" s="402">
        <f>'[2]расшифровки ВС_2016'!J172</f>
        <v>3579.2224999999999</v>
      </c>
      <c r="K17" s="402">
        <f>'[2]расшифровки ВС_2016'!K172</f>
        <v>3733.1290674999996</v>
      </c>
      <c r="L17" s="402">
        <f>'[2]расшифровки ВС_2016'!L172</f>
        <v>3893.6536174024991</v>
      </c>
      <c r="M17" s="400">
        <f>'[2]расшифровки ВС_2016'!M177</f>
        <v>3486.3068749999993</v>
      </c>
      <c r="N17" s="400">
        <f>J17-M17</f>
        <v>92.915625000000546</v>
      </c>
      <c r="O17" s="401"/>
      <c r="P17" s="400">
        <f>M17/E17-1</f>
        <v>-0.30821040555351431</v>
      </c>
      <c r="Q17" s="400">
        <f>M17/I17-1</f>
        <v>-0.20616909546308437</v>
      </c>
      <c r="R17" s="400">
        <f>'[1]Неподконтрольные расходы ВС'!P8-77.65</f>
        <v>4307.0778513200012</v>
      </c>
      <c r="S17" s="400">
        <f>'[1]расшифровки ВС_2016'!Q173</f>
        <v>4384.7278513200008</v>
      </c>
      <c r="T17" s="400">
        <f>'[1]расшифровки ВС_2016'!R173</f>
        <v>4537.2016825000001</v>
      </c>
      <c r="V17" s="3"/>
    </row>
    <row r="18" spans="1:22" hidden="1">
      <c r="A18" s="353" t="s">
        <v>188</v>
      </c>
      <c r="B18" s="319" t="s">
        <v>187</v>
      </c>
      <c r="C18" s="352" t="s">
        <v>0</v>
      </c>
      <c r="D18" s="402"/>
      <c r="E18" s="402">
        <f>'[2]расшифровки ВС_2016'!E195</f>
        <v>0</v>
      </c>
      <c r="F18" s="402"/>
      <c r="G18" s="402">
        <f>'[2]расшифровки ВС_2016'!G195</f>
        <v>0</v>
      </c>
      <c r="H18" s="402">
        <f>'[2]расшифровки ВС_2016'!H195</f>
        <v>0</v>
      </c>
      <c r="I18" s="402">
        <f>'[2]расшифровки ВС_2016'!I195</f>
        <v>0</v>
      </c>
      <c r="J18" s="402">
        <f>'[2]расшифровки ВС_2016'!J195</f>
        <v>0</v>
      </c>
      <c r="K18" s="402">
        <f>'[2]расшифровки ВС_2016'!K195</f>
        <v>0</v>
      </c>
      <c r="L18" s="402">
        <f>'[2]расшифровки ВС_2016'!L195</f>
        <v>0</v>
      </c>
      <c r="M18" s="400"/>
      <c r="N18" s="400">
        <f>J18-M18</f>
        <v>0</v>
      </c>
      <c r="O18" s="401"/>
      <c r="P18" s="400">
        <v>0</v>
      </c>
      <c r="Q18" s="400"/>
      <c r="R18" s="400">
        <v>0</v>
      </c>
      <c r="S18" s="400"/>
      <c r="T18" s="400"/>
      <c r="V18" s="3"/>
    </row>
    <row r="19" spans="1:22">
      <c r="A19" s="353" t="s">
        <v>186</v>
      </c>
      <c r="B19" s="319" t="s">
        <v>185</v>
      </c>
      <c r="C19" s="352" t="s">
        <v>0</v>
      </c>
      <c r="D19" s="402">
        <v>1091.46</v>
      </c>
      <c r="E19" s="402">
        <f>'[2]расшифровки ВС_2016'!E219</f>
        <v>765.9913415499999</v>
      </c>
      <c r="F19" s="402">
        <f>'[2]расшифровки ВС_2016'!F219</f>
        <v>987.50872519999996</v>
      </c>
      <c r="G19" s="402">
        <f>'[2]расшифровки ВС_2016'!G219</f>
        <v>1459.1224141649998</v>
      </c>
      <c r="H19" s="402">
        <f>'[2]расшифровки ВС_2016'!H219</f>
        <v>626.36227999999994</v>
      </c>
      <c r="I19" s="402">
        <f>'[2]расшифровки ВС_2016'!I219</f>
        <v>1558.3150799999999</v>
      </c>
      <c r="J19" s="402">
        <f>'[2]расшифровки ВС_2016'!J219</f>
        <v>1865.5016386</v>
      </c>
      <c r="K19" s="402">
        <f>'[2]расшифровки ВС_2016'!K219</f>
        <v>1972.1421660517999</v>
      </c>
      <c r="L19" s="402">
        <f>'[2]расшифровки ВС_2016'!L219</f>
        <v>2085.4957272883826</v>
      </c>
      <c r="M19" s="400">
        <f>'[2]расшифровки ВС_2016'!M219</f>
        <v>1097.361787</v>
      </c>
      <c r="N19" s="400">
        <f>J19-M19</f>
        <v>768.13985159999993</v>
      </c>
      <c r="O19" s="401"/>
      <c r="P19" s="400">
        <f>M19/E19-1</f>
        <v>0.43260338266939802</v>
      </c>
      <c r="Q19" s="400">
        <f>M19/I19-1</f>
        <v>-0.29580236944122995</v>
      </c>
      <c r="R19" s="400">
        <f>'[1]Неподконтрольные расходы ВС'!P9</f>
        <v>0</v>
      </c>
      <c r="S19" s="400">
        <f>'[1]расшифровки ВС_2016'!Q215</f>
        <v>1377.82390394</v>
      </c>
      <c r="T19" s="400">
        <f>'[1]расшифровки ВС_2016'!R215</f>
        <v>1915.43074325</v>
      </c>
      <c r="V19" s="3"/>
    </row>
    <row r="20" spans="1:22" ht="15.75" thickBot="1">
      <c r="A20" s="393" t="s">
        <v>184</v>
      </c>
      <c r="B20" s="298" t="s">
        <v>183</v>
      </c>
      <c r="C20" s="392" t="s">
        <v>0</v>
      </c>
      <c r="D20" s="399">
        <f>13685.8</f>
        <v>13685.8</v>
      </c>
      <c r="E20" s="399">
        <f>'[2]расшифровки ВС_2016'!E240</f>
        <v>12194.269200000001</v>
      </c>
      <c r="F20" s="399">
        <f>'[2]расшифровки ВС_2016'!F240</f>
        <v>13353.590700000001</v>
      </c>
      <c r="G20" s="399">
        <f>'[2]расшифровки ВС_2016'!G240</f>
        <v>13105.715549999999</v>
      </c>
      <c r="H20" s="399">
        <f>'[2]расшифровки ВС_2016'!H240</f>
        <v>4804.2987400000002</v>
      </c>
      <c r="I20" s="399">
        <f>'[2]расшифровки ВС_2016'!I240</f>
        <v>13382.423875</v>
      </c>
      <c r="J20" s="399">
        <f>'[2]расшифровки ВС_2016'!J240</f>
        <v>13726.810052999997</v>
      </c>
      <c r="K20" s="399">
        <f>'[2]расшифровки ВС_2016'!K240</f>
        <v>14227.513651289395</v>
      </c>
      <c r="L20" s="399">
        <f>'[2]расшифровки ВС_2016'!L240</f>
        <v>14891.896871888763</v>
      </c>
      <c r="M20" s="397">
        <f>'[2]расшифровки ВС_2016'!M240</f>
        <v>13989.0792</v>
      </c>
      <c r="N20" s="397">
        <f>J20-M20</f>
        <v>-262.2691470000027</v>
      </c>
      <c r="O20" s="398"/>
      <c r="P20" s="397">
        <f>M20/E20-1</f>
        <v>0.14718471197929595</v>
      </c>
      <c r="Q20" s="397">
        <f>M20/I20-1</f>
        <v>4.5332245538366678E-2</v>
      </c>
      <c r="R20" s="397">
        <f>'[1]Неподконтрольные расходы ВС'!Q11</f>
        <v>15462.109949999998</v>
      </c>
      <c r="S20" s="397">
        <f>'[1]расшифровки ВС_2016'!Q236</f>
        <v>14207.576118240002</v>
      </c>
      <c r="T20" s="397">
        <f>'[1]расшифровки ВС_2016'!R236</f>
        <v>15462.109949999998</v>
      </c>
      <c r="V20" s="3"/>
    </row>
    <row r="21" spans="1:22" ht="60.75" customHeight="1" thickTop="1" thickBot="1">
      <c r="A21" s="389" t="s">
        <v>182</v>
      </c>
      <c r="B21" s="396" t="s">
        <v>181</v>
      </c>
      <c r="C21" s="388" t="s">
        <v>180</v>
      </c>
      <c r="D21" s="386">
        <f>'[2]расшифровки ВС_2016'!D262</f>
        <v>0</v>
      </c>
      <c r="E21" s="386">
        <f>'[2]расшифровки ВС_2016'!E262</f>
        <v>0</v>
      </c>
      <c r="F21" s="386">
        <f>'[2]расшифровки ВС_2016'!F262</f>
        <v>8426.7199999999993</v>
      </c>
      <c r="G21" s="386">
        <f>'[2]расшифровки ВС_2016'!G262</f>
        <v>0</v>
      </c>
      <c r="H21" s="386">
        <f>'[2]расшифровки ВС_2016'!H262</f>
        <v>0</v>
      </c>
      <c r="I21" s="386">
        <f>'[2]расшифровки ВС_2016'!I262</f>
        <v>0</v>
      </c>
      <c r="J21" s="386">
        <v>-8426.7199999999993</v>
      </c>
      <c r="K21" s="386">
        <f>'[2]расшифровки ВС_2016'!K262</f>
        <v>0</v>
      </c>
      <c r="L21" s="386">
        <f>'[2]расшифровки ВС_2016'!L262</f>
        <v>0</v>
      </c>
      <c r="M21" s="380">
        <f>'[2]расшифровки ВС_2016'!M262</f>
        <v>7520.625</v>
      </c>
      <c r="N21" s="380">
        <f>J21-M21</f>
        <v>-15947.344999999999</v>
      </c>
      <c r="O21" s="390" t="s">
        <v>179</v>
      </c>
      <c r="P21" s="380"/>
      <c r="Q21" s="380"/>
      <c r="R21" s="380">
        <f>'[1]Неподконтрольные расходы ВС'!N13</f>
        <v>7701.12</v>
      </c>
      <c r="S21" s="354">
        <f>'[1]расшифровки ВС_2016'!Q258</f>
        <v>0</v>
      </c>
      <c r="T21" s="354">
        <f>'[1]расшифровки ВС_2016'!R258</f>
        <v>0</v>
      </c>
      <c r="V21" s="3"/>
    </row>
    <row r="22" spans="1:22" ht="56.25" customHeight="1" thickTop="1" thickBot="1">
      <c r="A22" s="395" t="s">
        <v>178</v>
      </c>
      <c r="B22" s="394" t="s">
        <v>177</v>
      </c>
      <c r="C22" s="355" t="s">
        <v>0</v>
      </c>
      <c r="D22" s="291">
        <f>D23+D24</f>
        <v>129000.3</v>
      </c>
      <c r="E22" s="291">
        <f>E23+E24</f>
        <v>210139.09843222803</v>
      </c>
      <c r="F22" s="291">
        <f>F23+F24</f>
        <v>217423.83819531021</v>
      </c>
      <c r="G22" s="291">
        <f>G23+G24</f>
        <v>232666.03230837121</v>
      </c>
      <c r="H22" s="291">
        <f>H23+H24</f>
        <v>107191.418607</v>
      </c>
      <c r="I22" s="291">
        <f>I23+I24</f>
        <v>224365.84756513202</v>
      </c>
      <c r="J22" s="291">
        <f>J23+J24</f>
        <v>214820.0702042976</v>
      </c>
      <c r="K22" s="291">
        <f>K23+K24</f>
        <v>220274.52633509354</v>
      </c>
      <c r="L22" s="291">
        <f>L23+L24</f>
        <v>229746.33096750252</v>
      </c>
      <c r="M22" s="380">
        <f>M23+M24</f>
        <v>214820.0702042976</v>
      </c>
      <c r="N22" s="380">
        <f>N23+N24</f>
        <v>0</v>
      </c>
      <c r="O22" s="390">
        <f>O23+O24</f>
        <v>0</v>
      </c>
      <c r="P22" s="380">
        <f>P23+P24</f>
        <v>4.4551174027038343E-2</v>
      </c>
      <c r="Q22" s="380">
        <f>Q23+Q24</f>
        <v>-8.5091180002904387E-2</v>
      </c>
      <c r="R22" s="380">
        <f>R23+R24</f>
        <v>221635.82464967802</v>
      </c>
      <c r="S22" s="354">
        <f>S23+S24</f>
        <v>225564.85589399998</v>
      </c>
      <c r="T22" s="380">
        <f>T23+T24</f>
        <v>242051.6704357611</v>
      </c>
      <c r="V22" s="3"/>
    </row>
    <row r="23" spans="1:22" ht="33.75" customHeight="1" thickTop="1" thickBot="1">
      <c r="A23" s="353" t="s">
        <v>176</v>
      </c>
      <c r="B23" s="305" t="s">
        <v>175</v>
      </c>
      <c r="C23" s="352" t="s">
        <v>0</v>
      </c>
      <c r="D23" s="391">
        <f>28287.8+17967.8+52823</f>
        <v>99078.6</v>
      </c>
      <c r="E23" s="391">
        <f>'[2]Зар.плата осн.персонала'!E112</f>
        <v>161397.15701400003</v>
      </c>
      <c r="F23" s="391">
        <f>'[2]Зар.плата осн.персонала'!F150</f>
        <v>166992.19523449324</v>
      </c>
      <c r="G23" s="391">
        <f>'[2]Зар.плата осн.персонала'!G112</f>
        <v>178698.94954560001</v>
      </c>
      <c r="H23" s="391">
        <f>'[2]Зар.плата осн.персонала'!H112</f>
        <v>82328.2785</v>
      </c>
      <c r="I23" s="391">
        <f>'[2]Зар.плата осн.персонала'!I112</f>
        <v>172323.99966600002</v>
      </c>
      <c r="J23" s="391">
        <f>'[2]Зар.плата осн.персонала'!J112</f>
        <v>164992.3734288</v>
      </c>
      <c r="K23" s="391">
        <f>'[2]Зар.плата осн.персонала'!K112</f>
        <v>169181.66385183836</v>
      </c>
      <c r="L23" s="391">
        <f>'[2]Зар.плата осн.персонала'!L112</f>
        <v>176456.47539746738</v>
      </c>
      <c r="M23" s="380">
        <f>'[2]Зар.плата осн.персонала'!M150</f>
        <v>164992.3734288</v>
      </c>
      <c r="N23" s="380">
        <f>J23-M23</f>
        <v>0</v>
      </c>
      <c r="O23" s="390">
        <f>'[2]Зар.плата осн.персонала'!O150</f>
        <v>0</v>
      </c>
      <c r="P23" s="380">
        <f>M23/E23-1</f>
        <v>2.2275587013519171E-2</v>
      </c>
      <c r="Q23" s="380">
        <f>M23/I23-1</f>
        <v>-4.2545590001452194E-2</v>
      </c>
      <c r="R23" s="380">
        <f>'[1]Базовый уровень опер.расх.ВС '!N11-'[1]Базовый уровень опер.расх.ВС '!N12</f>
        <v>170227.2044965575</v>
      </c>
      <c r="S23" s="354">
        <f>'[1]Зар.плата осн.персонала (2)'!N150</f>
        <v>173244.897</v>
      </c>
      <c r="T23" s="380">
        <f>'[1]Зар.плата осн.персонала (2)'!Q150</f>
        <v>188464.28795655296</v>
      </c>
      <c r="V23" s="3"/>
    </row>
    <row r="24" spans="1:22" ht="33.75" customHeight="1" thickTop="1" thickBot="1">
      <c r="A24" s="393" t="s">
        <v>174</v>
      </c>
      <c r="B24" s="298" t="s">
        <v>173</v>
      </c>
      <c r="C24" s="392" t="s">
        <v>0</v>
      </c>
      <c r="D24" s="391">
        <f>8542.9+5426.3+15952.5</f>
        <v>29921.7</v>
      </c>
      <c r="E24" s="391">
        <f>'[2]Зар.плата осн.персонала'!E152</f>
        <v>48741.941418228009</v>
      </c>
      <c r="F24" s="391">
        <f>'[2]Зар.плата осн.персонала'!F152</f>
        <v>50431.642960816956</v>
      </c>
      <c r="G24" s="391">
        <f>'[2]Зар.плата осн.персонала'!G152</f>
        <v>53967.082762771199</v>
      </c>
      <c r="H24" s="391">
        <f>'[2]Зар.плата осн.персонала'!H152</f>
        <v>24863.140106999999</v>
      </c>
      <c r="I24" s="391">
        <f>'[2]Зар.плата осн.персонала'!I152</f>
        <v>52041.847899132008</v>
      </c>
      <c r="J24" s="391">
        <f>'[2]Зар.плата осн.персонала'!J152</f>
        <v>49827.696775497599</v>
      </c>
      <c r="K24" s="391">
        <f>'[2]Зар.плата осн.персонала'!K152</f>
        <v>51092.862483255187</v>
      </c>
      <c r="L24" s="391">
        <f>'[2]Зар.плата осн.персонала'!L152</f>
        <v>53289.85557003515</v>
      </c>
      <c r="M24" s="380">
        <f>'[2]Зар.плата осн.персонала'!M152</f>
        <v>49827.696775497599</v>
      </c>
      <c r="N24" s="380">
        <f>J24-M24</f>
        <v>0</v>
      </c>
      <c r="O24" s="390">
        <f>'[2]Зар.плата осн.персонала'!O152</f>
        <v>0</v>
      </c>
      <c r="P24" s="380">
        <f>M24/E24-1</f>
        <v>2.2275587013519171E-2</v>
      </c>
      <c r="Q24" s="380">
        <f>M24/I24-1</f>
        <v>-4.2545590001452194E-2</v>
      </c>
      <c r="R24" s="380">
        <f>'[1]Базовый уровень опер.расх.ВС '!N12</f>
        <v>51408.620153120515</v>
      </c>
      <c r="S24" s="354">
        <f>'[1]Зар.плата осн.персонала (2)'!N152</f>
        <v>52319.958893999996</v>
      </c>
      <c r="T24" s="380">
        <f>'[1]Зар.плата осн.персонала (2)'!Q152</f>
        <v>53587.382479208143</v>
      </c>
      <c r="V24" s="3"/>
    </row>
    <row r="25" spans="1:22" ht="31.5" thickTop="1" thickBot="1">
      <c r="A25" s="389" t="s">
        <v>172</v>
      </c>
      <c r="B25" s="266" t="s">
        <v>171</v>
      </c>
      <c r="C25" s="388" t="s">
        <v>0</v>
      </c>
      <c r="D25" s="387">
        <f>'[2]расшифровки ВС_2016'!D277</f>
        <v>7134.3047967231996</v>
      </c>
      <c r="E25" s="387">
        <f>'[2]расшифровки ВС_2016'!E277</f>
        <v>6593.4003141701987</v>
      </c>
      <c r="F25" s="387">
        <f>'[2]расшифровки ВС_2016'!F277</f>
        <v>15270.548474879999</v>
      </c>
      <c r="G25" s="387">
        <f>'[2]расшифровки ВС_2016'!G277</f>
        <v>18865.194651292681</v>
      </c>
      <c r="H25" s="387">
        <f>'[2]расшифровки ВС_2016'!H277</f>
        <v>7796.6153129269987</v>
      </c>
      <c r="I25" s="387">
        <f>'[2]расшифровки ВС_2016'!I277</f>
        <v>14224.503886774455</v>
      </c>
      <c r="J25" s="387">
        <f>'[2]расшифровки ВС_2016'!J277</f>
        <v>24529.93735</v>
      </c>
      <c r="K25" s="387">
        <f>'[2]расшифровки ВС_2016'!K277</f>
        <v>11084.6847375</v>
      </c>
      <c r="L25" s="387">
        <f>'[2]расшифровки ВС_2016'!L277</f>
        <v>5542.3423687499999</v>
      </c>
      <c r="M25" s="387">
        <f>'[2]расшифровки ВС_2016'!M277</f>
        <v>22829.93735</v>
      </c>
      <c r="N25" s="387">
        <f>J25-M25</f>
        <v>1700</v>
      </c>
      <c r="O25" s="207" t="s">
        <v>170</v>
      </c>
      <c r="P25" s="387">
        <f>M25/E25-1</f>
        <v>2.4625437956398715</v>
      </c>
      <c r="Q25" s="386">
        <f>M25/I25-1</f>
        <v>0.60497248492628519</v>
      </c>
      <c r="R25" s="387">
        <f>'[1]Неподконтрольные расходы ВС'!N34</f>
        <v>26541</v>
      </c>
      <c r="S25" s="386">
        <f>'[1]расшифровки ВС_2016'!Q277</f>
        <v>26249.045712344003</v>
      </c>
      <c r="T25" s="385">
        <f>'[1]расшифровки ВС_2016'!R277</f>
        <v>28188.524000000005</v>
      </c>
      <c r="V25" s="3"/>
    </row>
    <row r="26" spans="1:22" ht="17.25" thickTop="1" thickBot="1">
      <c r="A26" s="356" t="s">
        <v>169</v>
      </c>
      <c r="B26" s="384" t="s">
        <v>168</v>
      </c>
      <c r="C26" s="355" t="s">
        <v>0</v>
      </c>
      <c r="D26" s="383">
        <v>5460.95</v>
      </c>
      <c r="E26" s="383">
        <v>23785.78</v>
      </c>
      <c r="F26" s="383">
        <v>50533</v>
      </c>
      <c r="G26" s="383">
        <v>24853</v>
      </c>
      <c r="H26" s="383">
        <f>'[2]Цеховые расходы '!J63</f>
        <v>12507.791422336721</v>
      </c>
      <c r="I26" s="383">
        <f>'[2]Цеховые расходы '!K63</f>
        <v>24877.432215673445</v>
      </c>
      <c r="J26" s="383">
        <f>'[2]Цеховые расходы '!L63</f>
        <v>26101.316212873742</v>
      </c>
      <c r="K26" s="383">
        <f>'[2]Цеховые расходы '!M63</f>
        <v>27313.396548131317</v>
      </c>
      <c r="L26" s="383">
        <f>'[2]Цеховые расходы '!N63</f>
        <v>28427.743100161963</v>
      </c>
      <c r="M26" s="291">
        <f>'[2]Цеховые расходы '!O63</f>
        <v>14929.50682114878</v>
      </c>
      <c r="N26" s="291">
        <f>J26-M26</f>
        <v>11171.809391724963</v>
      </c>
      <c r="O26" s="382"/>
      <c r="P26" s="291">
        <f>M26/E26-1</f>
        <v>-0.37233478064840508</v>
      </c>
      <c r="Q26" s="291">
        <f>M26/I26-1</f>
        <v>-0.39987749974682707</v>
      </c>
      <c r="R26" s="291">
        <f>'[1]Базовый уровень опер.расх.ВС '!M14</f>
        <v>14929.51</v>
      </c>
      <c r="S26" s="291">
        <f>'[1]Цеховые расходы '!R70</f>
        <v>28675.177440000003</v>
      </c>
      <c r="T26" s="379">
        <f>'[1]Цеховые расходы '!S70</f>
        <v>31361.375226692224</v>
      </c>
      <c r="V26" s="3"/>
    </row>
    <row r="27" spans="1:22" ht="16.5" thickTop="1" thickBot="1">
      <c r="A27" s="356" t="s">
        <v>167</v>
      </c>
      <c r="B27" s="225" t="s">
        <v>166</v>
      </c>
      <c r="C27" s="355" t="s">
        <v>0</v>
      </c>
      <c r="D27" s="308">
        <f>D28+D29+D30+D31</f>
        <v>5785.4</v>
      </c>
      <c r="E27" s="308">
        <f>E28+E29+E30+E31</f>
        <v>5697.1114371840049</v>
      </c>
      <c r="F27" s="308">
        <f>F28+F29+F30+F31</f>
        <v>1583.56</v>
      </c>
      <c r="G27" s="308">
        <f>G28+G29+G30+G31</f>
        <v>12645.120314399999</v>
      </c>
      <c r="H27" s="308">
        <f>H28+H29+H30+H31</f>
        <v>6942.5985887999996</v>
      </c>
      <c r="I27" s="308">
        <f>I28+I29+I30+I31</f>
        <v>12159.097845599999</v>
      </c>
      <c r="J27" s="308">
        <f>J28+J29+J30+J31</f>
        <v>10821.112050592001</v>
      </c>
      <c r="K27" s="308">
        <f>K28+K29+K30+K31</f>
        <v>10998.795656887454</v>
      </c>
      <c r="L27" s="308">
        <f>L28+L29+L30+L31</f>
        <v>11441.541842098617</v>
      </c>
      <c r="M27" s="380">
        <f>'[2]расшифровки ВС_2016'!M306</f>
        <v>16349.728599999999</v>
      </c>
      <c r="N27" s="380">
        <f>J27-M27</f>
        <v>-5528.6165494079978</v>
      </c>
      <c r="O27" s="381"/>
      <c r="P27" s="380">
        <f>M27/E27-1</f>
        <v>1.8698277680314113</v>
      </c>
      <c r="Q27" s="380">
        <f>M27/I27-1</f>
        <v>0.3446498093537802</v>
      </c>
      <c r="R27" s="291">
        <f>R28+R29+R30+R31</f>
        <v>16349.73</v>
      </c>
      <c r="S27" s="291">
        <f>S28+S29+S30+S31</f>
        <v>20850.682059999999</v>
      </c>
      <c r="T27" s="379">
        <f>T28+T29+T30+T31</f>
        <v>23871.431808802714</v>
      </c>
      <c r="V27" s="3"/>
    </row>
    <row r="28" spans="1:22" ht="27" customHeight="1" thickTop="1">
      <c r="A28" s="353" t="s">
        <v>165</v>
      </c>
      <c r="B28" s="305" t="s">
        <v>164</v>
      </c>
      <c r="C28" s="352" t="s">
        <v>0</v>
      </c>
      <c r="D28" s="303">
        <f>'[2]расшифровки ВС_2016'!D286</f>
        <v>2485.4</v>
      </c>
      <c r="E28" s="303">
        <f>'[2]расшифровки ВС_2016'!E286</f>
        <v>0</v>
      </c>
      <c r="F28" s="303"/>
      <c r="G28" s="303">
        <f>'[2]расшифровки ВС_2016'!G286</f>
        <v>0</v>
      </c>
      <c r="H28" s="303">
        <f>'[2]расшифровки ВС_2016'!H286</f>
        <v>0</v>
      </c>
      <c r="I28" s="303">
        <f>'[2]расшифровки ВС_2016'!I286</f>
        <v>0</v>
      </c>
      <c r="J28" s="303">
        <f>'[2]расшифровки ВС_2016'!J286</f>
        <v>2677.5</v>
      </c>
      <c r="K28" s="303">
        <f>'[2]расшифровки ВС_2016'!K286</f>
        <v>2701.23</v>
      </c>
      <c r="L28" s="303">
        <f>'[2]расшифровки ВС_2016'!L286</f>
        <v>2985.36</v>
      </c>
      <c r="M28" s="369">
        <f>'[2]расшифровки ВС_2016'!M286</f>
        <v>2677.5</v>
      </c>
      <c r="N28" s="378">
        <f>J28-M28</f>
        <v>0</v>
      </c>
      <c r="O28" s="351"/>
      <c r="P28" s="378"/>
      <c r="Q28" s="369"/>
      <c r="R28" s="369">
        <f>'[1]Базовый уровень опер.расх.ВС '!M17</f>
        <v>2677.5</v>
      </c>
      <c r="S28" s="369">
        <f>'[1]расшифровки ВС_2016'!Q286</f>
        <v>4051.54</v>
      </c>
      <c r="T28" s="369">
        <f>'[1]расшифровки ВС_2016'!R286</f>
        <v>4225.7562199999993</v>
      </c>
      <c r="V28" s="3"/>
    </row>
    <row r="29" spans="1:22" ht="30.75" hidden="1" customHeight="1">
      <c r="A29" s="372" t="s">
        <v>163</v>
      </c>
      <c r="B29" s="319" t="s">
        <v>162</v>
      </c>
      <c r="C29" s="371" t="s">
        <v>0</v>
      </c>
      <c r="D29" s="316">
        <v>2300</v>
      </c>
      <c r="E29" s="316">
        <f>'[2]расшифровки ВС_2016'!E387</f>
        <v>2400</v>
      </c>
      <c r="F29" s="316"/>
      <c r="G29" s="376">
        <f>'[2]расшифровки ВС_2016'!G387</f>
        <v>9840.1203143999992</v>
      </c>
      <c r="H29" s="376">
        <f>'[2]расшифровки ВС_2016'!H387</f>
        <v>5891.1239999999998</v>
      </c>
      <c r="I29" s="376">
        <f>'[2]расшифровки ВС_2016'!I387</f>
        <v>10056.148668</v>
      </c>
      <c r="J29" s="376">
        <f>'[2]расшифровки ВС_2016'!J387</f>
        <v>5946.0301600000003</v>
      </c>
      <c r="K29" s="376">
        <f>'[2]расшифровки ВС_2016'!K387</f>
        <v>6005.4877449999994</v>
      </c>
      <c r="L29" s="376">
        <f>'[2]расшифровки ВС_2016'!L387</f>
        <v>6065.5445799999998</v>
      </c>
      <c r="M29" s="374">
        <v>0</v>
      </c>
      <c r="N29" s="376"/>
      <c r="O29" s="377" t="s">
        <v>161</v>
      </c>
      <c r="P29" s="376"/>
      <c r="Q29" s="375"/>
      <c r="R29" s="374">
        <v>0</v>
      </c>
      <c r="S29" s="374">
        <v>0</v>
      </c>
      <c r="T29" s="373">
        <v>0</v>
      </c>
      <c r="V29" s="3"/>
    </row>
    <row r="30" spans="1:22">
      <c r="A30" s="372" t="s">
        <v>160</v>
      </c>
      <c r="B30" s="319" t="s">
        <v>159</v>
      </c>
      <c r="C30" s="371" t="s">
        <v>0</v>
      </c>
      <c r="D30" s="316">
        <v>1000</v>
      </c>
      <c r="E30" s="316">
        <f>'[2]расшифровки ВС_2016'!E291</f>
        <v>3297.1114371840054</v>
      </c>
      <c r="F30" s="316">
        <f>'[2]расшифровки ВС_2016'!F291</f>
        <v>1583.56</v>
      </c>
      <c r="G30" s="316">
        <f>'[2]расшифровки ВС_2016'!G291</f>
        <v>2805</v>
      </c>
      <c r="H30" s="316">
        <f>'[2]расшифровки ВС_2016'!H291</f>
        <v>1051.4745887999998</v>
      </c>
      <c r="I30" s="316">
        <f>'[2]расшифровки ВС_2016'!I291</f>
        <v>2102.9491775999995</v>
      </c>
      <c r="J30" s="316">
        <f>'[2]расшифровки ВС_2016'!J291</f>
        <v>2197.5818905919996</v>
      </c>
      <c r="K30" s="316">
        <f>'[2]расшифровки ВС_2016'!K291</f>
        <v>2292.0779118874552</v>
      </c>
      <c r="L30" s="316">
        <f>'[2]расшифровки ВС_2016'!L291</f>
        <v>2390.6372620986158</v>
      </c>
      <c r="M30" s="369">
        <f>'[2]расшифровки ВС_2016'!M291</f>
        <v>2102.9499999999998</v>
      </c>
      <c r="N30" s="369">
        <f>J30-M30</f>
        <v>94.631890591999763</v>
      </c>
      <c r="O30" s="317"/>
      <c r="P30" s="369">
        <f>M30/E30-1</f>
        <v>-0.36218412993766269</v>
      </c>
      <c r="Q30" s="369">
        <f>M30/I30-1</f>
        <v>3.9106984095482744E-7</v>
      </c>
      <c r="R30" s="369">
        <f>'[1]Базовый уровень опер.расх.ВС '!M18</f>
        <v>2102.9499999999998</v>
      </c>
      <c r="S30" s="369">
        <f>'[1]расшифровки ВС_2016'!Q291</f>
        <v>2469.6567600000003</v>
      </c>
      <c r="T30" s="369">
        <f>'[1]расшифровки ВС_2016'!R291</f>
        <v>2575.8520006799999</v>
      </c>
      <c r="V30" s="3"/>
    </row>
    <row r="31" spans="1:22" ht="57.75" customHeight="1" thickBot="1">
      <c r="A31" s="348" t="s">
        <v>158</v>
      </c>
      <c r="B31" s="305" t="s">
        <v>157</v>
      </c>
      <c r="C31" s="346" t="s">
        <v>0</v>
      </c>
      <c r="D31" s="345">
        <f>'[2]расшифровки ВС_2016'!D292</f>
        <v>0</v>
      </c>
      <c r="E31" s="345">
        <f>'[2]расшифровки ВС_2016'!E292</f>
        <v>0</v>
      </c>
      <c r="F31" s="345"/>
      <c r="G31" s="345">
        <f>'[2]расшифровки ВС_2016'!G292</f>
        <v>0</v>
      </c>
      <c r="H31" s="345">
        <f>'[2]расшифровки ВС_2016'!H292</f>
        <v>0</v>
      </c>
      <c r="I31" s="345">
        <f>'[2]расшифровки ВС_2016'!I292</f>
        <v>0</v>
      </c>
      <c r="J31" s="345">
        <f>'[2]расшифровки ВС_2016'!J292</f>
        <v>0</v>
      </c>
      <c r="K31" s="345">
        <f>'[2]расшифровки ВС_2016'!K292</f>
        <v>0</v>
      </c>
      <c r="L31" s="345">
        <f>'[2]расшифровки ВС_2016'!L292</f>
        <v>0</v>
      </c>
      <c r="M31" s="369">
        <f>'[2]расшифровки ВС_2016'!M305</f>
        <v>11569.278599999998</v>
      </c>
      <c r="N31" s="369"/>
      <c r="O31" s="370"/>
      <c r="P31" s="369"/>
      <c r="Q31" s="369"/>
      <c r="R31" s="369">
        <f>'[1]Базовый уровень опер.расх.ВС '!M19</f>
        <v>11569.28</v>
      </c>
      <c r="S31" s="369">
        <f>'[1]расшифровки ВС_2016'!Q305</f>
        <v>14329.4853</v>
      </c>
      <c r="T31" s="369">
        <f>'[1]расшифровки ВС_2016'!R305</f>
        <v>17069.823588122716</v>
      </c>
      <c r="V31" s="3"/>
    </row>
    <row r="32" spans="1:22" ht="15.75" thickBot="1">
      <c r="A32" s="368" t="s">
        <v>156</v>
      </c>
      <c r="B32" s="242" t="s">
        <v>155</v>
      </c>
      <c r="C32" s="367" t="s">
        <v>0</v>
      </c>
      <c r="D32" s="366">
        <f>D33+D34+D35</f>
        <v>98104.386206896539</v>
      </c>
      <c r="E32" s="366">
        <f>E33+E34+E35</f>
        <v>56556.105212640003</v>
      </c>
      <c r="F32" s="366">
        <f>F33+F34+F35</f>
        <v>23682.772358400001</v>
      </c>
      <c r="G32" s="366">
        <f>G33+G34+G35</f>
        <v>57621.449359999999</v>
      </c>
      <c r="H32" s="366">
        <f>H33+H34+H35</f>
        <v>23333.767888799997</v>
      </c>
      <c r="I32" s="366">
        <f>I33+I34+I35</f>
        <v>57663.659939600002</v>
      </c>
      <c r="J32" s="366">
        <f>J33+J34+J35</f>
        <v>106026.188156</v>
      </c>
      <c r="K32" s="366">
        <f>K33+K34+K35</f>
        <v>106525.680969708</v>
      </c>
      <c r="L32" s="366">
        <f>L33+L34+L35</f>
        <v>93082.012137405443</v>
      </c>
      <c r="M32" s="366">
        <f>M33+M34+M35</f>
        <v>61641.744151000014</v>
      </c>
      <c r="N32" s="366">
        <f>N33+N34+N35</f>
        <v>44384.444004999998</v>
      </c>
      <c r="O32" s="366" t="e">
        <f>O33+O34+O35</f>
        <v>#VALUE!</v>
      </c>
      <c r="P32" s="366">
        <f>P33+P34+P35</f>
        <v>0.16755245600026991</v>
      </c>
      <c r="Q32" s="366">
        <f>Q33+Q34+Q35</f>
        <v>-0.10824862911780364</v>
      </c>
      <c r="R32" s="366">
        <f>'[1]Базовый уровень опер.расх.ВС '!M20</f>
        <v>59348.682671000017</v>
      </c>
      <c r="S32" s="366">
        <f>S33+S34+S35</f>
        <v>58902.363400000002</v>
      </c>
      <c r="T32" s="365">
        <f>T33+T34+T35</f>
        <v>96923.414137405431</v>
      </c>
      <c r="V32" s="3"/>
    </row>
    <row r="33" spans="1:23" ht="52.5" customHeight="1" thickBot="1">
      <c r="A33" s="364" t="s">
        <v>154</v>
      </c>
      <c r="B33" s="229" t="s">
        <v>153</v>
      </c>
      <c r="C33" s="363" t="s">
        <v>0</v>
      </c>
      <c r="D33" s="362">
        <f>'[2]расшифровки ВС_2016'!D313</f>
        <v>13627.8</v>
      </c>
      <c r="E33" s="362">
        <f>'[2]расшифровки ВС_2016'!E313</f>
        <v>9338.6</v>
      </c>
      <c r="F33" s="362">
        <f>'[2]расшифровки ВС_2016'!F313</f>
        <v>16415.400000000001</v>
      </c>
      <c r="G33" s="362">
        <f>'[2]расшифровки ВС_2016'!G313</f>
        <v>16415.400000000001</v>
      </c>
      <c r="H33" s="362">
        <f>'[2]расшифровки ВС_2016'!H313</f>
        <v>3832.0311359999992</v>
      </c>
      <c r="I33" s="362">
        <f>'[2]расшифровки ВС_2016'!I313</f>
        <v>16415.400000000001</v>
      </c>
      <c r="J33" s="362">
        <f>'[2]расшифровки ВС_2016'!J313</f>
        <v>18246.560000000001</v>
      </c>
      <c r="K33" s="362">
        <f>'[2]расшифровки ВС_2016'!K313</f>
        <v>19031.16</v>
      </c>
      <c r="L33" s="362">
        <f>'[2]расшифровки ВС_2016'!L313</f>
        <v>19836.68</v>
      </c>
      <c r="M33" s="360">
        <f>'[2]расшифровки ВС_2016'!M313</f>
        <v>6932.6614800000007</v>
      </c>
      <c r="N33" s="360">
        <f>J33-M33</f>
        <v>11313.898520000001</v>
      </c>
      <c r="O33" s="361"/>
      <c r="P33" s="360">
        <f>M33/E33-1</f>
        <v>-0.25763374809928674</v>
      </c>
      <c r="Q33" s="360">
        <f>M33/I33-1</f>
        <v>-0.57767331408311706</v>
      </c>
      <c r="R33" s="360">
        <f>'[1]Смета ВС_2016'!J33</f>
        <v>18246.560000000001</v>
      </c>
      <c r="S33" s="360">
        <f>'[1]расшифровки ВС_2016'!Q313</f>
        <v>16812.64</v>
      </c>
      <c r="T33" s="360">
        <f>'[1]расшифровки ВС_2016'!R313</f>
        <v>19367.37</v>
      </c>
      <c r="V33" s="3"/>
    </row>
    <row r="34" spans="1:23" ht="51.75" customHeight="1" thickTop="1" thickBot="1">
      <c r="A34" s="356" t="s">
        <v>152</v>
      </c>
      <c r="B34" s="359" t="s">
        <v>151</v>
      </c>
      <c r="C34" s="355" t="s">
        <v>0</v>
      </c>
      <c r="D34" s="308">
        <f>'[2]расшифровки ВС_2016'!D321</f>
        <v>80028.299999999988</v>
      </c>
      <c r="E34" s="308">
        <f>'[2]расшифровки ВС_2016'!E321</f>
        <v>40362.868000000002</v>
      </c>
      <c r="F34" s="308">
        <v>0</v>
      </c>
      <c r="G34" s="308">
        <f>'[2]расшифровки ВС_2016'!G321</f>
        <v>33794.18</v>
      </c>
      <c r="H34" s="308">
        <f>'[2]расшифровки ВС_2016'!H321</f>
        <v>15733.232639999998</v>
      </c>
      <c r="I34" s="308">
        <f>'[2]расшифровки ВС_2016'!I321</f>
        <v>33794.18</v>
      </c>
      <c r="J34" s="308">
        <f>'[2]расшифровки ВС_2016'!J321</f>
        <v>80027.679000000004</v>
      </c>
      <c r="K34" s="308">
        <f>'[2]расшифровки ВС_2016'!K321</f>
        <v>79409.237999999998</v>
      </c>
      <c r="L34" s="308">
        <f>'[2]расшифровки ВС_2016'!L321</f>
        <v>64812.381999999998</v>
      </c>
      <c r="M34" s="357">
        <f>'[2]расшифровки ВС_2016'!M321</f>
        <v>46957.133515000009</v>
      </c>
      <c r="N34" s="357">
        <f>J34-M34</f>
        <v>33070.545484999995</v>
      </c>
      <c r="O34" s="358" t="s">
        <v>150</v>
      </c>
      <c r="P34" s="357">
        <f>M34/E34-1</f>
        <v>0.16337455294306658</v>
      </c>
      <c r="Q34" s="357">
        <f>M34/I34-1</f>
        <v>0.38950356289159882</v>
      </c>
      <c r="R34" s="357">
        <f>'[1]Смета ВС_2016'!J34-46677.51</f>
        <v>33350.169000000002</v>
      </c>
      <c r="S34" s="357">
        <f>'[1]расшифровки ВС_2016'!Q321</f>
        <v>34733.163</v>
      </c>
      <c r="T34" s="357">
        <f>'[1]расшифровки ВС_2016'!R321</f>
        <v>69123.093999999997</v>
      </c>
      <c r="V34" s="3"/>
      <c r="W34" s="3"/>
    </row>
    <row r="35" spans="1:23" ht="39.75" thickTop="1" thickBot="1">
      <c r="A35" s="356" t="s">
        <v>149</v>
      </c>
      <c r="B35" s="225" t="s">
        <v>148</v>
      </c>
      <c r="C35" s="355" t="s">
        <v>0</v>
      </c>
      <c r="D35" s="308">
        <f>D36+D37</f>
        <v>4448.2862068965514</v>
      </c>
      <c r="E35" s="308">
        <f>E36+E37</f>
        <v>6854.6372126400001</v>
      </c>
      <c r="F35" s="308">
        <f>F36+F37</f>
        <v>7267.372358399999</v>
      </c>
      <c r="G35" s="308">
        <f>G36+G37</f>
        <v>7411.8693600000006</v>
      </c>
      <c r="H35" s="308">
        <f>H36+H37</f>
        <v>3768.5041128000007</v>
      </c>
      <c r="I35" s="308">
        <f>I36+I37</f>
        <v>7454.0799396000011</v>
      </c>
      <c r="J35" s="308">
        <f>J36+J37</f>
        <v>7751.9491559999997</v>
      </c>
      <c r="K35" s="308">
        <f>K36+K37</f>
        <v>8085.2829697079997</v>
      </c>
      <c r="L35" s="308">
        <f>L36+L37</f>
        <v>8432.9501374054416</v>
      </c>
      <c r="M35" s="354">
        <f>M36+M37</f>
        <v>7751.9491559999997</v>
      </c>
      <c r="N35" s="354">
        <f>N36+N37</f>
        <v>0</v>
      </c>
      <c r="O35" s="354">
        <f>O36+O37</f>
        <v>0</v>
      </c>
      <c r="P35" s="354">
        <f>P36+P37</f>
        <v>0.26181165115649008</v>
      </c>
      <c r="Q35" s="354">
        <f>Q36+Q37</f>
        <v>7.9921122073714601E-2</v>
      </c>
      <c r="R35" s="354">
        <f>R36+R37</f>
        <v>7751.9491559999997</v>
      </c>
      <c r="S35" s="354">
        <f>S36+S37</f>
        <v>7356.5603999999994</v>
      </c>
      <c r="T35" s="354">
        <f>T36+T37</f>
        <v>8432.9501374054416</v>
      </c>
      <c r="V35" s="3"/>
      <c r="W35" s="3"/>
    </row>
    <row r="36" spans="1:23" ht="27" thickTop="1" thickBot="1">
      <c r="A36" s="353" t="s">
        <v>147</v>
      </c>
      <c r="B36" s="305" t="s">
        <v>146</v>
      </c>
      <c r="C36" s="352" t="s">
        <v>0</v>
      </c>
      <c r="D36" s="303">
        <f>D23/87*3</f>
        <v>3416.503448275862</v>
      </c>
      <c r="E36" s="303">
        <f>'[2]Зар.плата осн.персонала'!E196</f>
        <v>5264.6983200000004</v>
      </c>
      <c r="F36" s="303">
        <f>'[2]Зар.плата осн.персонала'!F217</f>
        <v>5581.6991999999991</v>
      </c>
      <c r="G36" s="303">
        <f>'[2]Зар.плата осн.персонала'!G221</f>
        <v>5692.68</v>
      </c>
      <c r="H36" s="303">
        <f>'[2]Зар.плата осн.персонала'!H221</f>
        <v>2894.3964000000005</v>
      </c>
      <c r="I36" s="303">
        <f>'[2]Зар.плата осн.персонала'!I221</f>
        <v>5725.0998000000009</v>
      </c>
      <c r="J36" s="303">
        <f>'[2]Зар.плата осн.персонала'!J221</f>
        <v>5953.8779999999997</v>
      </c>
      <c r="K36" s="303">
        <f>'[2]Зар.плата осн.персонала'!K221</f>
        <v>6209.8947539999999</v>
      </c>
      <c r="L36" s="303">
        <f>'[2]Зар.плата осн.персонала'!L221</f>
        <v>6476.9202284219982</v>
      </c>
      <c r="M36" s="349">
        <f>'[2]Зар.плата осн.персонала'!M221</f>
        <v>5953.8779999999997</v>
      </c>
      <c r="N36" s="349">
        <f>J36-M36</f>
        <v>0</v>
      </c>
      <c r="O36" s="351">
        <f>'[2]Зар.плата осн.персонала'!O221</f>
        <v>0</v>
      </c>
      <c r="P36" s="349">
        <f>M36/E36-1</f>
        <v>0.13090582557824493</v>
      </c>
      <c r="Q36" s="350">
        <f>M36/I36-1</f>
        <v>3.996056103685719E-2</v>
      </c>
      <c r="R36" s="349">
        <f>'[1]Смета ВС_2016'!J36</f>
        <v>5953.8779999999997</v>
      </c>
      <c r="S36" s="349">
        <f>'[1]расшифровки ВС_2016'!Q329</f>
        <v>5650.2</v>
      </c>
      <c r="T36" s="349">
        <f>'[1]расшифровки ВС_2016'!R329</f>
        <v>6476.9202284219982</v>
      </c>
      <c r="V36" s="3"/>
    </row>
    <row r="37" spans="1:23" ht="39" thickBot="1">
      <c r="A37" s="348" t="s">
        <v>145</v>
      </c>
      <c r="B37" s="347" t="s">
        <v>144</v>
      </c>
      <c r="C37" s="346" t="s">
        <v>0</v>
      </c>
      <c r="D37" s="345">
        <f>D24/87*3</f>
        <v>1031.7827586206895</v>
      </c>
      <c r="E37" s="345">
        <f>'[2]Зар.плата осн.персонала'!E223</f>
        <v>1589.9388926399999</v>
      </c>
      <c r="F37" s="345">
        <f>'[2]Зар.плата осн.персонала'!F223</f>
        <v>1685.6731583999997</v>
      </c>
      <c r="G37" s="345">
        <f>'[2]расшифровки ВС_2016'!G330</f>
        <v>1719.1893600000001</v>
      </c>
      <c r="H37" s="345">
        <f>'[2]Зар.плата осн.персонала'!H223</f>
        <v>874.10771280000017</v>
      </c>
      <c r="I37" s="345">
        <f>'[2]Зар.плата осн.персонала'!I223</f>
        <v>1728.9801396</v>
      </c>
      <c r="J37" s="345">
        <f>'[2]Зар.плата осн.персонала'!J223</f>
        <v>1798.071156</v>
      </c>
      <c r="K37" s="345">
        <f>'[2]Зар.плата осн.персонала'!K223</f>
        <v>1875.388215708</v>
      </c>
      <c r="L37" s="345">
        <f>'[2]Зар.плата осн.персонала'!L223</f>
        <v>1956.0299089834434</v>
      </c>
      <c r="M37" s="342">
        <f>'[2]Зар.плата осн.персонала'!M223</f>
        <v>1798.071156</v>
      </c>
      <c r="N37" s="342">
        <f>J37-M37</f>
        <v>0</v>
      </c>
      <c r="O37" s="344">
        <f>'[2]Зар.плата осн.персонала'!O223</f>
        <v>0</v>
      </c>
      <c r="P37" s="342">
        <f>M37/E37-1</f>
        <v>0.13090582557824515</v>
      </c>
      <c r="Q37" s="343">
        <f>M37/I37-1</f>
        <v>3.9960561036857412E-2</v>
      </c>
      <c r="R37" s="342">
        <f>'[1]Смета ВС_2016'!J37</f>
        <v>1798.071156</v>
      </c>
      <c r="S37" s="342">
        <f>'[1]расшифровки ВС_2016'!Q330</f>
        <v>1706.3603999999998</v>
      </c>
      <c r="T37" s="342">
        <f>'[1]расшифровки ВС_2016'!R330</f>
        <v>1956.0299089834434</v>
      </c>
      <c r="V37" s="3"/>
    </row>
    <row r="38" spans="1:23" ht="15.75" thickBot="1">
      <c r="A38" s="341" t="s">
        <v>143</v>
      </c>
      <c r="B38" s="242" t="s">
        <v>142</v>
      </c>
      <c r="C38" s="242" t="s">
        <v>0</v>
      </c>
      <c r="D38" s="340">
        <f>D39+D48+D51+D52+D53+D54+D55+D64</f>
        <v>31247.05</v>
      </c>
      <c r="E38" s="340">
        <f>E39+E48+E51+E52+E53+E54+E55+E64</f>
        <v>61862.961999999992</v>
      </c>
      <c r="F38" s="340">
        <f>F39+F48+F51+F52+F53+F54+F55</f>
        <v>42546.91</v>
      </c>
      <c r="G38" s="340">
        <f>G39+G48+G51+G52+G53+G54+G55+G64</f>
        <v>61786.703489999993</v>
      </c>
      <c r="H38" s="340">
        <f>H39+H48+H51+H52+H53+H54+H55+H64</f>
        <v>28618.9624463</v>
      </c>
      <c r="I38" s="340">
        <f>I39+I48+I51+I52+I53+I54+I55+I64</f>
        <v>54614.066476599997</v>
      </c>
      <c r="J38" s="340">
        <f>J39+J48+J51+J52+J53+J54+J55+J64</f>
        <v>58645.856583069995</v>
      </c>
      <c r="K38" s="340">
        <f>K39+K48+K51+K52+K53+K54+K55+K64</f>
        <v>56422.084415778008</v>
      </c>
      <c r="L38" s="340">
        <f>L39+L48+L51+L52+L53+L54+L55+L64</f>
        <v>56585.797533843681</v>
      </c>
      <c r="M38" s="337">
        <f>M39+M48+M51+M52+M54+M53+M55+M62</f>
        <v>45839.662358372181</v>
      </c>
      <c r="N38" s="337">
        <f>J38-M38</f>
        <v>12806.194224697814</v>
      </c>
      <c r="O38" s="339"/>
      <c r="P38" s="337">
        <f>M38/E38-1</f>
        <v>-0.25901281030849788</v>
      </c>
      <c r="Q38" s="338">
        <f>M38/I38-1</f>
        <v>-0.1606619811397364</v>
      </c>
      <c r="R38" s="337">
        <f>R39+R48+R51+R52+R54+R53+R55+R62</f>
        <v>46375.19235837218</v>
      </c>
      <c r="S38" s="337">
        <f>S39+S48+S51+S52+S54+S53+S55+S62</f>
        <v>51335.264348797733</v>
      </c>
      <c r="T38" s="336">
        <f>T39+T48+T51+T52+T54+T53+T55+T62</f>
        <v>55698.978678348074</v>
      </c>
      <c r="V38" s="3"/>
    </row>
    <row r="39" spans="1:23" ht="30" customHeight="1" thickBot="1">
      <c r="A39" s="335" t="s">
        <v>141</v>
      </c>
      <c r="B39" s="334" t="s">
        <v>140</v>
      </c>
      <c r="C39" s="333" t="s">
        <v>0</v>
      </c>
      <c r="D39" s="332">
        <f>SUM(D40:D46)</f>
        <v>8054.85</v>
      </c>
      <c r="E39" s="332">
        <f>SUM(E40:E46)</f>
        <v>5713.3799999999992</v>
      </c>
      <c r="F39" s="332">
        <f>SUM(F40:F46)</f>
        <v>3810.5699999999997</v>
      </c>
      <c r="G39" s="332">
        <f>SUM(G40:G46)</f>
        <v>3496.11</v>
      </c>
      <c r="H39" s="332">
        <f>SUM(H40:H46)</f>
        <v>1799.050712</v>
      </c>
      <c r="I39" s="332">
        <f>SUM(I40:I46)</f>
        <v>0</v>
      </c>
      <c r="J39" s="332">
        <f>SUM(J40:J46)</f>
        <v>7215.1309119999996</v>
      </c>
      <c r="K39" s="332">
        <f>SUM(K40:K46)</f>
        <v>0</v>
      </c>
      <c r="L39" s="332">
        <f>SUM(L40:L46)</f>
        <v>0</v>
      </c>
      <c r="M39" s="329">
        <f>SUM(M40:M47)</f>
        <v>4465.7121257492799</v>
      </c>
      <c r="N39" s="329">
        <f>J39-M39</f>
        <v>2749.4187862507197</v>
      </c>
      <c r="O39" s="331">
        <f>SUM(O40:O46)</f>
        <v>0</v>
      </c>
      <c r="P39" s="329">
        <f>M39/E39-1</f>
        <v>-0.21837649066764675</v>
      </c>
      <c r="Q39" s="330"/>
      <c r="R39" s="329">
        <f>SUM(R40:R47)</f>
        <v>4465.7121257492799</v>
      </c>
      <c r="S39" s="329">
        <f>SUM(S40:S47)</f>
        <v>4648.3948000000009</v>
      </c>
      <c r="T39" s="328">
        <f>SUM(T40:T47)</f>
        <v>4910.7164248280096</v>
      </c>
      <c r="V39" s="3"/>
    </row>
    <row r="40" spans="1:23" ht="26.25" customHeight="1" thickTop="1" thickBot="1">
      <c r="A40" s="306" t="s">
        <v>139</v>
      </c>
      <c r="B40" s="305" t="s">
        <v>138</v>
      </c>
      <c r="C40" s="304" t="s">
        <v>0</v>
      </c>
      <c r="D40" s="303">
        <v>1340</v>
      </c>
      <c r="E40" s="303">
        <v>1106.83</v>
      </c>
      <c r="F40" s="303">
        <v>849</v>
      </c>
      <c r="G40" s="303">
        <v>1156.6400000000001</v>
      </c>
      <c r="H40" s="303">
        <f>'[2]Админ. расх. (2)'!O11*0.59</f>
        <v>519.5994359</v>
      </c>
      <c r="I40" s="303">
        <f>'[2]Админ. расх. (2)'!R11</f>
        <v>0</v>
      </c>
      <c r="J40" s="303">
        <f>'[2]Админ. расх. (2)'!Q11</f>
        <v>1840.6149508999999</v>
      </c>
      <c r="K40" s="303">
        <f>'[2]Админ. расх. (2)'!U11</f>
        <v>0</v>
      </c>
      <c r="L40" s="318">
        <f>'[2]Админ. расх. (2)'!X11</f>
        <v>0</v>
      </c>
      <c r="M40" s="310">
        <f>'[2]Админ. расх. (2)'!AA11</f>
        <v>1036.2662173566998</v>
      </c>
      <c r="N40" s="310">
        <f>J40-M40</f>
        <v>804.34873354330011</v>
      </c>
      <c r="O40" s="327" t="s">
        <v>135</v>
      </c>
      <c r="P40" s="310">
        <f>M40/E40-1</f>
        <v>-6.3753044860818786E-2</v>
      </c>
      <c r="Q40" s="310"/>
      <c r="R40" s="310">
        <f>'[1]Смета ВС_2016'!M40</f>
        <v>1036.2662173566998</v>
      </c>
      <c r="S40" s="310">
        <f>'[1]Админ. расх. (2)'!AD11</f>
        <v>1138.7040000000002</v>
      </c>
      <c r="T40" s="310">
        <f>'[1]Админ. расх. (2)'!AG11</f>
        <v>1238.7380076960001</v>
      </c>
      <c r="V40" s="3"/>
    </row>
    <row r="41" spans="1:23" ht="15" customHeight="1">
      <c r="A41" s="320" t="s">
        <v>137</v>
      </c>
      <c r="B41" s="319" t="s">
        <v>136</v>
      </c>
      <c r="C41" s="304" t="s">
        <v>0</v>
      </c>
      <c r="D41" s="303">
        <v>1218</v>
      </c>
      <c r="E41" s="303">
        <v>412.52</v>
      </c>
      <c r="F41" s="303">
        <v>1002</v>
      </c>
      <c r="G41" s="303">
        <v>431.08</v>
      </c>
      <c r="H41" s="303">
        <f>'[2]Админ. расх. (2)'!O12*0.59</f>
        <v>126.89235019999998</v>
      </c>
      <c r="I41" s="303">
        <f>'[2]Админ. расх. (2)'!R12</f>
        <v>0</v>
      </c>
      <c r="J41" s="303">
        <f>'[2]Админ. расх. (2)'!Q12</f>
        <v>449.50002019999994</v>
      </c>
      <c r="K41" s="303">
        <f>'[2]Админ. расх. (2)'!U12</f>
        <v>0</v>
      </c>
      <c r="L41" s="318">
        <f>'[2]Админ. расх. (2)'!X12</f>
        <v>0</v>
      </c>
      <c r="M41" s="310">
        <f>'[2]Админ. расх. (2)'!AA12</f>
        <v>253.06851137259994</v>
      </c>
      <c r="N41" s="310">
        <f>J41-M41</f>
        <v>196.43150882739999</v>
      </c>
      <c r="O41" s="326" t="s">
        <v>135</v>
      </c>
      <c r="P41" s="310">
        <f>M41/E41-1</f>
        <v>-0.38653032247503161</v>
      </c>
      <c r="Q41" s="310"/>
      <c r="R41" s="310">
        <f>M41</f>
        <v>253.06851137259994</v>
      </c>
      <c r="S41" s="310">
        <f>'[1]Админ. расх. (2)'!AD12</f>
        <v>15.697920000000002</v>
      </c>
      <c r="T41" s="310">
        <f>'[1]Админ. расх. (2)'!AG12</f>
        <v>17.07696657408</v>
      </c>
      <c r="V41" s="3"/>
    </row>
    <row r="42" spans="1:23" ht="22.5" customHeight="1" thickBot="1">
      <c r="A42" s="325" t="s">
        <v>134</v>
      </c>
      <c r="B42" s="319" t="s">
        <v>133</v>
      </c>
      <c r="C42" s="304" t="s">
        <v>0</v>
      </c>
      <c r="D42" s="303">
        <v>696</v>
      </c>
      <c r="E42" s="303">
        <v>662.16</v>
      </c>
      <c r="F42" s="303">
        <v>675.6</v>
      </c>
      <c r="G42" s="303">
        <v>504</v>
      </c>
      <c r="H42" s="303">
        <f>'[2]Админ. расх. (2)'!O13*0.59</f>
        <v>0</v>
      </c>
      <c r="I42" s="303">
        <f>'[2]Админ. расх. (2)'!R13</f>
        <v>0</v>
      </c>
      <c r="J42" s="303">
        <f>'[2]Админ. расх. (2)'!Q13</f>
        <v>1541.375</v>
      </c>
      <c r="K42" s="303">
        <f>'[2]Админ. расх. (2)'!U13</f>
        <v>0</v>
      </c>
      <c r="L42" s="318">
        <f>'[2]Админ. расх. (2)'!X13</f>
        <v>0</v>
      </c>
      <c r="M42" s="310">
        <f>'[2]Админ. расх. (2)'!AA13</f>
        <v>852.01604999999995</v>
      </c>
      <c r="N42" s="310">
        <f>J42-M42</f>
        <v>689.35895000000005</v>
      </c>
      <c r="O42" s="324"/>
      <c r="P42" s="310">
        <f>M42/E42-1</f>
        <v>0.28672231786879299</v>
      </c>
      <c r="Q42" s="323" t="s">
        <v>132</v>
      </c>
      <c r="R42" s="310">
        <f>M42</f>
        <v>852.01604999999995</v>
      </c>
      <c r="S42" s="310">
        <f>'[1]Админ. расх. (2)'!AD13</f>
        <v>756.00000000000011</v>
      </c>
      <c r="T42" s="310">
        <f>'[1]Админ. расх. (2)'!AG13</f>
        <v>822.41384400000004</v>
      </c>
      <c r="V42" s="3"/>
    </row>
    <row r="43" spans="1:23" ht="21.75" customHeight="1">
      <c r="A43" s="320" t="s">
        <v>131</v>
      </c>
      <c r="B43" s="319" t="s">
        <v>130</v>
      </c>
      <c r="C43" s="304" t="s">
        <v>0</v>
      </c>
      <c r="D43" s="303">
        <v>378.15</v>
      </c>
      <c r="E43" s="303">
        <v>860.65</v>
      </c>
      <c r="F43" s="303">
        <v>0</v>
      </c>
      <c r="G43" s="303">
        <v>273.83</v>
      </c>
      <c r="H43" s="303">
        <f>'[2]Админ. расх. (2)'!O14*0.59</f>
        <v>155.38660670000002</v>
      </c>
      <c r="I43" s="303">
        <f>'[2]Админ. расх. (2)'!R14</f>
        <v>0</v>
      </c>
      <c r="J43" s="303">
        <f>'[2]Админ. расх. (2)'!Q14</f>
        <v>550.43730170000003</v>
      </c>
      <c r="K43" s="303">
        <f>'[2]Админ. расх. (2)'!U14</f>
        <v>0</v>
      </c>
      <c r="L43" s="318">
        <f>'[2]Админ. расх. (2)'!X14</f>
        <v>0</v>
      </c>
      <c r="M43" s="310">
        <f>'[2]Админ. расх. (2)'!AA14</f>
        <v>309.89620085709998</v>
      </c>
      <c r="N43" s="310">
        <f>J43-M43</f>
        <v>240.54110084290005</v>
      </c>
      <c r="O43" s="322"/>
      <c r="P43" s="310">
        <f>M43/E43-1</f>
        <v>-0.63992772804612796</v>
      </c>
      <c r="Q43" s="310"/>
      <c r="R43" s="310">
        <f>M43</f>
        <v>309.89620085709998</v>
      </c>
      <c r="S43" s="310">
        <f>'[1]Админ. расх. (2)'!AD14</f>
        <v>499.61464000000007</v>
      </c>
      <c r="T43" s="310">
        <f>'[1]Админ. расх. (2)'!AG14</f>
        <v>543.50528650935996</v>
      </c>
      <c r="V43" s="3"/>
    </row>
    <row r="44" spans="1:23" ht="25.5" hidden="1">
      <c r="A44" s="320" t="s">
        <v>129</v>
      </c>
      <c r="B44" s="319" t="s">
        <v>128</v>
      </c>
      <c r="C44" s="304" t="s">
        <v>0</v>
      </c>
      <c r="D44" s="303">
        <v>359.6</v>
      </c>
      <c r="E44" s="303">
        <f>'[2]Админ. расх. (2)'!G15*0.59</f>
        <v>412.40999999999997</v>
      </c>
      <c r="F44" s="303">
        <v>413.81</v>
      </c>
      <c r="G44" s="303">
        <v>260.39999999999998</v>
      </c>
      <c r="H44" s="303">
        <f>'[2]Админ. расх. (2)'!O15*0.59</f>
        <v>0</v>
      </c>
      <c r="I44" s="303">
        <f>'[2]Админ. расх. (2)'!R15</f>
        <v>0</v>
      </c>
      <c r="J44" s="303">
        <f>'[2]Админ. расх. (2)'!Q15</f>
        <v>0</v>
      </c>
      <c r="K44" s="303">
        <f>'[2]Админ. расх. (2)'!U15</f>
        <v>0</v>
      </c>
      <c r="L44" s="318">
        <f>'[2]Админ. расх. (2)'!X15</f>
        <v>0</v>
      </c>
      <c r="M44" s="310">
        <f>'[2]Админ. расх. (2)'!AA15</f>
        <v>0</v>
      </c>
      <c r="N44" s="310">
        <f>J44-M44</f>
        <v>0</v>
      </c>
      <c r="O44" s="321"/>
      <c r="P44" s="310">
        <f>M44/E44-1</f>
        <v>-1</v>
      </c>
      <c r="Q44" s="310"/>
      <c r="R44" s="310">
        <v>0</v>
      </c>
      <c r="S44" s="310">
        <f>'[1]Админ. расх. (2)'!AD15</f>
        <v>0</v>
      </c>
      <c r="T44" s="310">
        <f>'[1]Админ. расх. (2)'!AG15</f>
        <v>0</v>
      </c>
      <c r="V44" s="3"/>
    </row>
    <row r="45" spans="1:23">
      <c r="A45" s="320" t="s">
        <v>127</v>
      </c>
      <c r="B45" s="319" t="s">
        <v>126</v>
      </c>
      <c r="C45" s="304" t="s">
        <v>0</v>
      </c>
      <c r="D45" s="303">
        <v>849.7</v>
      </c>
      <c r="E45" s="303">
        <v>847.81</v>
      </c>
      <c r="F45" s="303">
        <v>870.16</v>
      </c>
      <c r="G45" s="303">
        <v>870.16</v>
      </c>
      <c r="H45" s="303">
        <f>'[2]Админ. расх. (2)'!O16*0.59</f>
        <v>427.1723192</v>
      </c>
      <c r="I45" s="303">
        <f>'[2]Админ. расх. (2)'!R16</f>
        <v>0</v>
      </c>
      <c r="J45" s="303">
        <f>'[2]Админ. расх. (2)'!Q16</f>
        <v>1513.2036392</v>
      </c>
      <c r="K45" s="303">
        <f>'[2]Админ. расх. (2)'!U16</f>
        <v>0</v>
      </c>
      <c r="L45" s="318">
        <f>'[2]Админ. расх. (2)'!X16</f>
        <v>0</v>
      </c>
      <c r="M45" s="310">
        <f>'[2]Админ. расх. (2)'!AA16</f>
        <v>836.44394616287991</v>
      </c>
      <c r="N45" s="310">
        <f>J45-M45</f>
        <v>676.75969303712009</v>
      </c>
      <c r="O45" s="317"/>
      <c r="P45" s="310">
        <f>M45/E45-1</f>
        <v>-1.3406369159505105E-2</v>
      </c>
      <c r="Q45" s="310"/>
      <c r="R45" s="310">
        <f>'[1]Смета ВС_2016'!M45</f>
        <v>836.44394616287991</v>
      </c>
      <c r="S45" s="310">
        <f>'[1]Админ. расх. (2)'!AD16</f>
        <v>1093.5120000000002</v>
      </c>
      <c r="T45" s="310">
        <f>'[1]Админ. расх. (2)'!AG16</f>
        <v>1189.5759356880001</v>
      </c>
      <c r="V45" s="3"/>
    </row>
    <row r="46" spans="1:23" ht="15.75" thickBot="1">
      <c r="A46" s="299" t="s">
        <v>125</v>
      </c>
      <c r="B46" s="298" t="s">
        <v>124</v>
      </c>
      <c r="C46" s="297" t="s">
        <v>0</v>
      </c>
      <c r="D46" s="303">
        <f>'[2]Админ. расх. (2)'!D18</f>
        <v>3213.4</v>
      </c>
      <c r="E46" s="303">
        <f>'[2]Админ. расх. (2)'!G18</f>
        <v>1411</v>
      </c>
      <c r="F46" s="303">
        <v>0</v>
      </c>
      <c r="G46" s="303" t="s">
        <v>40</v>
      </c>
      <c r="H46" s="303">
        <f>'[2]Админ. расх. (2)'!O18</f>
        <v>570</v>
      </c>
      <c r="I46" s="303">
        <f>'[2]Админ. расх. (2)'!R17</f>
        <v>0</v>
      </c>
      <c r="J46" s="303">
        <f>'[2]Админ. расх. (2)'!Q18</f>
        <v>1320</v>
      </c>
      <c r="K46" s="303"/>
      <c r="L46" s="316"/>
      <c r="M46" s="311">
        <f>'[2]Админ. расх. (2)'!AA18</f>
        <v>731.9</v>
      </c>
      <c r="N46" s="311">
        <f>J46-M46</f>
        <v>588.1</v>
      </c>
      <c r="O46" s="295"/>
      <c r="P46" s="311">
        <f>M46/E46-1</f>
        <v>-0.48128986534372786</v>
      </c>
      <c r="Q46" s="311"/>
      <c r="R46" s="311">
        <f>'[1]Смета ВС_2016'!M46</f>
        <v>731.9</v>
      </c>
      <c r="S46" s="310">
        <f>'[1]Админ. расх. (2)'!AD18</f>
        <v>839.7704</v>
      </c>
      <c r="T46" s="310">
        <f>'[1]Админ. расх. (2)'!AG18</f>
        <v>913.54338986959999</v>
      </c>
      <c r="V46" s="3"/>
    </row>
    <row r="47" spans="1:23" ht="16.5" thickTop="1" thickBot="1">
      <c r="A47" s="299" t="s">
        <v>123</v>
      </c>
      <c r="B47" s="315" t="s">
        <v>122</v>
      </c>
      <c r="C47" s="297" t="s">
        <v>0</v>
      </c>
      <c r="D47" s="314"/>
      <c r="E47" s="314"/>
      <c r="F47" s="314"/>
      <c r="G47" s="314"/>
      <c r="H47" s="314"/>
      <c r="I47" s="314"/>
      <c r="J47" s="314"/>
      <c r="K47" s="314"/>
      <c r="L47" s="313"/>
      <c r="M47" s="311">
        <f>'[2]Админ. расх. (2)'!AA19</f>
        <v>446.12119999999993</v>
      </c>
      <c r="N47" s="311">
        <f>J47-M47</f>
        <v>-446.12119999999993</v>
      </c>
      <c r="O47" s="312"/>
      <c r="P47" s="311"/>
      <c r="Q47" s="311"/>
      <c r="R47" s="311">
        <f>'[1]Смета ВС_2016'!M47</f>
        <v>446.12119999999993</v>
      </c>
      <c r="S47" s="310">
        <f>'[1]Админ. расх. (2)'!AD19</f>
        <v>305.09584000000001</v>
      </c>
      <c r="T47" s="310">
        <f>'[1]Админ. расх. (2)'!AG19</f>
        <v>185.86299449096958</v>
      </c>
      <c r="V47" s="3"/>
    </row>
    <row r="48" spans="1:23" ht="52.5" thickTop="1" thickBot="1">
      <c r="A48" s="112" t="s">
        <v>121</v>
      </c>
      <c r="B48" s="225" t="s">
        <v>120</v>
      </c>
      <c r="C48" s="288" t="s">
        <v>0</v>
      </c>
      <c r="D48" s="308">
        <f>D49+D50</f>
        <v>10071.59</v>
      </c>
      <c r="E48" s="308">
        <f>E49+E50</f>
        <v>36891.760000000002</v>
      </c>
      <c r="F48" s="308">
        <f>F49+F50</f>
        <v>29868.17</v>
      </c>
      <c r="G48" s="308">
        <f>G49+G50</f>
        <v>31472.329999999998</v>
      </c>
      <c r="H48" s="308">
        <f>H49+H50</f>
        <v>11586.371706</v>
      </c>
      <c r="I48" s="308">
        <f>I49+I50</f>
        <v>24117.284519999997</v>
      </c>
      <c r="J48" s="308">
        <f>J49+J50</f>
        <v>26482.872696000002</v>
      </c>
      <c r="K48" s="308">
        <f>K49+K50</f>
        <v>27716.861212424999</v>
      </c>
      <c r="L48" s="308">
        <f>L49+L50</f>
        <v>28908.686244559274</v>
      </c>
      <c r="M48" s="308">
        <f>M49+M50</f>
        <v>31183.354445727775</v>
      </c>
      <c r="N48" s="308">
        <f>J48-M48</f>
        <v>-4700.4817497277727</v>
      </c>
      <c r="O48" s="309">
        <f>O49+O50</f>
        <v>0</v>
      </c>
      <c r="P48" s="308">
        <f>M48/E48-1</f>
        <v>-0.15473389055637976</v>
      </c>
      <c r="Q48" s="291">
        <f>M48/I48-1</f>
        <v>0.29298779138538689</v>
      </c>
      <c r="R48" s="308">
        <f>R49+R50</f>
        <v>31183.354445727775</v>
      </c>
      <c r="S48" s="308">
        <f>S49+S50</f>
        <v>30414.47154879773</v>
      </c>
      <c r="T48" s="307">
        <f>T49+T50</f>
        <v>33086.352459888061</v>
      </c>
      <c r="V48" s="3"/>
    </row>
    <row r="49" spans="1:22" ht="37.5" customHeight="1" thickTop="1">
      <c r="A49" s="306" t="s">
        <v>119</v>
      </c>
      <c r="B49" s="305" t="s">
        <v>118</v>
      </c>
      <c r="C49" s="304" t="s">
        <v>0</v>
      </c>
      <c r="D49" s="303">
        <v>8388.34</v>
      </c>
      <c r="E49" s="303">
        <v>21766.14</v>
      </c>
      <c r="F49" s="303">
        <v>22940</v>
      </c>
      <c r="G49" s="303">
        <v>24172.3</v>
      </c>
      <c r="H49" s="303">
        <f>'[2]Зар.плата осн.персонала'!H92/1000/2</f>
        <v>8898.9030000000002</v>
      </c>
      <c r="I49" s="303">
        <f>'[2]Зар.плата осн.персонала'!I92/1000/2</f>
        <v>18523.259999999998</v>
      </c>
      <c r="J49" s="303">
        <f>'[2]Зар.плата осн.персонала'!J92/1000/2</f>
        <v>20340.148000000001</v>
      </c>
      <c r="K49" s="303">
        <f>'[2]Зар.плата осн.персонала'!K92/1000/2</f>
        <v>21287.9118375</v>
      </c>
      <c r="L49" s="303">
        <f>'[2]Зар.плата осн.персонала'!L92/1000/2</f>
        <v>22203.292046512499</v>
      </c>
      <c r="M49" s="300">
        <f>'[2]Админ. расх. (2)'!AA22</f>
        <v>23950.349036657277</v>
      </c>
      <c r="N49" s="300">
        <f>J49-M49</f>
        <v>-3610.2010366572758</v>
      </c>
      <c r="O49" s="302"/>
      <c r="P49" s="301">
        <f>M49/E49-1</f>
        <v>0.10034893815151769</v>
      </c>
      <c r="Q49" s="300">
        <f>M49/I49-1</f>
        <v>0.29298779138538666</v>
      </c>
      <c r="R49" s="300">
        <f>'[1]Смета ВС_2016'!M49</f>
        <v>23950.349036657277</v>
      </c>
      <c r="S49" s="300">
        <f>'[1]Админ. расх. (2)'!AD22</f>
        <v>23359.809177264004</v>
      </c>
      <c r="T49" s="300">
        <f>'[1]Админ. расх. (2)'!AG22</f>
        <v>25411.945053677464</v>
      </c>
      <c r="V49" s="3"/>
    </row>
    <row r="50" spans="1:22" ht="39" thickBot="1">
      <c r="A50" s="299" t="s">
        <v>117</v>
      </c>
      <c r="B50" s="298" t="s">
        <v>116</v>
      </c>
      <c r="C50" s="297" t="s">
        <v>0</v>
      </c>
      <c r="D50" s="296">
        <v>1683.25</v>
      </c>
      <c r="E50" s="296">
        <v>15125.62</v>
      </c>
      <c r="F50" s="296">
        <v>6928.17</v>
      </c>
      <c r="G50" s="296">
        <v>7300.03</v>
      </c>
      <c r="H50" s="296">
        <f>H49*0.302</f>
        <v>2687.4687060000001</v>
      </c>
      <c r="I50" s="296">
        <f>I49*0.302</f>
        <v>5594.024519999999</v>
      </c>
      <c r="J50" s="296">
        <f>J49*0.302</f>
        <v>6142.7246960000002</v>
      </c>
      <c r="K50" s="296">
        <f>K49*0.302</f>
        <v>6428.9493749249996</v>
      </c>
      <c r="L50" s="296">
        <f>L49*0.302</f>
        <v>6705.3941980467744</v>
      </c>
      <c r="M50" s="293">
        <f>'[2]Админ. расх. (2)'!AA40</f>
        <v>7233.005409070498</v>
      </c>
      <c r="N50" s="293">
        <f>J50-M50</f>
        <v>-1090.2807130704978</v>
      </c>
      <c r="O50" s="295"/>
      <c r="P50" s="294">
        <f>M50/E50-1</f>
        <v>-0.52180436841131161</v>
      </c>
      <c r="Q50" s="293">
        <f>M50/I50-1</f>
        <v>0.29298779138538689</v>
      </c>
      <c r="R50" s="293">
        <f>'[1]Смета ВС_2016'!M50</f>
        <v>7233.005409070498</v>
      </c>
      <c r="S50" s="293">
        <f>'[1]Админ. расх. (2)'!AD40</f>
        <v>7054.6623715337282</v>
      </c>
      <c r="T50" s="293">
        <f>'[1]Админ. расх. (2)'!AG40</f>
        <v>7674.4074062105938</v>
      </c>
      <c r="V50" s="3"/>
    </row>
    <row r="51" spans="1:22" ht="48.75" customHeight="1" thickTop="1" thickBot="1">
      <c r="A51" s="112" t="s">
        <v>115</v>
      </c>
      <c r="B51" s="292" t="s">
        <v>114</v>
      </c>
      <c r="C51" s="288" t="s">
        <v>0</v>
      </c>
      <c r="D51" s="285">
        <v>34</v>
      </c>
      <c r="E51" s="285">
        <v>0</v>
      </c>
      <c r="F51" s="285">
        <v>6.5</v>
      </c>
      <c r="G51" s="285">
        <v>36.99</v>
      </c>
      <c r="H51" s="285">
        <f>'[2]Админ. расх. (2)'!O43*0.59</f>
        <v>3.3983999999999996</v>
      </c>
      <c r="I51" s="285">
        <f>'[2]Админ. расх. (2)'!P43*0.59</f>
        <v>6.7967999999999993</v>
      </c>
      <c r="J51" s="285">
        <f>'[2]Админ. расх. (2)'!R43</f>
        <v>0</v>
      </c>
      <c r="K51" s="285">
        <f>'[2]Админ. расх. (2)'!U43</f>
        <v>0</v>
      </c>
      <c r="L51" s="287">
        <f>'[2]Админ. расх. (2)'!X43</f>
        <v>0</v>
      </c>
      <c r="M51" s="289">
        <f>'[2]Админ. расх. (2)'!AA43</f>
        <v>6.7776191999999993</v>
      </c>
      <c r="N51" s="289">
        <f>J51-M51</f>
        <v>-6.7776191999999993</v>
      </c>
      <c r="O51" s="106"/>
      <c r="P51" s="289"/>
      <c r="Q51" s="291">
        <f>M51/I51-1</f>
        <v>-2.822033898305043E-3</v>
      </c>
      <c r="R51" s="289">
        <f>'[1]Смета ВС_2016'!M51</f>
        <v>6.7776191999999993</v>
      </c>
      <c r="S51" s="289">
        <f>'[1]Админ. расх. (2)'!AD43</f>
        <v>17.203200000000002</v>
      </c>
      <c r="T51" s="289">
        <f>'[1]Админ. расх. (2)'!AG43</f>
        <v>18.714483916799999</v>
      </c>
      <c r="V51" s="3"/>
    </row>
    <row r="52" spans="1:22" ht="16.5" thickTop="1" thickBot="1">
      <c r="A52" s="133" t="s">
        <v>113</v>
      </c>
      <c r="B52" s="225" t="s">
        <v>112</v>
      </c>
      <c r="C52" s="288" t="s">
        <v>0</v>
      </c>
      <c r="D52" s="285">
        <v>530.62</v>
      </c>
      <c r="E52" s="285">
        <v>500.22</v>
      </c>
      <c r="F52" s="285">
        <v>296.98</v>
      </c>
      <c r="G52" s="285">
        <v>522.73</v>
      </c>
      <c r="H52" s="285">
        <f>'[2]Админ. расх. (2)'!O44*0.59</f>
        <v>198.43887720000001</v>
      </c>
      <c r="I52" s="285">
        <f>'[2]Админ. расх. (2)'!P44*0.59</f>
        <v>396.87775440000001</v>
      </c>
      <c r="J52" s="285">
        <f>'[2]Админ. расх. (2)'!R44</f>
        <v>0</v>
      </c>
      <c r="K52" s="285">
        <f>'[2]Админ. расх. (2)'!U44</f>
        <v>0</v>
      </c>
      <c r="L52" s="287">
        <f>'[2]Админ. расх. (2)'!X44</f>
        <v>0</v>
      </c>
      <c r="M52" s="107">
        <f>'[2]Админ. расх. (2)'!AA44</f>
        <v>304.992864</v>
      </c>
      <c r="N52" s="107">
        <f>J52-M52</f>
        <v>-304.992864</v>
      </c>
      <c r="O52" s="290"/>
      <c r="P52" s="107">
        <f>M52/E52-1</f>
        <v>-0.39028254767902126</v>
      </c>
      <c r="Q52" s="107">
        <f>M52/I52-1</f>
        <v>-0.23151937688952018</v>
      </c>
      <c r="R52" s="107">
        <f>'[1]Смета ВС_2016'!M52</f>
        <v>304.992864</v>
      </c>
      <c r="S52" s="289">
        <f>'[1]Админ. расх. (2)'!AD44</f>
        <v>818.83200000000011</v>
      </c>
      <c r="T52" s="289">
        <f>'[1]Админ. расх. (2)'!AG44</f>
        <v>890.76557236799999</v>
      </c>
      <c r="V52" s="3"/>
    </row>
    <row r="53" spans="1:22" ht="16.5" thickTop="1" thickBot="1">
      <c r="A53" s="133" t="s">
        <v>111</v>
      </c>
      <c r="B53" s="225" t="s">
        <v>110</v>
      </c>
      <c r="C53" s="288" t="s">
        <v>0</v>
      </c>
      <c r="D53" s="285">
        <v>558.78</v>
      </c>
      <c r="E53" s="285">
        <v>296.77999999999997</v>
      </c>
      <c r="F53" s="285">
        <v>311</v>
      </c>
      <c r="G53" s="285">
        <v>313.70999999999998</v>
      </c>
      <c r="H53" s="285">
        <f>'[2]Админ. расх. (2)'!O45*0.59</f>
        <v>358.67869999999994</v>
      </c>
      <c r="I53" s="285">
        <f>'[2]Админ. расх. (2)'!P45*0.59</f>
        <v>717.35739999999987</v>
      </c>
      <c r="J53" s="285">
        <f>'[2]Админ. расх. (2)'!R45</f>
        <v>0</v>
      </c>
      <c r="K53" s="285">
        <f>'[2]Админ. расх. (2)'!U45</f>
        <v>0</v>
      </c>
      <c r="L53" s="287">
        <f>'[2]Админ. расх. (2)'!X45</f>
        <v>0</v>
      </c>
      <c r="M53" s="107">
        <f>'[2]Админ. расх. (2)'!AA45</f>
        <v>319.08723119999996</v>
      </c>
      <c r="N53" s="107">
        <f>J53-M53</f>
        <v>-319.08723119999996</v>
      </c>
      <c r="O53" s="106"/>
      <c r="P53" s="107">
        <f>M53/E53-1</f>
        <v>7.5164199743918081E-2</v>
      </c>
      <c r="Q53" s="107">
        <f>M53/I53-1</f>
        <v>-0.55519071637094708</v>
      </c>
      <c r="R53" s="107">
        <f>'[1]Смета ВС_2016'!M53</f>
        <v>319.08723119999996</v>
      </c>
      <c r="S53" s="289">
        <f>'[1]Админ. расх. (2)'!AD45</f>
        <v>872.54719999999998</v>
      </c>
      <c r="T53" s="289">
        <f>'[1]Админ. расх. (2)'!AG45</f>
        <v>949.19959897279989</v>
      </c>
      <c r="V53" s="3"/>
    </row>
    <row r="54" spans="1:22" ht="21" customHeight="1" thickTop="1" thickBot="1">
      <c r="A54" s="133" t="s">
        <v>109</v>
      </c>
      <c r="B54" s="225" t="s">
        <v>108</v>
      </c>
      <c r="C54" s="288" t="s">
        <v>0</v>
      </c>
      <c r="D54" s="285">
        <v>136.88999999999999</v>
      </c>
      <c r="E54" s="285">
        <v>154.16999999999999</v>
      </c>
      <c r="F54" s="285">
        <v>76.010000000000005</v>
      </c>
      <c r="G54" s="285">
        <v>76.03</v>
      </c>
      <c r="H54" s="285">
        <f>'[2]Админ. расх. (2)'!O46*0.59</f>
        <v>29.383958800000002</v>
      </c>
      <c r="I54" s="285">
        <f>'[2]Админ. расх. (2)'!P46*0.59</f>
        <v>58.767917600000004</v>
      </c>
      <c r="J54" s="285">
        <f>'[2]Админ. расх. (2)'!R46</f>
        <v>0</v>
      </c>
      <c r="K54" s="285">
        <f>'[2]Админ. расх. (2)'!U46</f>
        <v>0</v>
      </c>
      <c r="L54" s="287">
        <f>'[2]Админ. расх. (2)'!X46</f>
        <v>0</v>
      </c>
      <c r="M54" s="107">
        <f>'[2]Админ. расх. (2)'!AA46</f>
        <v>58.602072544400002</v>
      </c>
      <c r="N54" s="107">
        <f>J54-M54</f>
        <v>-58.602072544400002</v>
      </c>
      <c r="O54" s="106"/>
      <c r="P54" s="107">
        <f>M54/E54-1</f>
        <v>-0.61988666702730755</v>
      </c>
      <c r="Q54" s="286">
        <f>M54/I54-1</f>
        <v>-2.8220338983051541E-3</v>
      </c>
      <c r="R54" s="107">
        <f>'[1]Смета ВС_2016'!M54</f>
        <v>58.602072544400002</v>
      </c>
      <c r="S54" s="289">
        <f>'[1]Админ. расх. (2)'!AD46</f>
        <v>93.077600000000018</v>
      </c>
      <c r="T54" s="289">
        <f>'[1]Админ. расх. (2)'!AG46</f>
        <v>101.25437408240001</v>
      </c>
      <c r="V54" s="3"/>
    </row>
    <row r="55" spans="1:22" ht="16.5" thickTop="1" thickBot="1">
      <c r="A55" s="133" t="s">
        <v>107</v>
      </c>
      <c r="B55" s="225" t="s">
        <v>106</v>
      </c>
      <c r="C55" s="288" t="s">
        <v>0</v>
      </c>
      <c r="D55" s="285">
        <f>D57+D62</f>
        <v>11860.32</v>
      </c>
      <c r="E55" s="285">
        <f>E57+E62</f>
        <v>10481.73</v>
      </c>
      <c r="F55" s="285">
        <f>F57+F62</f>
        <v>8177.68</v>
      </c>
      <c r="G55" s="285">
        <f>G56+G62</f>
        <v>17691.760000000002</v>
      </c>
      <c r="H55" s="285">
        <f>H56+H57+H62+H63</f>
        <v>10555.1183473</v>
      </c>
      <c r="I55" s="285">
        <f>I56+I57+I62+I63</f>
        <v>21139.9385946</v>
      </c>
      <c r="J55" s="285">
        <f>J56+J57+J62+J63</f>
        <v>16419.196614999997</v>
      </c>
      <c r="K55" s="285">
        <f>K56+K57+K62+K63</f>
        <v>19809.834619799996</v>
      </c>
      <c r="L55" s="285">
        <f>L56+L57+L62+L63</f>
        <v>18781.722705731394</v>
      </c>
      <c r="M55" s="285">
        <f>M56+M57+M58+M59+M60</f>
        <v>1706.0744599507161</v>
      </c>
      <c r="N55" s="285">
        <f>J55-M55</f>
        <v>14713.122155049281</v>
      </c>
      <c r="O55" s="287">
        <f>O56+O62+O63-O63</f>
        <v>0</v>
      </c>
      <c r="P55" s="285">
        <f>M55/E55-1</f>
        <v>-0.83723350439758359</v>
      </c>
      <c r="Q55" s="286">
        <f>M55/I55-1</f>
        <v>-0.91929614874158072</v>
      </c>
      <c r="R55" s="285">
        <f>R56+R57+R58+R59+R60+R61</f>
        <v>2241.6044599507159</v>
      </c>
      <c r="S55" s="285">
        <f>S56+S57+S58+S59+S60+S61</f>
        <v>3612.7636000000007</v>
      </c>
      <c r="T55" s="284">
        <f>T56+T57+T58+T59+T60+T61</f>
        <v>3930.1391712263999</v>
      </c>
      <c r="V55" s="3"/>
    </row>
    <row r="56" spans="1:22" ht="26.25" hidden="1" thickTop="1">
      <c r="A56" s="283" t="s">
        <v>105</v>
      </c>
      <c r="B56" s="282" t="s">
        <v>104</v>
      </c>
      <c r="C56" s="281" t="s">
        <v>0</v>
      </c>
      <c r="D56" s="256">
        <v>5858</v>
      </c>
      <c r="E56" s="256">
        <v>0</v>
      </c>
      <c r="F56" s="256">
        <v>5860.32</v>
      </c>
      <c r="G56" s="256">
        <v>2295.0100000000002</v>
      </c>
      <c r="H56" s="256">
        <f>'[2]расшифровки ВС_2016'!H384</f>
        <v>2970.19</v>
      </c>
      <c r="I56" s="256">
        <f>'[2]расшифровки ВС_2016'!I384</f>
        <v>5970.0819000000001</v>
      </c>
      <c r="J56" s="256">
        <f>'[2]расшифровки ВС_2016'!J384</f>
        <v>4849.9180149999993</v>
      </c>
      <c r="K56" s="256">
        <f>'[2]расшифровки ВС_2016'!K384</f>
        <v>7743.0770399999992</v>
      </c>
      <c r="L56" s="256">
        <f>'[2]расшифровки ВС_2016'!L384</f>
        <v>6196.0945499999998</v>
      </c>
      <c r="M56" s="254">
        <v>0</v>
      </c>
      <c r="N56" s="254">
        <f>J56-M56</f>
        <v>4849.9180149999993</v>
      </c>
      <c r="O56" s="280"/>
      <c r="P56" s="254"/>
      <c r="Q56" s="254">
        <f>M56/I56-1</f>
        <v>-1</v>
      </c>
      <c r="R56" s="254">
        <v>0</v>
      </c>
      <c r="S56" s="254">
        <v>0</v>
      </c>
      <c r="T56" s="254">
        <v>0</v>
      </c>
      <c r="V56" s="3"/>
    </row>
    <row r="57" spans="1:22" ht="26.25" thickTop="1">
      <c r="A57" s="277" t="s">
        <v>103</v>
      </c>
      <c r="B57" s="276" t="s">
        <v>102</v>
      </c>
      <c r="C57" s="258" t="s">
        <v>0</v>
      </c>
      <c r="D57" s="256"/>
      <c r="E57" s="256"/>
      <c r="F57" s="256">
        <v>56.97</v>
      </c>
      <c r="G57" s="256">
        <v>59.53</v>
      </c>
      <c r="H57" s="256">
        <f>('[2]Админ. расх. (2)'!O48+'[2]Админ. расх. (2)'!O49+'[2]Админ. расх. (2)'!O50)*0.59</f>
        <v>784.04714729999989</v>
      </c>
      <c r="I57" s="256">
        <f>('[2]Админ. расх. (2)'!P48+'[2]Админ. расх. (2)'!P49+'[2]Админ. расх. (2)'!P50)*0.59</f>
        <v>1568.0942945999998</v>
      </c>
      <c r="J57" s="256">
        <f>'[2]Админ. расх. (2)'!R48+'[2]Админ. расх. (2)'!R49+'[2]Админ. расх. (2)'!R50</f>
        <v>0</v>
      </c>
      <c r="K57" s="256">
        <f>'[2]Админ. расх. (2)'!U48+'[2]Админ. расх. (2)'!U49+'[2]Админ. расх. (2)'!U50</f>
        <v>0</v>
      </c>
      <c r="L57" s="279">
        <f>'[2]Админ. расх. (2)'!X48+'[2]Админ. расх. (2)'!X49+'[2]Админ. расх. (2)'!X50</f>
        <v>0</v>
      </c>
      <c r="M57" s="268">
        <f>'[2]Админ. расх. (2)'!AA48</f>
        <v>300.53061044999998</v>
      </c>
      <c r="N57" s="268">
        <f>J57-M57</f>
        <v>-300.53061044999998</v>
      </c>
      <c r="O57" s="278"/>
      <c r="P57" s="268"/>
      <c r="Q57" s="268">
        <f>M57/I57-1</f>
        <v>-0.8083465953004686</v>
      </c>
      <c r="R57" s="268">
        <f>'[1]Смета ВС_2016'!M57</f>
        <v>300.53061044999998</v>
      </c>
      <c r="S57" s="268">
        <f>'[1]Админ. расх. (2)'!AD48</f>
        <v>815.92000000000007</v>
      </c>
      <c r="T57" s="267">
        <f>'[1]Админ. расх. (2)'!AG48</f>
        <v>887.59775607999995</v>
      </c>
      <c r="V57" s="3"/>
    </row>
    <row r="58" spans="1:22">
      <c r="A58" s="277" t="s">
        <v>101</v>
      </c>
      <c r="B58" s="276" t="s">
        <v>100</v>
      </c>
      <c r="C58" s="258" t="s">
        <v>0</v>
      </c>
      <c r="D58" s="256"/>
      <c r="E58" s="256"/>
      <c r="F58" s="256"/>
      <c r="G58" s="256"/>
      <c r="H58" s="256"/>
      <c r="I58" s="256"/>
      <c r="J58" s="256"/>
      <c r="K58" s="256"/>
      <c r="L58" s="279"/>
      <c r="M58" s="268">
        <f>'[2]Админ. расх. (2)'!AA49</f>
        <v>312.35774849999996</v>
      </c>
      <c r="N58" s="268">
        <f>J58-M58</f>
        <v>-312.35774849999996</v>
      </c>
      <c r="O58" s="278"/>
      <c r="P58" s="268"/>
      <c r="Q58" s="268"/>
      <c r="R58" s="268">
        <f>'[1]Смета ВС_2016'!M58</f>
        <v>312.35774849999996</v>
      </c>
      <c r="S58" s="268">
        <f>'[1]Админ. расх. (2)'!AD49</f>
        <v>0</v>
      </c>
      <c r="T58" s="267">
        <f>'[1]Админ. расх. (2)'!AE49</f>
        <v>0</v>
      </c>
      <c r="V58" s="3"/>
    </row>
    <row r="59" spans="1:22">
      <c r="A59" s="277" t="s">
        <v>99</v>
      </c>
      <c r="B59" s="276" t="s">
        <v>98</v>
      </c>
      <c r="C59" s="258" t="s">
        <v>0</v>
      </c>
      <c r="D59" s="256"/>
      <c r="E59" s="256"/>
      <c r="F59" s="256"/>
      <c r="G59" s="256"/>
      <c r="H59" s="256"/>
      <c r="I59" s="256"/>
      <c r="J59" s="256"/>
      <c r="K59" s="256"/>
      <c r="L59" s="279"/>
      <c r="M59" s="268">
        <f>'[2]Админ. расх. (2)'!AA50</f>
        <v>424.02907300071627</v>
      </c>
      <c r="N59" s="268">
        <f>J59-M59</f>
        <v>-424.02907300071627</v>
      </c>
      <c r="O59" s="278"/>
      <c r="P59" s="268"/>
      <c r="Q59" s="268"/>
      <c r="R59" s="268">
        <f>'[1]Смета ВС_2016'!M59</f>
        <v>424.02907300071627</v>
      </c>
      <c r="S59" s="268">
        <f>'[1]Админ. расх. (2)'!AD50</f>
        <v>561.28800000000001</v>
      </c>
      <c r="T59" s="267">
        <f>'[1]Админ. расх. (2)'!AG50</f>
        <v>610.59658951199992</v>
      </c>
      <c r="V59" s="3"/>
    </row>
    <row r="60" spans="1:22">
      <c r="A60" s="277" t="s">
        <v>97</v>
      </c>
      <c r="B60" s="276" t="s">
        <v>96</v>
      </c>
      <c r="C60" s="275" t="s">
        <v>0</v>
      </c>
      <c r="D60" s="274"/>
      <c r="E60" s="274"/>
      <c r="F60" s="274"/>
      <c r="G60" s="274"/>
      <c r="H60" s="274"/>
      <c r="I60" s="274"/>
      <c r="J60" s="274"/>
      <c r="K60" s="274"/>
      <c r="L60" s="273"/>
      <c r="M60" s="271">
        <f>'[2]Админ. расх. (2)'!AA51</f>
        <v>669.15702799999997</v>
      </c>
      <c r="N60" s="271">
        <f>J60-M60</f>
        <v>-669.15702799999997</v>
      </c>
      <c r="O60" s="272"/>
      <c r="P60" s="271"/>
      <c r="Q60" s="271"/>
      <c r="R60" s="271">
        <f>'[1]Смета ВС_2016'!M60</f>
        <v>669.15702799999997</v>
      </c>
      <c r="S60" s="271">
        <f>'[1]Админ. расх. (2)'!AD51</f>
        <v>1678.3256000000003</v>
      </c>
      <c r="T60" s="270">
        <f>'[1]Админ. расх. (2)'!AG51</f>
        <v>1825.7648256344</v>
      </c>
      <c r="V60" s="3"/>
    </row>
    <row r="61" spans="1:22" ht="15.75" thickBot="1">
      <c r="A61" s="269"/>
      <c r="B61" s="259" t="s">
        <v>95</v>
      </c>
      <c r="C61" s="258"/>
      <c r="D61" s="257"/>
      <c r="E61" s="257"/>
      <c r="F61" s="257"/>
      <c r="G61" s="257"/>
      <c r="H61" s="257"/>
      <c r="I61" s="257"/>
      <c r="J61" s="257"/>
      <c r="K61" s="257"/>
      <c r="L61" s="257"/>
      <c r="M61" s="268">
        <v>535.53</v>
      </c>
      <c r="N61" s="268"/>
      <c r="O61" s="268"/>
      <c r="P61" s="268"/>
      <c r="Q61" s="268"/>
      <c r="R61" s="268">
        <v>535.53</v>
      </c>
      <c r="S61" s="268">
        <v>557.23</v>
      </c>
      <c r="T61" s="267">
        <v>606.17999999999995</v>
      </c>
      <c r="V61" s="3"/>
    </row>
    <row r="62" spans="1:22" ht="27" customHeight="1" thickTop="1" thickBot="1">
      <c r="A62" s="133" t="s">
        <v>94</v>
      </c>
      <c r="B62" s="266" t="s">
        <v>93</v>
      </c>
      <c r="C62" s="265" t="s">
        <v>0</v>
      </c>
      <c r="D62" s="262">
        <v>11860.32</v>
      </c>
      <c r="E62" s="262">
        <v>10481.73</v>
      </c>
      <c r="F62" s="262">
        <v>8120.71</v>
      </c>
      <c r="G62" s="262">
        <v>15396.75</v>
      </c>
      <c r="H62" s="262">
        <f>'[2]Админ. расх. (2)'!O53*0.59</f>
        <v>3908.5612000000001</v>
      </c>
      <c r="I62" s="262">
        <f>'[2]Админ. расх. (2)'!P53*0.59</f>
        <v>7817.1224000000002</v>
      </c>
      <c r="J62" s="265">
        <f>'[2]Админ. расх. (2)'!R53</f>
        <v>0</v>
      </c>
      <c r="K62" s="265">
        <f>'[2]Админ. расх. (2)'!U53</f>
        <v>0</v>
      </c>
      <c r="L62" s="265">
        <f>'[2]Админ. расх. (2)'!X53</f>
        <v>0</v>
      </c>
      <c r="M62" s="262">
        <f>'[2]Админ. расх. (2)'!AA53</f>
        <v>7795.0615399999988</v>
      </c>
      <c r="N62" s="262">
        <f>J62-M62</f>
        <v>-7795.0615399999988</v>
      </c>
      <c r="O62" s="264"/>
      <c r="P62" s="262"/>
      <c r="Q62" s="263">
        <f>M62/I62-1</f>
        <v>-2.822120323970001E-3</v>
      </c>
      <c r="R62" s="262">
        <f>'[1]Смета ВС_2016'!M61</f>
        <v>7795.0615399999988</v>
      </c>
      <c r="S62" s="262">
        <f>'[1]Админ. расх. (2)'!AD53</f>
        <v>10857.974400000003</v>
      </c>
      <c r="T62" s="261">
        <f>'[1]Админ. расх. (2)'!AG53</f>
        <v>11811.8365930656</v>
      </c>
      <c r="V62" s="3"/>
    </row>
    <row r="63" spans="1:22" ht="19.5" hidden="1" customHeight="1" thickTop="1">
      <c r="A63" s="260"/>
      <c r="B63" s="259" t="s">
        <v>92</v>
      </c>
      <c r="C63" s="258" t="s">
        <v>0</v>
      </c>
      <c r="D63" s="257"/>
      <c r="E63" s="257"/>
      <c r="F63" s="256"/>
      <c r="G63" s="256"/>
      <c r="H63" s="256">
        <f>'[2]Админ. расх. (2)'!O56</f>
        <v>2892.32</v>
      </c>
      <c r="I63" s="256">
        <f>'[2]Админ. расх. (2)'!P56</f>
        <v>5784.64</v>
      </c>
      <c r="J63" s="256">
        <f>'[2]Админ. расх. (2)'!R56</f>
        <v>11569.278599999998</v>
      </c>
      <c r="K63" s="256">
        <f>'[2]Админ. расх. (2)'!U56</f>
        <v>12066.757579799998</v>
      </c>
      <c r="L63" s="256">
        <f>'[2]Админ. расх. (2)'!X56</f>
        <v>12585.628155731396</v>
      </c>
      <c r="M63" s="254">
        <v>0</v>
      </c>
      <c r="N63" s="254"/>
      <c r="O63" s="255"/>
      <c r="P63" s="254"/>
      <c r="Q63" s="254"/>
      <c r="R63" s="254">
        <v>0</v>
      </c>
      <c r="S63" s="254">
        <v>0</v>
      </c>
      <c r="T63" s="254"/>
      <c r="V63" s="3"/>
    </row>
    <row r="64" spans="1:22" ht="31.5" thickTop="1" thickBot="1">
      <c r="A64" s="253" t="s">
        <v>91</v>
      </c>
      <c r="B64" s="252" t="s">
        <v>90</v>
      </c>
      <c r="C64" s="252" t="s">
        <v>0</v>
      </c>
      <c r="D64" s="249">
        <f>D65</f>
        <v>0</v>
      </c>
      <c r="E64" s="249">
        <f>E65</f>
        <v>7824.9219999999996</v>
      </c>
      <c r="F64" s="249">
        <f>F65</f>
        <v>7440.5519999999997</v>
      </c>
      <c r="G64" s="249">
        <f>G65</f>
        <v>8177.0434899999991</v>
      </c>
      <c r="H64" s="249">
        <f>H65</f>
        <v>4088.5217449999996</v>
      </c>
      <c r="I64" s="249">
        <f>I65</f>
        <v>8177.0434899999991</v>
      </c>
      <c r="J64" s="249">
        <f>J65</f>
        <v>8528.6563600699992</v>
      </c>
      <c r="K64" s="249">
        <f>K65</f>
        <v>8895.3885835530091</v>
      </c>
      <c r="L64" s="249">
        <f>K64</f>
        <v>8895.3885835530091</v>
      </c>
      <c r="M64" s="249">
        <f>'[2]расшифровки ВС_2016'!M468</f>
        <v>7824.9219999999996</v>
      </c>
      <c r="N64" s="249">
        <f>J64-M64</f>
        <v>703.73436006999964</v>
      </c>
      <c r="O64" s="251" t="s">
        <v>89</v>
      </c>
      <c r="P64" s="249">
        <f>M64/E64-1</f>
        <v>0</v>
      </c>
      <c r="Q64" s="250">
        <f>M64/I64-1</f>
        <v>-4.3062200956937802E-2</v>
      </c>
      <c r="R64" s="249">
        <f>R65</f>
        <v>7824.9219999999996</v>
      </c>
      <c r="S64" s="249">
        <f>S65</f>
        <v>8979.1959999999999</v>
      </c>
      <c r="T64" s="248">
        <f>T65</f>
        <v>8979.1959999999999</v>
      </c>
      <c r="V64" s="3"/>
    </row>
    <row r="65" spans="1:24" ht="26.25" thickBot="1">
      <c r="A65" s="104" t="s">
        <v>88</v>
      </c>
      <c r="B65" s="223" t="s">
        <v>87</v>
      </c>
      <c r="C65" s="237" t="s">
        <v>0</v>
      </c>
      <c r="D65" s="236">
        <v>0</v>
      </c>
      <c r="E65" s="236">
        <f>'[2]расшифровки ВС_2016'!E468</f>
        <v>7824.9219999999996</v>
      </c>
      <c r="F65" s="236">
        <f>'[2]расшифровки ВС_2016'!F468</f>
        <v>7440.5519999999997</v>
      </c>
      <c r="G65" s="247">
        <f>'[2]сбытовые расходы'!H9/1000</f>
        <v>8177.0434899999991</v>
      </c>
      <c r="H65" s="247">
        <f>G65/2</f>
        <v>4088.5217449999996</v>
      </c>
      <c r="I65" s="247">
        <f>'[2]сбытовые расходы'!H9/1000</f>
        <v>8177.0434899999991</v>
      </c>
      <c r="J65" s="247">
        <f>'[2]сбытовые расходы'!I9/1000</f>
        <v>8528.6563600699992</v>
      </c>
      <c r="K65" s="247">
        <f>'[2]сбытовые расходы'!J9/1000</f>
        <v>8895.3885835530091</v>
      </c>
      <c r="L65" s="247">
        <f>K65</f>
        <v>8895.3885835530091</v>
      </c>
      <c r="M65" s="244">
        <f>'[2]расшифровки ВС_2016'!M468</f>
        <v>7824.9219999999996</v>
      </c>
      <c r="N65" s="244">
        <f>J65-M65</f>
        <v>703.73436006999964</v>
      </c>
      <c r="O65" s="246"/>
      <c r="P65" s="244">
        <f>M65/E65-1</f>
        <v>0</v>
      </c>
      <c r="Q65" s="244">
        <f>M65/I65-1</f>
        <v>-4.3062200956937802E-2</v>
      </c>
      <c r="R65" s="244">
        <f>'[1]Смета ВС_2016'!M64</f>
        <v>7824.9219999999996</v>
      </c>
      <c r="S65" s="245">
        <f>'[1]сбытовые расходы (2)'!L9</f>
        <v>8979.1959999999999</v>
      </c>
      <c r="T65" s="244">
        <f>'[1]сбытовые расходы (2)'!M9</f>
        <v>8979.1959999999999</v>
      </c>
      <c r="V65" s="3"/>
    </row>
    <row r="66" spans="1:24" ht="15.75" thickBot="1">
      <c r="A66" s="243" t="s">
        <v>86</v>
      </c>
      <c r="B66" s="242" t="s">
        <v>85</v>
      </c>
      <c r="C66" s="242" t="s">
        <v>0</v>
      </c>
      <c r="D66" s="232">
        <f>D67</f>
        <v>25979.78</v>
      </c>
      <c r="E66" s="232">
        <f>E67</f>
        <v>28576.016</v>
      </c>
      <c r="F66" s="232">
        <f>F67</f>
        <v>34140.699999999997</v>
      </c>
      <c r="G66" s="232">
        <f>G67</f>
        <v>42352.256296799991</v>
      </c>
      <c r="H66" s="232">
        <f>H67</f>
        <v>18039.246000000003</v>
      </c>
      <c r="I66" s="232">
        <f>I67</f>
        <v>36258.884460000001</v>
      </c>
      <c r="J66" s="232">
        <f>J67</f>
        <v>43393.107324999997</v>
      </c>
      <c r="K66" s="232">
        <f>K67</f>
        <v>73502.179965000003</v>
      </c>
      <c r="L66" s="232">
        <f>L67</f>
        <v>100250.80497499999</v>
      </c>
      <c r="M66" s="232">
        <f>'[2]расшифровки ВС_2016'!M395</f>
        <v>49381.307484999998</v>
      </c>
      <c r="N66" s="232">
        <f>J66-M66</f>
        <v>-5988.2001600000003</v>
      </c>
      <c r="O66" s="241">
        <f>O67</f>
        <v>0</v>
      </c>
      <c r="P66" s="232">
        <f>M66/E66-1</f>
        <v>0.72806830332821759</v>
      </c>
      <c r="Q66" s="240">
        <f>M66/I66-1</f>
        <v>0.36190917675573719</v>
      </c>
      <c r="R66" s="232">
        <f>R67</f>
        <v>103295.1</v>
      </c>
      <c r="S66" s="232">
        <f>S67</f>
        <v>66414.782000000007</v>
      </c>
      <c r="T66" s="239">
        <f>T67</f>
        <v>103295.1</v>
      </c>
      <c r="V66" s="3"/>
    </row>
    <row r="67" spans="1:24" ht="51.75" thickBot="1">
      <c r="A67" s="238" t="s">
        <v>84</v>
      </c>
      <c r="B67" s="223" t="s">
        <v>83</v>
      </c>
      <c r="C67" s="237" t="s">
        <v>0</v>
      </c>
      <c r="D67" s="236">
        <v>25979.78</v>
      </c>
      <c r="E67" s="236">
        <f>'[2]расшифровки ВС_2016'!E384+'[2]расшифровки ВС_2016'!E385+'[2]расшифровки ВС_2016'!E386</f>
        <v>28576.016</v>
      </c>
      <c r="F67" s="236">
        <f>'[2]расшифровки ВС_2016'!F383</f>
        <v>34140.699999999997</v>
      </c>
      <c r="G67" s="236">
        <f>'[2]расшифровки ВС_2016'!G384+'[2]расшифровки ВС_2016'!G385+'[2]расшифровки ВС_2016'!G386+'[2]расшифровки ВС_2016'!G388</f>
        <v>42352.256296799991</v>
      </c>
      <c r="H67" s="236">
        <f>'[2]расшифровки ВС_2016'!H384+'[2]расшифровки ВС_2016'!H385+'[2]расшифровки ВС_2016'!H386</f>
        <v>18039.246000000003</v>
      </c>
      <c r="I67" s="236">
        <f>'[2]расшифровки ВС_2016'!I384+'[2]расшифровки ВС_2016'!I385+'[2]расшифровки ВС_2016'!I386</f>
        <v>36258.884460000001</v>
      </c>
      <c r="J67" s="236">
        <f>'[2]расшифровки ВС_2016'!J384+'[2]расшифровки ВС_2016'!J385+'[2]расшифровки ВС_2016'!J386</f>
        <v>43393.107324999997</v>
      </c>
      <c r="K67" s="236">
        <f>'[2]расшифровки ВС_2016'!K384+'[2]расшифровки ВС_2016'!K385+'[2]расшифровки ВС_2016'!K386</f>
        <v>73502.179965000003</v>
      </c>
      <c r="L67" s="236">
        <f>'[2]расшифровки ВС_2016'!L384+'[2]расшифровки ВС_2016'!L385+'[2]расшифровки ВС_2016'!L386</f>
        <v>100250.80497499999</v>
      </c>
      <c r="M67" s="198">
        <f>'[2]расшифровки ВС_2016'!M383</f>
        <v>49381.307484999998</v>
      </c>
      <c r="N67" s="198">
        <f>J67-M67</f>
        <v>-5988.2001600000003</v>
      </c>
      <c r="O67" s="235"/>
      <c r="P67" s="198">
        <f>M67/E67-1</f>
        <v>0.72806830332821759</v>
      </c>
      <c r="Q67" s="198">
        <f>M67/I67-1</f>
        <v>0.36190917675573719</v>
      </c>
      <c r="R67" s="198">
        <f>'[1]Расчёт ВС методом индексации'!P16</f>
        <v>103295.1</v>
      </c>
      <c r="S67" s="198">
        <f>'[1]расшифровки ВС_2016'!Q383</f>
        <v>66414.782000000007</v>
      </c>
      <c r="T67" s="198">
        <f>'[1]расшифровки ВС_2016'!S383</f>
        <v>103295.1</v>
      </c>
      <c r="V67" s="3"/>
    </row>
    <row r="68" spans="1:24" ht="45.75" hidden="1" customHeight="1" thickBot="1">
      <c r="A68" s="234" t="s">
        <v>82</v>
      </c>
      <c r="B68" s="216" t="s">
        <v>81</v>
      </c>
      <c r="C68" s="233" t="s">
        <v>0</v>
      </c>
      <c r="D68" s="232">
        <v>0</v>
      </c>
      <c r="E68" s="232">
        <f>E69+E70+E71+E72</f>
        <v>0</v>
      </c>
      <c r="F68" s="232">
        <f>F69+F70+F71+F72</f>
        <v>0</v>
      </c>
      <c r="G68" s="232">
        <f>G69+G70+G71+G72</f>
        <v>0</v>
      </c>
      <c r="H68" s="232">
        <f>H69+H70+H71+H72</f>
        <v>0</v>
      </c>
      <c r="I68" s="232">
        <f>I69+I70+I71+I72</f>
        <v>0</v>
      </c>
      <c r="J68" s="232">
        <f>J69+J70+J71+J72</f>
        <v>0</v>
      </c>
      <c r="K68" s="232">
        <f>K69+K70+K71+K72</f>
        <v>0</v>
      </c>
      <c r="L68" s="232">
        <f>L69+L70+L71+L72</f>
        <v>0</v>
      </c>
      <c r="M68" s="213"/>
      <c r="N68" s="213">
        <f>J68-M68</f>
        <v>0</v>
      </c>
      <c r="O68" s="231"/>
      <c r="P68" s="213" t="e">
        <f>M68/E68-1</f>
        <v>#DIV/0!</v>
      </c>
      <c r="Q68" s="213" t="e">
        <f>M68/I68-1</f>
        <v>#DIV/0!</v>
      </c>
      <c r="R68" s="213"/>
      <c r="S68" s="213"/>
      <c r="T68" s="213"/>
      <c r="V68" s="3"/>
    </row>
    <row r="69" spans="1:24" ht="15.75" hidden="1" customHeight="1" thickBot="1">
      <c r="A69" s="230" t="s">
        <v>80</v>
      </c>
      <c r="B69" s="229" t="s">
        <v>79</v>
      </c>
      <c r="C69" s="228" t="s">
        <v>0</v>
      </c>
      <c r="D69" s="227"/>
      <c r="E69" s="227">
        <f>'[2]расшифровки ВС_2016'!E403</f>
        <v>0</v>
      </c>
      <c r="F69" s="227"/>
      <c r="G69" s="227"/>
      <c r="H69" s="227"/>
      <c r="I69" s="227"/>
      <c r="J69" s="227"/>
      <c r="K69" s="227"/>
      <c r="L69" s="226"/>
      <c r="M69" s="114"/>
      <c r="N69" s="114">
        <f>J69-M69</f>
        <v>0</v>
      </c>
      <c r="O69" s="113"/>
      <c r="P69" s="114" t="e">
        <f>M69/E69-1</f>
        <v>#DIV/0!</v>
      </c>
      <c r="Q69" s="114" t="e">
        <f>M69/I69-1</f>
        <v>#DIV/0!</v>
      </c>
      <c r="R69" s="114"/>
      <c r="S69" s="114"/>
      <c r="T69" s="114"/>
      <c r="V69" s="3"/>
    </row>
    <row r="70" spans="1:24" ht="16.5" hidden="1" customHeight="1" thickTop="1" thickBot="1">
      <c r="A70" s="133" t="s">
        <v>78</v>
      </c>
      <c r="B70" s="225" t="s">
        <v>77</v>
      </c>
      <c r="C70" s="131" t="s">
        <v>0</v>
      </c>
      <c r="D70" s="109">
        <f>'[2]расшифровки ВС_2016'!D410</f>
        <v>0</v>
      </c>
      <c r="E70" s="109">
        <f>'[2]расшифровки ВС_2016'!E410</f>
        <v>0</v>
      </c>
      <c r="F70" s="109"/>
      <c r="G70" s="109"/>
      <c r="H70" s="109"/>
      <c r="I70" s="109"/>
      <c r="J70" s="109"/>
      <c r="K70" s="109"/>
      <c r="L70" s="108"/>
      <c r="M70" s="107"/>
      <c r="N70" s="107">
        <f>J70-M70</f>
        <v>0</v>
      </c>
      <c r="O70" s="106"/>
      <c r="P70" s="107" t="e">
        <f>M70/E70-1</f>
        <v>#DIV/0!</v>
      </c>
      <c r="Q70" s="107" t="e">
        <f>M70/I70-1</f>
        <v>#DIV/0!</v>
      </c>
      <c r="R70" s="107"/>
      <c r="S70" s="107"/>
      <c r="T70" s="107"/>
      <c r="V70" s="3"/>
    </row>
    <row r="71" spans="1:24" ht="16.5" hidden="1" customHeight="1" thickTop="1" thickBot="1">
      <c r="A71" s="133" t="s">
        <v>76</v>
      </c>
      <c r="B71" s="225" t="s">
        <v>75</v>
      </c>
      <c r="C71" s="131" t="s">
        <v>0</v>
      </c>
      <c r="D71" s="109">
        <f>'[2]расшифровки ВС_2016'!D414</f>
        <v>0</v>
      </c>
      <c r="E71" s="109">
        <f>'[2]расшифровки ВС_2016'!E414</f>
        <v>0</v>
      </c>
      <c r="F71" s="109"/>
      <c r="G71" s="109"/>
      <c r="H71" s="109"/>
      <c r="I71" s="109"/>
      <c r="J71" s="109"/>
      <c r="K71" s="109"/>
      <c r="L71" s="108"/>
      <c r="M71" s="107"/>
      <c r="N71" s="107">
        <f>J71-M71</f>
        <v>0</v>
      </c>
      <c r="O71" s="106"/>
      <c r="P71" s="107" t="e">
        <f>M71/E71-1</f>
        <v>#DIV/0!</v>
      </c>
      <c r="Q71" s="107" t="e">
        <f>M71/I71-1</f>
        <v>#DIV/0!</v>
      </c>
      <c r="R71" s="107"/>
      <c r="S71" s="107"/>
      <c r="T71" s="107"/>
      <c r="V71" s="3"/>
    </row>
    <row r="72" spans="1:24" ht="16.5" hidden="1" customHeight="1" thickTop="1" thickBot="1">
      <c r="A72" s="224" t="s">
        <v>74</v>
      </c>
      <c r="B72" s="223" t="s">
        <v>73</v>
      </c>
      <c r="C72" s="222" t="s">
        <v>0</v>
      </c>
      <c r="D72" s="83">
        <f>'[2]расшифровки ВС_2016'!D419</f>
        <v>0</v>
      </c>
      <c r="E72" s="83">
        <f>'[2]расшифровки ВС_2016'!E419</f>
        <v>0</v>
      </c>
      <c r="F72" s="83"/>
      <c r="G72" s="83"/>
      <c r="H72" s="83"/>
      <c r="I72" s="83"/>
      <c r="J72" s="221"/>
      <c r="K72" s="221"/>
      <c r="L72" s="220"/>
      <c r="M72" s="218"/>
      <c r="N72" s="218">
        <f>J72-M72</f>
        <v>0</v>
      </c>
      <c r="O72" s="219"/>
      <c r="P72" s="218" t="e">
        <f>M72/E72-1</f>
        <v>#DIV/0!</v>
      </c>
      <c r="Q72" s="218" t="e">
        <f>M72/I72-1</f>
        <v>#DIV/0!</v>
      </c>
      <c r="R72" s="218"/>
      <c r="S72" s="218"/>
      <c r="T72" s="218"/>
      <c r="V72" s="3"/>
    </row>
    <row r="73" spans="1:24" ht="30.75" thickBot="1">
      <c r="A73" s="217" t="s">
        <v>72</v>
      </c>
      <c r="B73" s="216" t="s">
        <v>71</v>
      </c>
      <c r="C73" s="215" t="s">
        <v>0</v>
      </c>
      <c r="D73" s="123">
        <f>SUM(D74:D79)</f>
        <v>17382.400000000001</v>
      </c>
      <c r="E73" s="123">
        <f>SUM(E74:E79)</f>
        <v>22920.437679999999</v>
      </c>
      <c r="F73" s="123">
        <f>SUM(F74:F79)</f>
        <v>17728.989999999998</v>
      </c>
      <c r="G73" s="123">
        <f>SUM(G74:G79)</f>
        <v>24540.357973999999</v>
      </c>
      <c r="H73" s="123">
        <f>[2]налоги!H105</f>
        <v>15252.868548799999</v>
      </c>
      <c r="I73" s="123">
        <f>[2]налоги!I105</f>
        <v>35336.068207600001</v>
      </c>
      <c r="J73" s="123">
        <f>[2]налоги!J105</f>
        <v>45137.258926720002</v>
      </c>
      <c r="K73" s="123">
        <f>[2]налоги!K105</f>
        <v>41306.536912412157</v>
      </c>
      <c r="L73" s="123">
        <f>[2]налоги!L105</f>
        <v>65263.293838742487</v>
      </c>
      <c r="M73" s="123">
        <f>M74+M75+M76+M77+M78+M79</f>
        <v>25781.898009295997</v>
      </c>
      <c r="N73" s="123">
        <f>J73-M73</f>
        <v>19355.360917424005</v>
      </c>
      <c r="O73" s="214"/>
      <c r="P73" s="123">
        <f>M73/E73-1</f>
        <v>0.12484318010178574</v>
      </c>
      <c r="Q73" s="213">
        <f>M73/I73-1</f>
        <v>-0.27038011535898931</v>
      </c>
      <c r="R73" s="123">
        <f>R74+R75+R76+R77+R78+R79</f>
        <v>52499.779069648961</v>
      </c>
      <c r="S73" s="123">
        <f>S74+S75+S76+S77+S78+S79</f>
        <v>47348.171900000001</v>
      </c>
      <c r="T73" s="212">
        <f>T74+T75+T76+T77+T78+T79</f>
        <v>53391.286</v>
      </c>
      <c r="V73" s="3"/>
      <c r="W73" s="3"/>
      <c r="X73" s="3"/>
    </row>
    <row r="74" spans="1:24" ht="23.25" customHeight="1" thickBot="1">
      <c r="A74" s="211" t="s">
        <v>70</v>
      </c>
      <c r="B74" s="210" t="s">
        <v>69</v>
      </c>
      <c r="C74" s="209" t="s">
        <v>0</v>
      </c>
      <c r="D74" s="208">
        <v>10000</v>
      </c>
      <c r="E74" s="208">
        <f>'[2]расшифровки ВС_2016'!E430</f>
        <v>10393.487879999999</v>
      </c>
      <c r="F74" s="208">
        <f>'[2]расшифровки ВС_2016'!F430</f>
        <v>12436</v>
      </c>
      <c r="G74" s="208">
        <f>'[2]расшифровки ВС_2016'!G430</f>
        <v>10913.162274</v>
      </c>
      <c r="H74" s="208">
        <f>[2]налоги!H97</f>
        <v>6305.6802239999997</v>
      </c>
      <c r="I74" s="208">
        <f>[2]налоги!I97</f>
        <v>17441.691557999999</v>
      </c>
      <c r="J74" s="208">
        <f>[2]налоги!J97</f>
        <v>26832.239810624</v>
      </c>
      <c r="K74" s="208">
        <f>[2]налоги!K97</f>
        <v>21796.254630155203</v>
      </c>
      <c r="L74" s="208">
        <f>[2]налоги!L97</f>
        <v>44411.338733662968</v>
      </c>
      <c r="M74" s="134">
        <f>'[2]расшифровки ВС_2016'!M430</f>
        <v>10913.162274</v>
      </c>
      <c r="N74" s="134">
        <f>J74-M74</f>
        <v>15919.077536624</v>
      </c>
      <c r="O74" s="207" t="s">
        <v>68</v>
      </c>
      <c r="P74" s="134">
        <f>M74/E74-1</f>
        <v>5.0000000000000044E-2</v>
      </c>
      <c r="Q74" s="206">
        <f>M74/I74-1</f>
        <v>-0.37430597039801172</v>
      </c>
      <c r="R74" s="134">
        <f>'[1]Неподконтрольные расходы ВС'!N21</f>
        <v>37560.9</v>
      </c>
      <c r="S74" s="134">
        <f>'[1]расшифровки ВС_2016'!Q430</f>
        <v>34529.944900000002</v>
      </c>
      <c r="T74" s="134">
        <f>'[1]расшифровки ВС_2016'!R430</f>
        <v>37560.9</v>
      </c>
      <c r="V74" s="3"/>
      <c r="W74" s="205"/>
      <c r="X74" s="205"/>
    </row>
    <row r="75" spans="1:24" ht="27" hidden="1" thickTop="1" thickBot="1">
      <c r="A75" s="133" t="s">
        <v>67</v>
      </c>
      <c r="B75" s="111" t="s">
        <v>66</v>
      </c>
      <c r="C75" s="131" t="s">
        <v>0</v>
      </c>
      <c r="D75" s="109">
        <v>2100</v>
      </c>
      <c r="E75" s="109">
        <f>'[2]расшифровки ВС_2016'!E431</f>
        <v>0</v>
      </c>
      <c r="F75" s="109"/>
      <c r="G75" s="109">
        <f>'[2]расшифровки ВС_2016'!G431</f>
        <v>0</v>
      </c>
      <c r="H75" s="109">
        <f>'[2]расшифровки ВС_2016'!H431</f>
        <v>0</v>
      </c>
      <c r="I75" s="109">
        <f>'[2]расшифровки ВС_2016'!I431</f>
        <v>0</v>
      </c>
      <c r="J75" s="109">
        <f>'[2]расшифровки ВС_2016'!J431</f>
        <v>0</v>
      </c>
      <c r="K75" s="109">
        <f>'[2]расшифровки ВС_2016'!K431</f>
        <v>0</v>
      </c>
      <c r="L75" s="109">
        <f>'[2]расшифровки ВС_2016'!L431</f>
        <v>0</v>
      </c>
      <c r="M75" s="107"/>
      <c r="N75" s="107">
        <f>J75-M75</f>
        <v>0</v>
      </c>
      <c r="O75" s="204"/>
      <c r="P75" s="107"/>
      <c r="Q75" s="107"/>
      <c r="R75" s="107"/>
      <c r="S75" s="134"/>
      <c r="T75" s="134"/>
      <c r="V75" s="3"/>
      <c r="W75" s="3"/>
      <c r="X75" s="3"/>
    </row>
    <row r="76" spans="1:24" ht="27" thickTop="1" thickBot="1">
      <c r="A76" s="133" t="s">
        <v>65</v>
      </c>
      <c r="B76" s="111" t="s">
        <v>64</v>
      </c>
      <c r="C76" s="131" t="s">
        <v>0</v>
      </c>
      <c r="D76" s="109">
        <v>2300</v>
      </c>
      <c r="E76" s="109">
        <f>'[2]расшифровки ВС_2016'!E432+'[2]расшифровки ВС_2016'!E433</f>
        <v>6413.2400000000007</v>
      </c>
      <c r="F76" s="109">
        <f>'[2]расшифровки ВС_2016'!F433</f>
        <v>4281.99</v>
      </c>
      <c r="G76" s="109">
        <f>'[2]расшифровки ВС_2016'!G432+'[2]расшифровки ВС_2016'!G433</f>
        <v>7493.9863999999998</v>
      </c>
      <c r="H76" s="109">
        <f>'[2]расшифровки ВС_2016'!H432+'[2]расшифровки ВС_2016'!H433</f>
        <v>4188.0650000000005</v>
      </c>
      <c r="I76" s="109">
        <f>'[2]расшифровки ВС_2016'!I432+'[2]расшифровки ВС_2016'!I433</f>
        <v>8376.130000000001</v>
      </c>
      <c r="J76" s="109">
        <f>'[2]расшифровки ВС_2016'!J432+'[2]расшифровки ВС_2016'!J433</f>
        <v>8691.59</v>
      </c>
      <c r="K76" s="109">
        <f>'[2]расшифровки ВС_2016'!K432+'[2]расшифровки ВС_2016'!K433</f>
        <v>9800.7188750000005</v>
      </c>
      <c r="L76" s="109">
        <f>'[2]расшифровки ВС_2016'!L432+'[2]расшифровки ВС_2016'!L433</f>
        <v>11045.29606375</v>
      </c>
      <c r="M76" s="107">
        <f>'[2]расшифровки ВС_2016'!M432+'[2]расшифровки ВС_2016'!M433</f>
        <v>8691.59</v>
      </c>
      <c r="N76" s="107">
        <f>J76-M76</f>
        <v>0</v>
      </c>
      <c r="O76" s="204"/>
      <c r="P76" s="107">
        <f>M76/E76-1</f>
        <v>0.35525724906599465</v>
      </c>
      <c r="Q76" s="198">
        <f>M76/I76-1</f>
        <v>3.7661784141363563E-2</v>
      </c>
      <c r="R76" s="107">
        <f>'[1]Неподконтрольные расходы ВС'!N23+'[1]Неподконтрольные расходы ВС'!N22</f>
        <v>8229.3188750000008</v>
      </c>
      <c r="S76" s="134">
        <f>'[1]расшифровки ВС_2016'!Q432+'[1]расшифровки ВС_2016'!Q433</f>
        <v>8354.5409999999993</v>
      </c>
      <c r="T76" s="134">
        <f>'[1]расшифровки ВС_2016'!R432+'[1]расшифровки ВС_2016'!R433</f>
        <v>11366.699999999999</v>
      </c>
      <c r="V76" s="3"/>
    </row>
    <row r="77" spans="1:24" ht="16.5" thickTop="1" thickBot="1">
      <c r="A77" s="133" t="s">
        <v>63</v>
      </c>
      <c r="B77" s="203" t="s">
        <v>62</v>
      </c>
      <c r="C77" s="131" t="s">
        <v>0</v>
      </c>
      <c r="D77" s="109">
        <v>2700</v>
      </c>
      <c r="E77" s="109">
        <f>'[2]расшифровки ВС_2016'!E436</f>
        <v>5723.7197999999989</v>
      </c>
      <c r="F77" s="109">
        <f>'[2]расшифровки ВС_2016'!F436</f>
        <v>702</v>
      </c>
      <c r="G77" s="109">
        <f>'[2]расшифровки ВС_2016'!G436</f>
        <v>5723.7197999999989</v>
      </c>
      <c r="H77" s="109">
        <f>'[2]расшифровки ВС_2016'!H436</f>
        <v>4534.6550399999996</v>
      </c>
      <c r="I77" s="109">
        <f>'[2]расшифровки ВС_2016'!I436</f>
        <v>9069.3100799999993</v>
      </c>
      <c r="J77" s="109">
        <f>'[2]расшифровки ВС_2016'!J436</f>
        <v>9160.0031807999985</v>
      </c>
      <c r="K77" s="109">
        <f>'[2]расшифровки ВС_2016'!K436</f>
        <v>9251.603212607999</v>
      </c>
      <c r="L77" s="109">
        <f>'[2]расшифровки ВС_2016'!L436</f>
        <v>9344.11924473408</v>
      </c>
      <c r="M77" s="107">
        <f>'[2]расшифровки ВС_2016'!M436</f>
        <v>5723.7197999999989</v>
      </c>
      <c r="N77" s="107">
        <f>J77-M77</f>
        <v>3436.2833807999996</v>
      </c>
      <c r="O77" s="106"/>
      <c r="P77" s="107">
        <f>M77/E77-1</f>
        <v>0</v>
      </c>
      <c r="Q77" s="198">
        <f>M77/I77-1</f>
        <v>-0.36889137657536131</v>
      </c>
      <c r="R77" s="107">
        <f>'[1]Неподконтрольные расходы ВС'!N22</f>
        <v>6251.6</v>
      </c>
      <c r="S77" s="134">
        <f>'[1]расшифровки ВС_2016'!Q436</f>
        <v>3999.4939999999997</v>
      </c>
      <c r="T77" s="134">
        <f>'[1]расшифровки ВС_2016'!R436</f>
        <v>3999.4939999999997</v>
      </c>
      <c r="V77" s="3"/>
    </row>
    <row r="78" spans="1:24" ht="16.5" thickTop="1" thickBot="1">
      <c r="A78" s="202" t="s">
        <v>61</v>
      </c>
      <c r="B78" s="201" t="s">
        <v>60</v>
      </c>
      <c r="C78" s="200" t="s">
        <v>0</v>
      </c>
      <c r="D78" s="102">
        <v>282.39999999999998</v>
      </c>
      <c r="E78" s="102">
        <f>'[2]расшифровки ВС_2016'!E437</f>
        <v>389.98999999999995</v>
      </c>
      <c r="F78" s="102">
        <f>'[2]расшифровки ВС_2016'!F437</f>
        <v>309</v>
      </c>
      <c r="G78" s="102">
        <f>'[2]расшифровки ВС_2016'!G437</f>
        <v>409.48950000000002</v>
      </c>
      <c r="H78" s="102">
        <f>'[2]расшифровки ВС_2016'!H437</f>
        <v>224.46828479999999</v>
      </c>
      <c r="I78" s="102">
        <f>'[2]расшифровки ВС_2016'!I437</f>
        <v>448.93656959999998</v>
      </c>
      <c r="J78" s="102">
        <f>'[2]расшифровки ВС_2016'!J437</f>
        <v>453.42593529599998</v>
      </c>
      <c r="K78" s="102">
        <f>'[2]расшифровки ВС_2016'!K437</f>
        <v>457.96019464896</v>
      </c>
      <c r="L78" s="102">
        <f>'[2]расшифровки ВС_2016'!L437</f>
        <v>462.53979659544956</v>
      </c>
      <c r="M78" s="197">
        <f>'[2]расшифровки ВС_2016'!M437</f>
        <v>453.42593529599998</v>
      </c>
      <c r="N78" s="197">
        <f>J78-M78</f>
        <v>0</v>
      </c>
      <c r="O78" s="199"/>
      <c r="P78" s="197">
        <f>M78/E78-1</f>
        <v>0.16266041512859308</v>
      </c>
      <c r="Q78" s="198">
        <f>M78/I78-1</f>
        <v>1.0000000000000009E-2</v>
      </c>
      <c r="R78" s="197">
        <f>'[1]Неподконтрольные расходы ВС'!N25</f>
        <v>457.96019464896</v>
      </c>
      <c r="S78" s="134">
        <f>'[1]расшифровки ВС_2016'!Q437</f>
        <v>464.19200000000001</v>
      </c>
      <c r="T78" s="134">
        <f>'[1]расшифровки ВС_2016'!R437</f>
        <v>464.19200000000001</v>
      </c>
      <c r="V78" s="3"/>
    </row>
    <row r="79" spans="1:24" ht="59.25" hidden="1" customHeight="1" thickTop="1" thickBot="1">
      <c r="A79" s="96" t="s">
        <v>59</v>
      </c>
      <c r="B79" s="196" t="s">
        <v>58</v>
      </c>
      <c r="C79" s="195" t="s">
        <v>0</v>
      </c>
      <c r="D79" s="194"/>
      <c r="E79" s="194">
        <f>'[2]расшифровки ВС_2016'!E441</f>
        <v>0</v>
      </c>
      <c r="F79" s="194"/>
      <c r="G79" s="194">
        <f>'[2]расшифровки ВС_2016'!G441</f>
        <v>0</v>
      </c>
      <c r="H79" s="194">
        <f>'[2]расшифровки ВС_2016'!H441</f>
        <v>0</v>
      </c>
      <c r="I79" s="194">
        <f>'[2]расшифровки ВС_2016'!I441</f>
        <v>0</v>
      </c>
      <c r="J79" s="194">
        <f>'[1]Неподконтрольные расходы ВС'!N26</f>
        <v>3061.86</v>
      </c>
      <c r="K79" s="194"/>
      <c r="L79" s="194" t="s">
        <v>57</v>
      </c>
      <c r="M79" s="193"/>
      <c r="N79" s="193">
        <f>J79-M79</f>
        <v>3061.86</v>
      </c>
      <c r="O79" s="193"/>
      <c r="P79" s="193"/>
      <c r="Q79" s="193"/>
      <c r="R79" s="193"/>
      <c r="S79" s="134">
        <f>'[1]Неподконтрольные расходы ВС'!P26</f>
        <v>0</v>
      </c>
      <c r="T79" s="134">
        <f>'[1]Неподконтрольные расходы ВС'!Q26</f>
        <v>0</v>
      </c>
      <c r="V79" s="3"/>
    </row>
    <row r="80" spans="1:24" ht="27.75" hidden="1" customHeight="1" thickBot="1">
      <c r="A80" s="192" t="s">
        <v>56</v>
      </c>
      <c r="B80" s="191" t="s">
        <v>55</v>
      </c>
      <c r="C80" s="190" t="s">
        <v>0</v>
      </c>
      <c r="D80" s="189">
        <f>702.1+482+1928</f>
        <v>3112.1</v>
      </c>
      <c r="E80" s="189"/>
      <c r="F80" s="189"/>
      <c r="G80" s="189"/>
      <c r="H80" s="189"/>
      <c r="I80" s="189"/>
      <c r="J80" s="189"/>
      <c r="K80" s="189"/>
      <c r="L80" s="189"/>
      <c r="M80" s="187"/>
      <c r="N80" s="187">
        <f>J80-M80</f>
        <v>0</v>
      </c>
      <c r="O80" s="188"/>
      <c r="P80" s="187"/>
      <c r="Q80" s="187"/>
      <c r="R80" s="187"/>
      <c r="S80" s="187"/>
      <c r="T80" s="186"/>
      <c r="V80" s="3"/>
    </row>
    <row r="81" spans="1:34" ht="21" hidden="1" customHeight="1" thickBot="1">
      <c r="A81" s="185"/>
      <c r="B81" s="184" t="s">
        <v>54</v>
      </c>
      <c r="C81" s="183" t="s">
        <v>0</v>
      </c>
      <c r="D81" s="182">
        <f>24946.2+15845.3+46583.1</f>
        <v>87374.6</v>
      </c>
      <c r="E81" s="182"/>
      <c r="F81" s="182"/>
      <c r="G81" s="182"/>
      <c r="H81" s="182"/>
      <c r="I81" s="182"/>
      <c r="J81" s="182"/>
      <c r="K81" s="182"/>
      <c r="L81" s="182"/>
      <c r="M81" s="163"/>
      <c r="N81" s="163">
        <f>J81-M81</f>
        <v>0</v>
      </c>
      <c r="O81" s="181"/>
      <c r="P81" s="163"/>
      <c r="Q81" s="163"/>
      <c r="R81" s="163"/>
      <c r="S81" s="163"/>
      <c r="T81" s="180"/>
      <c r="V81" s="3"/>
    </row>
    <row r="82" spans="1:34" ht="36" hidden="1" customHeight="1" thickBot="1">
      <c r="A82" s="179"/>
      <c r="B82" s="178" t="s">
        <v>53</v>
      </c>
      <c r="C82" s="177" t="s">
        <v>0</v>
      </c>
      <c r="D82" s="176"/>
      <c r="E82" s="176"/>
      <c r="F82" s="176"/>
      <c r="G82" s="176"/>
      <c r="H82" s="176"/>
      <c r="I82" s="176">
        <f>22263.075/2+14693.62/2</f>
        <v>18478.3475</v>
      </c>
      <c r="J82" s="176">
        <f>22263.075+14693.629</f>
        <v>36956.703999999998</v>
      </c>
      <c r="K82" s="176">
        <f>J82</f>
        <v>36956.703999999998</v>
      </c>
      <c r="L82" s="176">
        <f>K82</f>
        <v>36956.703999999998</v>
      </c>
      <c r="M82" s="174"/>
      <c r="N82" s="174">
        <f>J82-M82</f>
        <v>36956.703999999998</v>
      </c>
      <c r="O82" s="175"/>
      <c r="P82" s="174"/>
      <c r="Q82" s="174"/>
      <c r="R82" s="174"/>
      <c r="S82" s="174"/>
      <c r="T82" s="173"/>
      <c r="V82" s="3"/>
    </row>
    <row r="83" spans="1:34" ht="24.75" customHeight="1" thickTop="1" thickBot="1">
      <c r="A83" s="172"/>
      <c r="B83" s="171" t="s">
        <v>52</v>
      </c>
      <c r="C83" s="170" t="s">
        <v>0</v>
      </c>
      <c r="D83" s="53">
        <f>D10+D32+D38+D64+D66+D68+D73+D80+D81+D82</f>
        <v>605091.07349926408</v>
      </c>
      <c r="E83" s="53">
        <f>E10+E32+E38+E64+E66+E68+E73+E80+E81+E82</f>
        <v>616238.9127977083</v>
      </c>
      <c r="F83" s="53">
        <f>F10+F32+F38+F64+F66+F68+F73+F80+F81+F82</f>
        <v>623420.17902120983</v>
      </c>
      <c r="G83" s="53">
        <f>G10+G32+G38+G64+G66+G68+G73+G80+G81+G82</f>
        <v>689494.32948387112</v>
      </c>
      <c r="H83" s="53">
        <f>H10+H32+H38+H64+H66+H68+H73+H80+H81+H82</f>
        <v>322043.42056225106</v>
      </c>
      <c r="I83" s="53">
        <f>I10+I32+I38+I64+I66+I68+I73+I80+I81+I82</f>
        <v>717517.09298439615</v>
      </c>
      <c r="J83" s="53">
        <f>J10+J32+J38+J64+J66+J68+J73+J80+J81+J82</f>
        <v>847909.498668154</v>
      </c>
      <c r="K83" s="53">
        <f>K10+K32+K38+K64+K66+K68+K73+K80+K81+K82</f>
        <v>885732.14765798079</v>
      </c>
      <c r="L83" s="53">
        <f>L10+L32+L38+L64+L66+L68+L73+L80+L81+L82</f>
        <v>943424.7755029127</v>
      </c>
      <c r="M83" s="52">
        <f>M10+M32+M38+M64+M66+M68+M73</f>
        <v>692247.17927915067</v>
      </c>
      <c r="N83" s="52">
        <f>J83-M83</f>
        <v>155662.31938900333</v>
      </c>
      <c r="O83" s="169" t="s">
        <v>51</v>
      </c>
      <c r="P83" s="52">
        <f>M83/E83-1</f>
        <v>0.12334220527614348</v>
      </c>
      <c r="Q83" s="52">
        <f>M83/I83-1</f>
        <v>-3.5218552912989698E-2</v>
      </c>
      <c r="R83" s="53">
        <f>R10+R32+R38+R64+R66+R68+R73+R80+R81+R82</f>
        <v>792504.7124005988</v>
      </c>
      <c r="S83" s="53">
        <f>S10+S32+S38+S64+S66+S68+S73+S80+S81+S82</f>
        <v>786965.93100210174</v>
      </c>
      <c r="T83" s="127">
        <f>T10+T32+T38+T64+T66+T68+T73+T80+T81+T82</f>
        <v>906660.9863941439</v>
      </c>
      <c r="V83" s="3"/>
      <c r="X83" s="3"/>
    </row>
    <row r="84" spans="1:34" ht="19.5" hidden="1" customHeight="1" thickBot="1">
      <c r="A84" s="168"/>
      <c r="B84" s="167"/>
      <c r="C84" s="166"/>
      <c r="D84" s="165"/>
      <c r="E84" s="165"/>
      <c r="F84" s="165"/>
      <c r="G84" s="165"/>
      <c r="H84" s="165"/>
      <c r="I84" s="165"/>
      <c r="J84" s="165"/>
      <c r="K84" s="165"/>
      <c r="L84" s="165"/>
      <c r="M84" s="162"/>
      <c r="N84" s="163">
        <f>J84-M84</f>
        <v>0</v>
      </c>
      <c r="O84" s="164"/>
      <c r="P84" s="163" t="e">
        <f>M84/E84-1</f>
        <v>#DIV/0!</v>
      </c>
      <c r="Q84" s="163" t="e">
        <f>M84/I84-1</f>
        <v>#DIV/0!</v>
      </c>
      <c r="R84" s="162"/>
      <c r="S84" s="162"/>
      <c r="T84" s="161"/>
    </row>
    <row r="85" spans="1:34" ht="19.5" hidden="1" customHeight="1" thickBot="1">
      <c r="A85" s="168"/>
      <c r="B85" s="167"/>
      <c r="C85" s="166"/>
      <c r="D85" s="165"/>
      <c r="E85" s="165"/>
      <c r="F85" s="165"/>
      <c r="G85" s="165"/>
      <c r="H85" s="165"/>
      <c r="I85" s="165"/>
      <c r="J85" s="165"/>
      <c r="K85" s="165"/>
      <c r="L85" s="165"/>
      <c r="M85" s="162"/>
      <c r="N85" s="163">
        <f>J85-M85</f>
        <v>0</v>
      </c>
      <c r="O85" s="164"/>
      <c r="P85" s="163" t="e">
        <f>M85/E85-1</f>
        <v>#DIV/0!</v>
      </c>
      <c r="Q85" s="163" t="e">
        <f>M85/I85-1</f>
        <v>#DIV/0!</v>
      </c>
      <c r="R85" s="162"/>
      <c r="S85" s="162"/>
      <c r="T85" s="161"/>
    </row>
    <row r="86" spans="1:34" ht="15.75" thickBot="1">
      <c r="A86" s="160" t="s">
        <v>50</v>
      </c>
      <c r="B86" s="159" t="s">
        <v>49</v>
      </c>
      <c r="C86" s="158" t="s">
        <v>0</v>
      </c>
      <c r="D86" s="155">
        <f>SUM(D88:D93)</f>
        <v>2670.59</v>
      </c>
      <c r="E86" s="155">
        <f>SUM(E88:E93)</f>
        <v>25470.076383931249</v>
      </c>
      <c r="F86" s="155">
        <f>SUM(F88:F93)</f>
        <v>25341.599999999999</v>
      </c>
      <c r="G86" s="155">
        <f>SUM(G88:G93)</f>
        <v>27461.082839288119</v>
      </c>
      <c r="H86" s="155">
        <f>SUM(H88:H93)</f>
        <v>13120.14315682702</v>
      </c>
      <c r="I86" s="155">
        <f>SUM(I88:I93)</f>
        <v>28911.944227638705</v>
      </c>
      <c r="J86" s="155">
        <f>SUM(J88:J93)</f>
        <v>33455.896513952823</v>
      </c>
      <c r="K86" s="155">
        <f>SUM(K88:K93)</f>
        <v>34976.728559918884</v>
      </c>
      <c r="L86" s="155">
        <f>SUM(L88:L93)</f>
        <v>37188.041167869203</v>
      </c>
      <c r="M86" s="155">
        <v>14381</v>
      </c>
      <c r="N86" s="155">
        <f>J86-M86</f>
        <v>19074.896513952823</v>
      </c>
      <c r="O86" s="157" t="s">
        <v>48</v>
      </c>
      <c r="P86" s="155">
        <f>M86/E86-1</f>
        <v>-0.43537664421482491</v>
      </c>
      <c r="Q86" s="156">
        <f>M86/I86-1</f>
        <v>-0.50259311906626059</v>
      </c>
      <c r="R86" s="155">
        <v>14381</v>
      </c>
      <c r="S86" s="155">
        <f>S88+S91</f>
        <v>8558.119999999999</v>
      </c>
      <c r="T86" s="154">
        <f>T88+T91</f>
        <v>5955</v>
      </c>
    </row>
    <row r="87" spans="1:34" ht="15.75" hidden="1" customHeight="1" thickBot="1">
      <c r="A87" s="153"/>
      <c r="B87" s="152"/>
      <c r="C87" s="151"/>
      <c r="D87" s="150">
        <f>D86*0.2</f>
        <v>534.11800000000005</v>
      </c>
      <c r="E87" s="150">
        <f>E86*0.2</f>
        <v>5094.0152767862501</v>
      </c>
      <c r="F87" s="150">
        <f>F86*0.2</f>
        <v>5068.32</v>
      </c>
      <c r="G87" s="150">
        <f>G86*0.2</f>
        <v>5492.2165678576239</v>
      </c>
      <c r="H87" s="150">
        <f>H86*0.2</f>
        <v>2624.0286313654042</v>
      </c>
      <c r="I87" s="150">
        <f>I86*0.2</f>
        <v>5782.3888455277411</v>
      </c>
      <c r="J87" s="150">
        <f>J86*0.2</f>
        <v>6691.1793027905651</v>
      </c>
      <c r="K87" s="150">
        <f>K86*0.2</f>
        <v>6995.3457119837767</v>
      </c>
      <c r="L87" s="150">
        <f>L86*0.2</f>
        <v>7437.6082335738411</v>
      </c>
      <c r="M87" s="148"/>
      <c r="N87" s="148">
        <f>J87-M87</f>
        <v>6691.1793027905651</v>
      </c>
      <c r="O87" s="149"/>
      <c r="P87" s="148">
        <f>M87/E87-1</f>
        <v>-1</v>
      </c>
      <c r="Q87" s="148">
        <f>M87/I87-1</f>
        <v>-1</v>
      </c>
      <c r="R87" s="148"/>
      <c r="S87" s="148"/>
      <c r="T87" s="147"/>
    </row>
    <row r="88" spans="1:34" ht="15.75" thickBot="1">
      <c r="A88" s="146" t="s">
        <v>47</v>
      </c>
      <c r="B88" s="145" t="s">
        <v>46</v>
      </c>
      <c r="C88" s="144" t="s">
        <v>0</v>
      </c>
      <c r="D88" s="143"/>
      <c r="E88" s="143">
        <v>4631.7</v>
      </c>
      <c r="F88" s="143">
        <v>4223.6000000000004</v>
      </c>
      <c r="G88" s="143">
        <v>4425.0439547719852</v>
      </c>
      <c r="H88" s="143">
        <v>2183.8405399594867</v>
      </c>
      <c r="I88" s="143">
        <v>4836.431438106817</v>
      </c>
      <c r="J88" s="143">
        <v>5561.5981489082042</v>
      </c>
      <c r="K88" s="143">
        <v>5842.0991487644578</v>
      </c>
      <c r="L88" s="143">
        <v>6212.4383271659808</v>
      </c>
      <c r="M88" s="141">
        <f>M86*0.2</f>
        <v>2876.2000000000003</v>
      </c>
      <c r="N88" s="141">
        <f>J88-M88</f>
        <v>2685.3981489082039</v>
      </c>
      <c r="O88" s="142"/>
      <c r="P88" s="141">
        <f>M88/E88-1</f>
        <v>-0.37901850292549166</v>
      </c>
      <c r="Q88" s="141">
        <f>M88/I88-1</f>
        <v>-0.4053053295994069</v>
      </c>
      <c r="R88" s="141">
        <f>R86*0.2</f>
        <v>2876.2000000000003</v>
      </c>
      <c r="S88" s="141">
        <f>'[1]расшифровки ВС_2016'!Q446</f>
        <v>6042.5</v>
      </c>
      <c r="T88" s="140">
        <f>'[1]расшифровки ВС_2016'!R446</f>
        <v>3200</v>
      </c>
    </row>
    <row r="89" spans="1:34" ht="26.25" hidden="1" thickBot="1">
      <c r="A89" s="139" t="s">
        <v>45</v>
      </c>
      <c r="B89" s="138" t="s">
        <v>44</v>
      </c>
      <c r="C89" s="137" t="s">
        <v>0</v>
      </c>
      <c r="D89" s="136">
        <f>'[2]расшифровка кредитов'!B73</f>
        <v>0.59</v>
      </c>
      <c r="E89" s="136">
        <v>0</v>
      </c>
      <c r="F89" s="136"/>
      <c r="G89" s="136"/>
      <c r="H89" s="136"/>
      <c r="I89" s="136"/>
      <c r="J89" s="136"/>
      <c r="K89" s="136"/>
      <c r="L89" s="136"/>
      <c r="M89" s="134"/>
      <c r="N89" s="134" t="s">
        <v>43</v>
      </c>
      <c r="O89" s="135"/>
      <c r="P89" s="134"/>
      <c r="Q89" s="134"/>
      <c r="R89" s="134"/>
      <c r="S89" s="134"/>
      <c r="T89" s="134"/>
    </row>
    <row r="90" spans="1:34" ht="16.5" thickTop="1" thickBot="1">
      <c r="A90" s="133" t="s">
        <v>42</v>
      </c>
      <c r="B90" s="132" t="s">
        <v>41</v>
      </c>
      <c r="C90" s="131" t="s">
        <v>0</v>
      </c>
      <c r="D90" s="109">
        <f>[2]Кап.вложения!E24</f>
        <v>0</v>
      </c>
      <c r="E90" s="109">
        <f>[2]Кап.вложения!F24</f>
        <v>0</v>
      </c>
      <c r="F90" s="109"/>
      <c r="G90" s="109">
        <f>[2]Кап.вложения!H24</f>
        <v>0</v>
      </c>
      <c r="H90" s="109" t="s">
        <v>40</v>
      </c>
      <c r="I90" s="109"/>
      <c r="J90" s="109">
        <v>0</v>
      </c>
      <c r="K90" s="109">
        <v>0</v>
      </c>
      <c r="L90" s="109">
        <f>[2]Кап.вложения!K24</f>
        <v>0</v>
      </c>
      <c r="M90" s="107">
        <v>0</v>
      </c>
      <c r="N90" s="107"/>
      <c r="O90" s="106"/>
      <c r="P90" s="107"/>
      <c r="Q90" s="107"/>
      <c r="R90" s="107">
        <v>0</v>
      </c>
      <c r="S90" s="107">
        <v>0</v>
      </c>
      <c r="T90" s="107">
        <v>0</v>
      </c>
    </row>
    <row r="91" spans="1:34" ht="48" customHeight="1" thickTop="1" thickBot="1">
      <c r="A91" s="130" t="s">
        <v>39</v>
      </c>
      <c r="B91" s="129" t="s">
        <v>38</v>
      </c>
      <c r="C91" s="110" t="s">
        <v>0</v>
      </c>
      <c r="D91" s="109">
        <v>2670</v>
      </c>
      <c r="E91" s="109">
        <f>3985.1*0.59</f>
        <v>2351.2089999999998</v>
      </c>
      <c r="F91" s="109">
        <v>2518</v>
      </c>
      <c r="G91" s="109">
        <f>E91</f>
        <v>2351.2089999999998</v>
      </c>
      <c r="H91" s="109">
        <v>1275</v>
      </c>
      <c r="I91" s="109">
        <f>H91*2</f>
        <v>2550</v>
      </c>
      <c r="J91" s="109">
        <f>G91*1.045</f>
        <v>2457.0134049999997</v>
      </c>
      <c r="K91" s="109">
        <f>J91*1.043</f>
        <v>2562.6649814149996</v>
      </c>
      <c r="L91" s="108">
        <f>K91*1.043</f>
        <v>2672.8595756158443</v>
      </c>
      <c r="M91" s="107">
        <v>2460</v>
      </c>
      <c r="N91" s="107"/>
      <c r="O91" s="106"/>
      <c r="P91" s="107">
        <f>M91/E91-1</f>
        <v>4.6270237992454222E-2</v>
      </c>
      <c r="Q91" s="107">
        <f>M91/I91-1</f>
        <v>-3.5294117647058809E-2</v>
      </c>
      <c r="R91" s="107">
        <f>'[1]Расчёт ВС методом индексации'!P20</f>
        <v>2565</v>
      </c>
      <c r="S91" s="107">
        <f>4315.62-1800</f>
        <v>2515.62</v>
      </c>
      <c r="T91" s="107">
        <f>4555-1800</f>
        <v>2755</v>
      </c>
      <c r="AC91" s="16"/>
      <c r="AD91" s="16"/>
      <c r="AE91" s="16"/>
      <c r="AF91" s="16"/>
      <c r="AG91" s="16"/>
      <c r="AH91" s="16"/>
    </row>
    <row r="92" spans="1:34" ht="51" hidden="1" customHeight="1" thickTop="1" thickBot="1">
      <c r="A92" s="112" t="s">
        <v>36</v>
      </c>
      <c r="B92" s="111" t="s">
        <v>37</v>
      </c>
      <c r="C92" s="110" t="s">
        <v>0</v>
      </c>
      <c r="D92" s="109"/>
      <c r="E92" s="109"/>
      <c r="F92" s="109"/>
      <c r="G92" s="109"/>
      <c r="H92" s="109"/>
      <c r="I92" s="109"/>
      <c r="J92" s="109"/>
      <c r="K92" s="109"/>
      <c r="L92" s="108"/>
      <c r="M92" s="107"/>
      <c r="N92" s="107"/>
      <c r="O92" s="106"/>
      <c r="P92" s="107"/>
      <c r="Q92" s="107"/>
      <c r="R92" s="107"/>
      <c r="S92" s="107"/>
      <c r="T92" s="107"/>
      <c r="AC92" s="16"/>
      <c r="AD92" s="16"/>
      <c r="AE92" s="16"/>
      <c r="AF92" s="16"/>
      <c r="AG92" s="16"/>
      <c r="AH92" s="16"/>
    </row>
    <row r="93" spans="1:34" ht="37.5" customHeight="1" thickTop="1" thickBot="1">
      <c r="A93" s="104" t="s">
        <v>36</v>
      </c>
      <c r="B93" s="103" t="s">
        <v>35</v>
      </c>
      <c r="C93" s="84" t="s">
        <v>0</v>
      </c>
      <c r="D93" s="83"/>
      <c r="E93" s="83">
        <f>E83*3/100</f>
        <v>18487.16738393125</v>
      </c>
      <c r="F93" s="83">
        <v>18600</v>
      </c>
      <c r="G93" s="83">
        <f>G83*3/100</f>
        <v>20684.829884516133</v>
      </c>
      <c r="H93" s="83">
        <f>H83*3/100</f>
        <v>9661.3026168675333</v>
      </c>
      <c r="I93" s="83">
        <f>I83*3/100</f>
        <v>21525.512789531887</v>
      </c>
      <c r="J93" s="83">
        <f>J83*3/100</f>
        <v>25437.284960044621</v>
      </c>
      <c r="K93" s="83">
        <f>K83*3/100</f>
        <v>26571.964429739426</v>
      </c>
      <c r="L93" s="83">
        <f>L83*3/100</f>
        <v>28302.743265087382</v>
      </c>
      <c r="M93" s="100">
        <f>M86-M91</f>
        <v>11921</v>
      </c>
      <c r="N93" s="100"/>
      <c r="O93" s="99"/>
      <c r="P93" s="100">
        <f>M93/E93-1</f>
        <v>-0.35517433512493957</v>
      </c>
      <c r="Q93" s="100">
        <f>M93/I93-1</f>
        <v>-0.44619205514131477</v>
      </c>
      <c r="R93" s="100">
        <f>'[1]Расчёт ВС методом индексации'!P17</f>
        <v>4751</v>
      </c>
      <c r="S93" s="107">
        <v>0</v>
      </c>
      <c r="T93" s="107">
        <v>0</v>
      </c>
      <c r="AC93" s="16"/>
      <c r="AD93" s="16"/>
      <c r="AE93" s="16"/>
      <c r="AF93" s="16"/>
      <c r="AG93" s="16"/>
      <c r="AH93" s="16"/>
    </row>
    <row r="94" spans="1:34" ht="31.5" customHeight="1" thickTop="1" thickBot="1">
      <c r="A94" s="56"/>
      <c r="B94" s="54" t="s">
        <v>14</v>
      </c>
      <c r="C94" s="54" t="s">
        <v>0</v>
      </c>
      <c r="D94" s="53">
        <f>D83+D86</f>
        <v>607761.66349926405</v>
      </c>
      <c r="E94" s="53">
        <f>E83+E86</f>
        <v>641708.98918163951</v>
      </c>
      <c r="F94" s="53">
        <f>F83+F86</f>
        <v>648761.7790212098</v>
      </c>
      <c r="G94" s="53">
        <f>G83+G86</f>
        <v>716955.41232315928</v>
      </c>
      <c r="H94" s="53">
        <f>H83+H86</f>
        <v>335163.56371907808</v>
      </c>
      <c r="I94" s="53">
        <f>I83+I86</f>
        <v>746429.0372120348</v>
      </c>
      <c r="J94" s="53">
        <f>J83+J86</f>
        <v>881365.39518210688</v>
      </c>
      <c r="K94" s="53">
        <f>K83+K86</f>
        <v>920708.87621789973</v>
      </c>
      <c r="L94" s="53">
        <f>L83+L86</f>
        <v>980612.81667078193</v>
      </c>
      <c r="M94" s="53">
        <f>M83+M86+M88</f>
        <v>709504.37927915063</v>
      </c>
      <c r="N94" s="53">
        <f>N83+N86+N88</f>
        <v>177422.61405186434</v>
      </c>
      <c r="O94" s="128" t="s">
        <v>34</v>
      </c>
      <c r="P94" s="53">
        <f>M94/E94-1</f>
        <v>0.10564818514381336</v>
      </c>
      <c r="Q94" s="52">
        <f>M94/I94-1</f>
        <v>-4.946841038071137E-2</v>
      </c>
      <c r="R94" s="53">
        <f>R83+R86+R88-535.52</f>
        <v>809226.39240059874</v>
      </c>
      <c r="S94" s="53">
        <f>S83+S86+S88</f>
        <v>801566.55100210174</v>
      </c>
      <c r="T94" s="127">
        <f>T83+T86+T88</f>
        <v>915815.9863941439</v>
      </c>
      <c r="W94" s="3"/>
      <c r="X94" s="3"/>
      <c r="AC94" s="16"/>
      <c r="AD94" s="16"/>
      <c r="AE94" s="16"/>
      <c r="AF94" s="16"/>
      <c r="AG94" s="16"/>
      <c r="AH94" s="16"/>
    </row>
    <row r="95" spans="1:34" ht="26.25" hidden="1" thickBot="1">
      <c r="A95" s="126" t="s">
        <v>33</v>
      </c>
      <c r="B95" s="125" t="s">
        <v>32</v>
      </c>
      <c r="C95" s="124" t="s">
        <v>0</v>
      </c>
      <c r="D95" s="123">
        <f>SUM(D96:D98)</f>
        <v>0</v>
      </c>
      <c r="E95" s="123">
        <f>SUM(E96:E98)</f>
        <v>0</v>
      </c>
      <c r="F95" s="123">
        <v>6544.98</v>
      </c>
      <c r="G95" s="123">
        <f>SUM(G96:G98)</f>
        <v>0</v>
      </c>
      <c r="H95" s="123">
        <f>SUM(H96:H98)</f>
        <v>0</v>
      </c>
      <c r="I95" s="123">
        <f>SUM(I96:I98)</f>
        <v>0</v>
      </c>
      <c r="J95" s="123">
        <f>'[2]расшифровки ВС_2016'!J460</f>
        <v>6758.2120000000004</v>
      </c>
      <c r="K95" s="123">
        <f>SUM(K96:K98)</f>
        <v>0</v>
      </c>
      <c r="L95" s="123">
        <f>SUM(L96:L98)</f>
        <v>0</v>
      </c>
      <c r="M95" s="121"/>
      <c r="N95" s="121">
        <f>SUM(N96:N98)</f>
        <v>0</v>
      </c>
      <c r="O95" s="122">
        <f>SUM(O96:O98)</f>
        <v>0</v>
      </c>
      <c r="P95" s="121"/>
      <c r="Q95" s="121"/>
      <c r="R95" s="121"/>
      <c r="S95" s="16"/>
      <c r="T95" s="120"/>
      <c r="AC95" s="16"/>
      <c r="AD95" s="16"/>
      <c r="AE95" s="16"/>
      <c r="AF95" s="16"/>
      <c r="AG95" s="16"/>
      <c r="AH95" s="16"/>
    </row>
    <row r="96" spans="1:34" ht="54" hidden="1" customHeight="1" thickBot="1">
      <c r="A96" s="119" t="s">
        <v>31</v>
      </c>
      <c r="B96" s="118" t="s">
        <v>30</v>
      </c>
      <c r="C96" s="117" t="s">
        <v>0</v>
      </c>
      <c r="D96" s="116"/>
      <c r="E96" s="116"/>
      <c r="F96" s="116">
        <v>6544.98</v>
      </c>
      <c r="G96" s="116"/>
      <c r="H96" s="116"/>
      <c r="I96" s="116"/>
      <c r="J96" s="116"/>
      <c r="K96" s="116"/>
      <c r="L96" s="115"/>
      <c r="M96" s="114"/>
      <c r="N96" s="114"/>
      <c r="O96" s="113"/>
      <c r="P96" s="114"/>
      <c r="Q96" s="114"/>
      <c r="R96" s="113"/>
      <c r="S96" s="77"/>
      <c r="T96" s="105"/>
      <c r="AC96" s="16"/>
      <c r="AD96" s="16"/>
      <c r="AE96" s="16"/>
      <c r="AF96" s="16"/>
      <c r="AG96" s="16"/>
      <c r="AH96" s="16"/>
    </row>
    <row r="97" spans="1:34" ht="27" hidden="1" thickTop="1" thickBot="1">
      <c r="A97" s="112" t="s">
        <v>29</v>
      </c>
      <c r="B97" s="111" t="s">
        <v>28</v>
      </c>
      <c r="C97" s="110" t="s">
        <v>0</v>
      </c>
      <c r="D97" s="109"/>
      <c r="E97" s="109"/>
      <c r="F97" s="109"/>
      <c r="G97" s="109"/>
      <c r="H97" s="109"/>
      <c r="I97" s="109"/>
      <c r="J97" s="109"/>
      <c r="K97" s="109"/>
      <c r="L97" s="108"/>
      <c r="M97" s="107"/>
      <c r="N97" s="107"/>
      <c r="O97" s="106"/>
      <c r="P97" s="107"/>
      <c r="Q97" s="107"/>
      <c r="R97" s="106"/>
      <c r="S97" s="77"/>
      <c r="T97" s="105"/>
      <c r="AC97" s="16"/>
      <c r="AD97" s="16"/>
      <c r="AE97" s="16"/>
      <c r="AF97" s="16"/>
      <c r="AG97" s="16"/>
      <c r="AH97" s="16"/>
    </row>
    <row r="98" spans="1:34" ht="51.75" hidden="1" thickTop="1">
      <c r="A98" s="104" t="s">
        <v>27</v>
      </c>
      <c r="B98" s="103" t="s">
        <v>26</v>
      </c>
      <c r="C98" s="84" t="s">
        <v>0</v>
      </c>
      <c r="D98" s="83"/>
      <c r="E98" s="83"/>
      <c r="F98" s="83"/>
      <c r="G98" s="83"/>
      <c r="H98" s="83"/>
      <c r="I98" s="83"/>
      <c r="J98" s="102"/>
      <c r="K98" s="102"/>
      <c r="L98" s="101"/>
      <c r="M98" s="100"/>
      <c r="N98" s="100"/>
      <c r="O98" s="99"/>
      <c r="P98" s="100"/>
      <c r="Q98" s="100"/>
      <c r="R98" s="99"/>
      <c r="S98" s="98"/>
      <c r="T98" s="97"/>
      <c r="AC98" s="16"/>
      <c r="AD98" s="16"/>
      <c r="AE98" s="16"/>
      <c r="AF98" s="16"/>
      <c r="AG98" s="16"/>
      <c r="AH98" s="16"/>
    </row>
    <row r="99" spans="1:34" ht="30">
      <c r="A99" s="96"/>
      <c r="B99" s="95" t="s">
        <v>25</v>
      </c>
      <c r="C99" s="94"/>
      <c r="D99" s="67"/>
      <c r="E99" s="67"/>
      <c r="F99" s="67"/>
      <c r="G99" s="67"/>
      <c r="H99" s="67"/>
      <c r="I99" s="67"/>
      <c r="J99" s="67"/>
      <c r="K99" s="67"/>
      <c r="L99" s="67"/>
      <c r="M99" s="66"/>
      <c r="N99" s="66"/>
      <c r="O99" s="66"/>
      <c r="P99" s="66"/>
      <c r="Q99" s="66"/>
      <c r="R99" s="66">
        <f>'[1]Расчёт ВС методом индексации'!P30</f>
        <v>37524.639999999999</v>
      </c>
      <c r="S99" s="66">
        <f>'[1]Расчёт ВС методом индексации'!Q30</f>
        <v>0</v>
      </c>
      <c r="T99" s="64">
        <f>'[1]Расчёт ВС методом индексации'!R30</f>
        <v>0</v>
      </c>
      <c r="AC99" s="16"/>
      <c r="AD99" s="16"/>
      <c r="AE99" s="16"/>
      <c r="AF99" s="16"/>
      <c r="AG99" s="16"/>
      <c r="AH99" s="16"/>
    </row>
    <row r="100" spans="1:34" ht="26.25" thickBot="1">
      <c r="A100" s="93" t="s">
        <v>19</v>
      </c>
      <c r="B100" s="92" t="s">
        <v>24</v>
      </c>
      <c r="C100" s="91" t="s">
        <v>0</v>
      </c>
      <c r="D100" s="90"/>
      <c r="E100" s="90"/>
      <c r="F100" s="90">
        <f>F101+F102</f>
        <v>-26538.489999999998</v>
      </c>
      <c r="G100" s="90"/>
      <c r="H100" s="90"/>
      <c r="I100" s="90"/>
      <c r="J100" s="90"/>
      <c r="K100" s="90"/>
      <c r="L100" s="90"/>
      <c r="M100" s="89">
        <f>M102+M106</f>
        <v>45021.919999999998</v>
      </c>
      <c r="N100" s="89"/>
      <c r="O100" s="88"/>
      <c r="P100" s="89"/>
      <c r="Q100" s="89"/>
      <c r="R100" s="88"/>
      <c r="S100" s="88"/>
      <c r="T100" s="87"/>
      <c r="AC100" s="16"/>
      <c r="AD100" s="16"/>
      <c r="AE100" s="16"/>
      <c r="AF100" s="16"/>
      <c r="AG100" s="16"/>
      <c r="AH100" s="16"/>
    </row>
    <row r="101" spans="1:34" ht="50.25" hidden="1" customHeight="1">
      <c r="A101" s="86" t="s">
        <v>23</v>
      </c>
      <c r="B101" s="85" t="s">
        <v>22</v>
      </c>
      <c r="C101" s="84" t="s">
        <v>0</v>
      </c>
      <c r="D101" s="83"/>
      <c r="E101" s="83"/>
      <c r="F101" s="83">
        <v>-5465.62</v>
      </c>
      <c r="G101" s="83"/>
      <c r="H101" s="83"/>
      <c r="I101" s="83"/>
      <c r="J101" s="83"/>
      <c r="K101" s="83"/>
      <c r="L101" s="82"/>
      <c r="M101" s="80">
        <v>0</v>
      </c>
      <c r="N101" s="80"/>
      <c r="O101" s="81"/>
      <c r="P101" s="80"/>
      <c r="Q101" s="80"/>
      <c r="R101" s="80"/>
      <c r="S101" s="80"/>
      <c r="T101" s="79"/>
      <c r="AC101" s="16"/>
      <c r="AD101" s="16"/>
      <c r="AE101" s="16"/>
      <c r="AF101" s="16"/>
      <c r="AG101" s="16"/>
      <c r="AH101" s="16"/>
    </row>
    <row r="102" spans="1:34" s="77" customFormat="1" ht="33.75">
      <c r="A102" s="63" t="s">
        <v>21</v>
      </c>
      <c r="B102" s="78" t="s">
        <v>20</v>
      </c>
      <c r="C102" s="61" t="s">
        <v>0</v>
      </c>
      <c r="D102" s="60"/>
      <c r="E102" s="60"/>
      <c r="F102" s="60">
        <v>-21072.87</v>
      </c>
      <c r="G102" s="60"/>
      <c r="H102" s="60"/>
      <c r="I102" s="60"/>
      <c r="J102" s="60"/>
      <c r="K102" s="60"/>
      <c r="L102" s="60"/>
      <c r="M102" s="59">
        <v>43954.63</v>
      </c>
      <c r="N102" s="59"/>
      <c r="O102" s="58"/>
      <c r="P102" s="59"/>
      <c r="Q102" s="59"/>
      <c r="R102" s="58"/>
      <c r="S102" s="58"/>
      <c r="T102" s="57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</row>
    <row r="103" spans="1:34" s="16" customFormat="1" ht="25.5" hidden="1">
      <c r="A103" s="76" t="s">
        <v>19</v>
      </c>
      <c r="B103" s="75" t="s">
        <v>18</v>
      </c>
      <c r="C103" s="74" t="s">
        <v>0</v>
      </c>
      <c r="D103" s="73"/>
      <c r="E103" s="73"/>
      <c r="F103" s="73">
        <f>F104+F105+F106</f>
        <v>-11655.22</v>
      </c>
      <c r="G103" s="73"/>
      <c r="H103" s="73"/>
      <c r="I103" s="73"/>
      <c r="J103" s="73"/>
      <c r="K103" s="73"/>
      <c r="L103" s="73"/>
      <c r="M103" s="72"/>
      <c r="N103" s="72"/>
      <c r="O103" s="71"/>
      <c r="P103" s="72"/>
      <c r="Q103" s="72"/>
      <c r="R103" s="71"/>
      <c r="S103" s="71"/>
      <c r="T103" s="70"/>
    </row>
    <row r="104" spans="1:34" s="16" customFormat="1" hidden="1">
      <c r="A104" s="69"/>
      <c r="B104" s="68" t="s">
        <v>17</v>
      </c>
      <c r="C104" s="61" t="s">
        <v>0</v>
      </c>
      <c r="D104" s="67"/>
      <c r="E104" s="67"/>
      <c r="F104" s="67">
        <v>-9128.6299999999992</v>
      </c>
      <c r="G104" s="67"/>
      <c r="H104" s="67"/>
      <c r="I104" s="67"/>
      <c r="J104" s="67"/>
      <c r="K104" s="67"/>
      <c r="L104" s="67"/>
      <c r="M104" s="66"/>
      <c r="N104" s="66"/>
      <c r="O104" s="65"/>
      <c r="P104" s="66"/>
      <c r="Q104" s="66"/>
      <c r="R104" s="65"/>
      <c r="S104" s="65"/>
      <c r="T104" s="64"/>
    </row>
    <row r="105" spans="1:34" s="16" customFormat="1" ht="38.25" hidden="1">
      <c r="A105" s="69"/>
      <c r="B105" s="68" t="s">
        <v>16</v>
      </c>
      <c r="C105" s="61" t="s">
        <v>0</v>
      </c>
      <c r="D105" s="67"/>
      <c r="E105" s="67"/>
      <c r="F105" s="67">
        <v>-1489.77</v>
      </c>
      <c r="G105" s="67"/>
      <c r="H105" s="67"/>
      <c r="I105" s="67"/>
      <c r="J105" s="67"/>
      <c r="K105" s="67"/>
      <c r="L105" s="67"/>
      <c r="M105" s="66"/>
      <c r="N105" s="66"/>
      <c r="O105" s="65"/>
      <c r="P105" s="66"/>
      <c r="Q105" s="66"/>
      <c r="R105" s="65"/>
      <c r="S105" s="65"/>
      <c r="T105" s="64"/>
    </row>
    <row r="106" spans="1:34" s="16" customFormat="1" ht="21" customHeight="1" thickBot="1">
      <c r="A106" s="63"/>
      <c r="B106" s="62" t="s">
        <v>15</v>
      </c>
      <c r="C106" s="61" t="s">
        <v>0</v>
      </c>
      <c r="D106" s="60"/>
      <c r="E106" s="60"/>
      <c r="F106" s="60">
        <v>-1036.82</v>
      </c>
      <c r="G106" s="60"/>
      <c r="H106" s="60"/>
      <c r="I106" s="60"/>
      <c r="J106" s="60"/>
      <c r="K106" s="60"/>
      <c r="L106" s="60"/>
      <c r="M106" s="59">
        <v>1067.29</v>
      </c>
      <c r="N106" s="59"/>
      <c r="O106" s="58"/>
      <c r="P106" s="59"/>
      <c r="Q106" s="59"/>
      <c r="R106" s="58"/>
      <c r="S106" s="58"/>
      <c r="T106" s="57"/>
    </row>
    <row r="107" spans="1:34" ht="15.75" customHeight="1" thickBot="1">
      <c r="A107" s="56"/>
      <c r="B107" s="55" t="s">
        <v>14</v>
      </c>
      <c r="C107" s="54" t="s">
        <v>0</v>
      </c>
      <c r="D107" s="53">
        <f>D94+D95+D100+D103</f>
        <v>607761.66349926405</v>
      </c>
      <c r="E107" s="53">
        <f>E94+E95+E100+E103</f>
        <v>641708.98918163951</v>
      </c>
      <c r="F107" s="53">
        <f>F94+F95+F100+F103</f>
        <v>617113.04902120982</v>
      </c>
      <c r="G107" s="53">
        <f>G94+G95+G100+G103</f>
        <v>716955.41232315928</v>
      </c>
      <c r="H107" s="53">
        <f>H94+H95+H100+H103</f>
        <v>335163.56371907808</v>
      </c>
      <c r="I107" s="53">
        <f>I94+I95+I100+I103</f>
        <v>746429.0372120348</v>
      </c>
      <c r="J107" s="53">
        <f>J94+J95+J100+J103</f>
        <v>888123.60718210693</v>
      </c>
      <c r="K107" s="53">
        <f>K83+K86+K95</f>
        <v>920708.87621789973</v>
      </c>
      <c r="L107" s="53">
        <f>L83+L86+L95</f>
        <v>980612.81667078193</v>
      </c>
      <c r="M107" s="52">
        <f>M94-M100-0.01-11.18-2281.87</f>
        <v>662189.39927915053</v>
      </c>
      <c r="N107" s="52">
        <f>N94-N100-0.01-11.18-2281.87</f>
        <v>175129.55405186434</v>
      </c>
      <c r="O107" s="52" t="e">
        <f>O94-O100-0.01-11.18-2281.87</f>
        <v>#VALUE!</v>
      </c>
      <c r="P107" s="52">
        <f>P94-P100-0.01-11.18-2281.87</f>
        <v>-2292.9543518148562</v>
      </c>
      <c r="Q107" s="52">
        <f>Q94-Q100-0.01-11.18-2281.87</f>
        <v>-2293.1094684103805</v>
      </c>
      <c r="R107" s="52">
        <f>R94+R99</f>
        <v>846751.03240059875</v>
      </c>
      <c r="S107" s="52">
        <f>S94+S99</f>
        <v>801566.55100210174</v>
      </c>
      <c r="T107" s="51">
        <f>T94+T99</f>
        <v>915815.9863941439</v>
      </c>
      <c r="U107" s="50" t="s">
        <v>13</v>
      </c>
      <c r="W107" s="3"/>
    </row>
    <row r="108" spans="1:34" ht="15.75" thickBot="1">
      <c r="A108" s="49"/>
      <c r="B108" s="48" t="s">
        <v>12</v>
      </c>
      <c r="C108" s="47" t="s">
        <v>11</v>
      </c>
      <c r="D108" s="44">
        <v>42669.17</v>
      </c>
      <c r="E108" s="46">
        <v>35819.502</v>
      </c>
      <c r="F108" s="45">
        <v>40569.167999999998</v>
      </c>
      <c r="G108" s="44">
        <v>34884.449999999997</v>
      </c>
      <c r="H108" s="44">
        <f>G108/2</f>
        <v>17442.224999999999</v>
      </c>
      <c r="I108" s="44">
        <v>34885.449999999997</v>
      </c>
      <c r="J108" s="44">
        <v>35490.811999999998</v>
      </c>
      <c r="K108" s="44">
        <v>35181.629999999997</v>
      </c>
      <c r="L108" s="44">
        <v>35788.097999999998</v>
      </c>
      <c r="M108" s="41">
        <f>'[2]Баланс ВС_2016 (2)'!O48</f>
        <v>40762.129321767512</v>
      </c>
      <c r="N108" s="43">
        <f>J108-M108</f>
        <v>-5271.3173217675139</v>
      </c>
      <c r="O108" s="42"/>
      <c r="P108" s="42" t="s">
        <v>10</v>
      </c>
      <c r="Q108" s="42"/>
      <c r="R108" s="41">
        <v>41265.158755732766</v>
      </c>
      <c r="S108" s="41">
        <v>35374.69</v>
      </c>
      <c r="T108" s="40">
        <v>36688.682999999997</v>
      </c>
      <c r="U108" s="31">
        <f>R108</f>
        <v>41265.158755732766</v>
      </c>
    </row>
    <row r="109" spans="1:34" ht="15.75" thickBot="1">
      <c r="A109" s="39"/>
      <c r="B109" s="38" t="s">
        <v>9</v>
      </c>
      <c r="C109" s="38" t="s">
        <v>8</v>
      </c>
      <c r="D109" s="37">
        <f>D107/(D108)</f>
        <v>14.24357829081897</v>
      </c>
      <c r="E109" s="37">
        <f>E107/(E108)</f>
        <v>17.915072889110505</v>
      </c>
      <c r="F109" s="37">
        <f>F107/(F108)</f>
        <v>15.211380450819446</v>
      </c>
      <c r="G109" s="37">
        <f>G107/(G108)</f>
        <v>20.552292277021976</v>
      </c>
      <c r="H109" s="37">
        <f>H107/(H108)</f>
        <v>19.21564271296111</v>
      </c>
      <c r="I109" s="37">
        <f>I107/(I108)</f>
        <v>21.396571843333966</v>
      </c>
      <c r="J109" s="37">
        <f>J107/(J108)</f>
        <v>25.024043044777532</v>
      </c>
      <c r="K109" s="37">
        <f>K107/(K108)</f>
        <v>26.170159717383754</v>
      </c>
      <c r="L109" s="37">
        <f>L107/(L108)</f>
        <v>27.400528987899328</v>
      </c>
      <c r="M109" s="36">
        <f>M107/M108</f>
        <v>16.245211187373684</v>
      </c>
      <c r="N109" s="36"/>
      <c r="O109" s="35" t="s">
        <v>7</v>
      </c>
      <c r="P109" s="34" t="e">
        <f>#REF!/#REF!</f>
        <v>#REF!</v>
      </c>
      <c r="Q109" s="34" t="e">
        <f>#REF!/I109</f>
        <v>#REF!</v>
      </c>
      <c r="R109" s="33">
        <f>R107/R108</f>
        <v>20.519757052502889</v>
      </c>
      <c r="S109" s="33">
        <f>S107/S108</f>
        <v>22.659323686005493</v>
      </c>
      <c r="T109" s="32">
        <f>T107/T108</f>
        <v>24.961811422725201</v>
      </c>
      <c r="U109" s="31">
        <f>T107/U108</f>
        <v>22.193443912703088</v>
      </c>
    </row>
    <row r="110" spans="1:34" ht="15.75" thickBot="1">
      <c r="A110" s="30"/>
      <c r="B110" s="29" t="s">
        <v>6</v>
      </c>
      <c r="C110" s="28" t="s">
        <v>5</v>
      </c>
      <c r="D110" s="27"/>
      <c r="E110" s="27"/>
      <c r="F110" s="27"/>
      <c r="G110" s="27">
        <f>(G109/F109-1)*100</f>
        <v>35.111289494536393</v>
      </c>
      <c r="H110" s="27">
        <f>(H109/G109-1)*100</f>
        <v>-6.5036519821941141</v>
      </c>
      <c r="I110" s="27">
        <f>(I109/H109-1)*100</f>
        <v>11.349758959151558</v>
      </c>
      <c r="J110" s="27">
        <f>(J109/I109-1)*100</f>
        <v>16.95351586227909</v>
      </c>
      <c r="K110" s="27">
        <f>(K109/J109-1)*100</f>
        <v>4.580061945047742</v>
      </c>
      <c r="L110" s="27">
        <f>(L109/K109-1)*100</f>
        <v>4.7014205637357698</v>
      </c>
      <c r="M110" s="26"/>
      <c r="N110" s="26"/>
      <c r="O110" s="24" t="s">
        <v>4</v>
      </c>
      <c r="P110" s="25" t="e">
        <f>#REF!/#REF!</f>
        <v>#REF!</v>
      </c>
      <c r="Q110" s="24" t="s">
        <v>3</v>
      </c>
      <c r="R110" s="22">
        <f>R109/M109</f>
        <v>1.2631265186907219</v>
      </c>
      <c r="S110" s="23"/>
      <c r="T110" s="22">
        <f>T109/R109</f>
        <v>1.2164769475026749</v>
      </c>
      <c r="U110" s="21">
        <f>U109/R109</f>
        <v>1.0815646528327709</v>
      </c>
    </row>
    <row r="111" spans="1:34">
      <c r="A111" s="16"/>
      <c r="B111" s="15"/>
      <c r="C111" s="14"/>
      <c r="D111" s="11"/>
      <c r="E111" s="11"/>
      <c r="F111" s="20" t="s">
        <v>2</v>
      </c>
      <c r="G111" s="19">
        <f>(G109/F109-1)*100</f>
        <v>35.111289494536393</v>
      </c>
      <c r="H111" s="19">
        <f>(H109/F109-1)*100</f>
        <v>26.324121437156943</v>
      </c>
      <c r="I111" s="19">
        <f>(I109/F109-1)*100</f>
        <v>40.661604727540166</v>
      </c>
      <c r="J111" s="19">
        <f>(J109/F109-1)*100</f>
        <v>64.508692197160002</v>
      </c>
      <c r="K111" s="19">
        <f>(K109/F109-1)*100</f>
        <v>72.043292204777856</v>
      </c>
      <c r="L111" s="19">
        <f>(L109/F109-1)*100</f>
        <v>80.131770923021278</v>
      </c>
      <c r="M111" s="11"/>
    </row>
    <row r="112" spans="1:34" hidden="1">
      <c r="A112" s="16"/>
      <c r="B112" s="15"/>
      <c r="C112" s="14"/>
      <c r="D112" s="18"/>
      <c r="E112" s="11"/>
      <c r="F112" s="17"/>
      <c r="G112" s="17"/>
      <c r="H112" s="17"/>
      <c r="I112" s="17"/>
      <c r="J112" s="17"/>
      <c r="K112" s="17"/>
      <c r="L112" s="17"/>
      <c r="M112" s="11"/>
    </row>
    <row r="113" spans="1:28" hidden="1">
      <c r="A113" s="16"/>
      <c r="B113" s="15"/>
      <c r="C113" s="14"/>
      <c r="D113" s="13">
        <f>D83/D108</f>
        <v>14.180990009865768</v>
      </c>
      <c r="E113" s="13">
        <f>E83/E108</f>
        <v>17.204005594430328</v>
      </c>
      <c r="F113" s="12">
        <f>F83/F108</f>
        <v>15.366846542704792</v>
      </c>
      <c r="G113" s="12">
        <f>G83/G108</f>
        <v>19.765091021468624</v>
      </c>
      <c r="H113" s="12"/>
      <c r="I113" s="12"/>
      <c r="J113" s="12">
        <f>J83/J108</f>
        <v>23.890957994090247</v>
      </c>
      <c r="K113" s="12">
        <f>K83/K108</f>
        <v>25.175983820476223</v>
      </c>
      <c r="L113" s="12">
        <f>L83/L108</f>
        <v>26.361411425187022</v>
      </c>
      <c r="M113" s="11"/>
    </row>
    <row r="114" spans="1:28" hidden="1">
      <c r="F114" s="10"/>
      <c r="G114" s="10"/>
      <c r="H114" s="10"/>
      <c r="I114" s="10"/>
      <c r="J114" s="10"/>
      <c r="K114" s="10"/>
      <c r="L114" s="10"/>
    </row>
    <row r="115" spans="1:28" ht="30" hidden="1">
      <c r="A115" s="8"/>
      <c r="B115" s="9" t="s">
        <v>1</v>
      </c>
      <c r="C115" s="8" t="s">
        <v>0</v>
      </c>
      <c r="D115" s="5"/>
      <c r="E115" s="7"/>
      <c r="F115" s="5"/>
      <c r="G115" s="5"/>
      <c r="H115" s="5"/>
      <c r="I115" s="5"/>
      <c r="J115" s="5"/>
      <c r="K115" s="5"/>
      <c r="L115" s="5"/>
      <c r="M115" s="6"/>
      <c r="N115" s="5"/>
      <c r="O115" s="5"/>
    </row>
    <row r="116" spans="1:28">
      <c r="D116" s="1"/>
      <c r="E116" s="1"/>
      <c r="F116" s="1"/>
      <c r="G116" s="4">
        <v>15527.570000000002</v>
      </c>
      <c r="H116" s="4">
        <v>31210.415700000001</v>
      </c>
      <c r="I116" s="4">
        <v>41126.863845</v>
      </c>
      <c r="J116" s="4">
        <v>69815.529024999996</v>
      </c>
      <c r="K116" s="4">
        <v>151996.18331999998</v>
      </c>
      <c r="L116" s="1"/>
      <c r="S116" s="3"/>
      <c r="T116" s="3"/>
    </row>
    <row r="117" spans="1:28">
      <c r="D117" s="1"/>
      <c r="E117" s="1"/>
      <c r="F117" s="1"/>
      <c r="G117" s="3">
        <f>SUM(G116:G116)</f>
        <v>15527.570000000002</v>
      </c>
      <c r="H117" s="3">
        <f>SUM(H116:H116)</f>
        <v>31210.415700000001</v>
      </c>
      <c r="I117" s="3">
        <f>SUM(I116:I116)</f>
        <v>41126.863845</v>
      </c>
      <c r="J117" s="3">
        <f>SUM(J116:J116)</f>
        <v>69815.529024999996</v>
      </c>
      <c r="K117" s="3">
        <f>SUM(K116:K116)</f>
        <v>151996.18331999998</v>
      </c>
      <c r="L117" s="1"/>
      <c r="S117" s="3">
        <f>S107-'[1]Расчёт ВС методом индексации'!R32</f>
        <v>0</v>
      </c>
      <c r="T117" s="3">
        <f>T107-'[1]Расчёт ВС методом индексации'!S32</f>
        <v>0</v>
      </c>
    </row>
    <row r="118" spans="1:28" s="2" customFormat="1">
      <c r="A118" s="1"/>
      <c r="B118" s="1"/>
      <c r="C118" s="1"/>
      <c r="D118" s="1"/>
      <c r="E118" s="1"/>
      <c r="F118" s="1"/>
      <c r="G118" s="1"/>
      <c r="I118" s="4">
        <v>119948.9</v>
      </c>
      <c r="J118" s="4">
        <v>192687.86</v>
      </c>
      <c r="K118" s="4">
        <v>314292.46999999997</v>
      </c>
      <c r="L118" s="1"/>
      <c r="P118" s="1"/>
      <c r="Q118" s="1"/>
      <c r="R118" s="1"/>
      <c r="S118" s="3">
        <f>S107-'[1]Расчёт ВС методом индексации'!R32</f>
        <v>0</v>
      </c>
      <c r="T118" s="3">
        <f>T107-'[1]Расчёт ВС методом индексации'!S32</f>
        <v>0</v>
      </c>
      <c r="U118" s="1"/>
      <c r="V118" s="1"/>
      <c r="W118" s="1"/>
      <c r="X118" s="1"/>
      <c r="Y118" s="1"/>
      <c r="Z118" s="1"/>
      <c r="AA118" s="1"/>
      <c r="AB118" s="1"/>
    </row>
    <row r="119" spans="1:28" s="2" customFormat="1">
      <c r="A119" s="1"/>
      <c r="B119" s="1"/>
      <c r="C119" s="1"/>
      <c r="I119" s="2">
        <f>I117/I118</f>
        <v>0.34286987079498021</v>
      </c>
      <c r="J119" s="2">
        <f>J117/J118</f>
        <v>0.36232448180700122</v>
      </c>
      <c r="K119" s="2">
        <f>K117/K118</f>
        <v>0.48361382415557075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</sheetData>
  <mergeCells count="22">
    <mergeCell ref="R5:R7"/>
    <mergeCell ref="C4:F4"/>
    <mergeCell ref="A5:A7"/>
    <mergeCell ref="B5:B7"/>
    <mergeCell ref="C5:C7"/>
    <mergeCell ref="D5:L5"/>
    <mergeCell ref="I6:I7"/>
    <mergeCell ref="J6:J7"/>
    <mergeCell ref="K6:K7"/>
    <mergeCell ref="L6:L7"/>
    <mergeCell ref="N6:N7"/>
    <mergeCell ref="M5:M7"/>
    <mergeCell ref="T5:T6"/>
    <mergeCell ref="O6:O7"/>
    <mergeCell ref="P6:P7"/>
    <mergeCell ref="Q6:Q7"/>
    <mergeCell ref="O41:O42"/>
    <mergeCell ref="A80:A81"/>
    <mergeCell ref="S5:S6"/>
    <mergeCell ref="D6:E6"/>
    <mergeCell ref="F6:G6"/>
    <mergeCell ref="H6:H7"/>
  </mergeCells>
  <pageMargins left="0" right="0" top="0" bottom="0" header="0.31496062992125984" footer="0.31496062992125984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Смета ВС_2018 </vt:lpstr>
      <vt:lpstr>Лист1</vt:lpstr>
      <vt:lpstr>Лист2</vt:lpstr>
      <vt:lpstr>Лист3</vt:lpstr>
      <vt:lpstr>'Смета ВС_2018 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2017-12-25T13:23:35Z</dcterms:modified>
</cp:coreProperties>
</file>