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Смета ВО_2018 (2)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Excel_BuiltIn_Print_Area_28" localSheetId="0">[4]распределение!#REF!</definedName>
    <definedName name="Excel_BuiltIn_Print_Area_28">[4]распределение!#REF!</definedName>
    <definedName name="Excel6" localSheetId="0">[5]распределение!#REF!</definedName>
    <definedName name="Excel6">[5]распределение!#REF!</definedName>
    <definedName name="ggg" localSheetId="0">[6]распределение!#REF!</definedName>
    <definedName name="ggg">[6]распределение!#REF!</definedName>
    <definedName name="gggg" localSheetId="0">#REF!</definedName>
    <definedName name="gggg">#REF!</definedName>
    <definedName name="ааа" localSheetId="0">#REF!</definedName>
    <definedName name="ааа">#REF!</definedName>
    <definedName name="ааааааааа" localSheetId="0">#REF!</definedName>
    <definedName name="ааааааааа">#REF!</definedName>
    <definedName name="ааааап" localSheetId="0">[6]распределение!#REF!</definedName>
    <definedName name="ааааап">[6]распределение!#REF!</definedName>
    <definedName name="_xlnm.Print_Titles" localSheetId="0">'Смета ВО_2018 (2)'!$5:$8</definedName>
    <definedName name="рорпо" localSheetId="0">#REF!</definedName>
    <definedName name="рорпо">#REF!</definedName>
    <definedName name="рррр" localSheetId="0">#REF!</definedName>
    <definedName name="рррр">#REF!</definedName>
    <definedName name="уе" localSheetId="0">#REF!</definedName>
    <definedName name="уе">#REF!</definedName>
    <definedName name="характер" localSheetId="0">#REF!</definedName>
    <definedName name="характер">#REF!</definedName>
    <definedName name="ы" localSheetId="0">#REF!</definedName>
    <definedName name="ы">#REF!</definedName>
    <definedName name="ыы" localSheetId="0">#REF!</definedName>
    <definedName name="ыы">#REF!</definedName>
    <definedName name="ыыыыыыыыыыыыыыыы" localSheetId="0">[7]распределение!#REF!</definedName>
    <definedName name="ыыыыыыыыыыыыыыыы">[7]распределение!#REF!</definedName>
  </definedNames>
  <calcPr calcId="145621"/>
</workbook>
</file>

<file path=xl/calcChain.xml><?xml version="1.0" encoding="utf-8"?>
<calcChain xmlns="http://schemas.openxmlformats.org/spreadsheetml/2006/main">
  <c r="T122" i="4" l="1"/>
  <c r="O107" i="4"/>
  <c r="N107" i="4"/>
  <c r="P107" i="4" s="1"/>
  <c r="T102" i="4"/>
  <c r="S102" i="4"/>
  <c r="R102" i="4"/>
  <c r="Q102" i="4"/>
  <c r="P102" i="4"/>
  <c r="H101" i="4"/>
  <c r="X100" i="4"/>
  <c r="W99" i="4"/>
  <c r="V99" i="4"/>
  <c r="L99" i="4"/>
  <c r="K99" i="4"/>
  <c r="J99" i="4"/>
  <c r="I99" i="4"/>
  <c r="H99" i="4"/>
  <c r="G99" i="4"/>
  <c r="E99" i="4"/>
  <c r="L86" i="4"/>
  <c r="K86" i="4"/>
  <c r="I86" i="4"/>
  <c r="H86" i="4"/>
  <c r="G86" i="4"/>
  <c r="F86" i="4"/>
  <c r="E86" i="4"/>
  <c r="D86" i="4"/>
  <c r="U85" i="4"/>
  <c r="T85" i="4"/>
  <c r="S85" i="4"/>
  <c r="R85" i="4"/>
  <c r="Q85" i="4"/>
  <c r="P85" i="4"/>
  <c r="W83" i="4"/>
  <c r="V83" i="4"/>
  <c r="H83" i="4"/>
  <c r="E83" i="4"/>
  <c r="G83" i="4" s="1"/>
  <c r="L82" i="4"/>
  <c r="K82" i="4"/>
  <c r="I82" i="4"/>
  <c r="G82" i="4"/>
  <c r="E82" i="4"/>
  <c r="D82" i="4"/>
  <c r="T80" i="4"/>
  <c r="S80" i="4"/>
  <c r="R80" i="4"/>
  <c r="Q80" i="4"/>
  <c r="W78" i="4"/>
  <c r="V78" i="4"/>
  <c r="F78" i="4"/>
  <c r="I76" i="4"/>
  <c r="H76" i="4"/>
  <c r="L73" i="4"/>
  <c r="K73" i="4"/>
  <c r="J73" i="4"/>
  <c r="I73" i="4"/>
  <c r="H73" i="4"/>
  <c r="G73" i="4"/>
  <c r="E73" i="4"/>
  <c r="D73" i="4"/>
  <c r="W72" i="4"/>
  <c r="V72" i="4"/>
  <c r="L72" i="4"/>
  <c r="K72" i="4"/>
  <c r="J72" i="4"/>
  <c r="I72" i="4"/>
  <c r="H72" i="4"/>
  <c r="G72" i="4"/>
  <c r="F72" i="4"/>
  <c r="E72" i="4"/>
  <c r="D72" i="4"/>
  <c r="W71" i="4"/>
  <c r="V71" i="4"/>
  <c r="L71" i="4"/>
  <c r="K71" i="4"/>
  <c r="J71" i="4"/>
  <c r="I71" i="4"/>
  <c r="H71" i="4"/>
  <c r="G71" i="4"/>
  <c r="F71" i="4"/>
  <c r="E71" i="4"/>
  <c r="D71" i="4"/>
  <c r="L70" i="4"/>
  <c r="K70" i="4"/>
  <c r="J70" i="4"/>
  <c r="I70" i="4"/>
  <c r="H70" i="4"/>
  <c r="G70" i="4"/>
  <c r="D70" i="4"/>
  <c r="L69" i="4"/>
  <c r="K69" i="4"/>
  <c r="J69" i="4"/>
  <c r="I69" i="4"/>
  <c r="H69" i="4"/>
  <c r="G69" i="4"/>
  <c r="F69" i="4"/>
  <c r="D69" i="4"/>
  <c r="W68" i="4"/>
  <c r="V68" i="4"/>
  <c r="L68" i="4"/>
  <c r="K68" i="4"/>
  <c r="J68" i="4"/>
  <c r="I68" i="4"/>
  <c r="H68" i="4"/>
  <c r="G68" i="4"/>
  <c r="F68" i="4"/>
  <c r="E68" i="4"/>
  <c r="D68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I66" i="4"/>
  <c r="H66" i="4"/>
  <c r="G66" i="4"/>
  <c r="F66" i="4"/>
  <c r="E66" i="4"/>
  <c r="D66" i="4"/>
  <c r="I65" i="4"/>
  <c r="H65" i="4"/>
  <c r="G65" i="4"/>
  <c r="F65" i="4"/>
  <c r="E65" i="4"/>
  <c r="D65" i="4"/>
  <c r="I64" i="4"/>
  <c r="H64" i="4"/>
  <c r="G64" i="4"/>
  <c r="F64" i="4"/>
  <c r="E64" i="4"/>
  <c r="D64" i="4"/>
  <c r="I63" i="4"/>
  <c r="H63" i="4"/>
  <c r="G63" i="4"/>
  <c r="F63" i="4"/>
  <c r="E63" i="4"/>
  <c r="L62" i="4"/>
  <c r="K62" i="4"/>
  <c r="J62" i="4"/>
  <c r="I62" i="4"/>
  <c r="H62" i="4"/>
  <c r="G62" i="4"/>
  <c r="F62" i="4"/>
  <c r="E62" i="4"/>
  <c r="D62" i="4"/>
  <c r="W61" i="4"/>
  <c r="V61" i="4"/>
  <c r="L61" i="4"/>
  <c r="K61" i="4"/>
  <c r="J61" i="4"/>
  <c r="I61" i="4"/>
  <c r="H61" i="4"/>
  <c r="G61" i="4"/>
  <c r="E61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W59" i="4"/>
  <c r="V59" i="4"/>
  <c r="T59" i="4"/>
  <c r="S59" i="4"/>
  <c r="R59" i="4"/>
  <c r="Q59" i="4"/>
  <c r="L59" i="4"/>
  <c r="K59" i="4"/>
  <c r="J59" i="4"/>
  <c r="I59" i="4"/>
  <c r="H59" i="4"/>
  <c r="G59" i="4"/>
  <c r="E59" i="4"/>
  <c r="D59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W57" i="4"/>
  <c r="V57" i="4"/>
  <c r="U57" i="4"/>
  <c r="T57" i="4"/>
  <c r="S57" i="4"/>
  <c r="R57" i="4"/>
  <c r="Q57" i="4"/>
  <c r="L57" i="4"/>
  <c r="K57" i="4"/>
  <c r="J57" i="4"/>
  <c r="I57" i="4"/>
  <c r="H57" i="4"/>
  <c r="W56" i="4"/>
  <c r="V56" i="4"/>
  <c r="U56" i="4"/>
  <c r="T56" i="4"/>
  <c r="S56" i="4"/>
  <c r="R56" i="4"/>
  <c r="Q56" i="4"/>
  <c r="L56" i="4"/>
  <c r="K56" i="4"/>
  <c r="I56" i="4"/>
  <c r="H56" i="4"/>
  <c r="F56" i="4"/>
  <c r="E56" i="4"/>
  <c r="D56" i="4"/>
  <c r="W55" i="4"/>
  <c r="V55" i="4"/>
  <c r="U55" i="4"/>
  <c r="T55" i="4"/>
  <c r="S55" i="4"/>
  <c r="R55" i="4"/>
  <c r="Q55" i="4"/>
  <c r="L55" i="4"/>
  <c r="K55" i="4"/>
  <c r="J55" i="4"/>
  <c r="I55" i="4"/>
  <c r="H55" i="4"/>
  <c r="W54" i="4"/>
  <c r="V54" i="4"/>
  <c r="U54" i="4"/>
  <c r="T54" i="4"/>
  <c r="S54" i="4"/>
  <c r="R54" i="4"/>
  <c r="Q54" i="4"/>
  <c r="L54" i="4"/>
  <c r="K54" i="4"/>
  <c r="J54" i="4"/>
  <c r="I54" i="4"/>
  <c r="H54" i="4"/>
  <c r="W53" i="4"/>
  <c r="V53" i="4"/>
  <c r="U53" i="4"/>
  <c r="T53" i="4"/>
  <c r="S53" i="4"/>
  <c r="R53" i="4"/>
  <c r="Q53" i="4"/>
  <c r="L53" i="4"/>
  <c r="K53" i="4"/>
  <c r="J53" i="4"/>
  <c r="I53" i="4"/>
  <c r="H53" i="4"/>
  <c r="W52" i="4"/>
  <c r="V52" i="4"/>
  <c r="U52" i="4"/>
  <c r="T52" i="4"/>
  <c r="S52" i="4"/>
  <c r="R52" i="4"/>
  <c r="Q52" i="4"/>
  <c r="L52" i="4"/>
  <c r="K52" i="4"/>
  <c r="J52" i="4"/>
  <c r="I52" i="4"/>
  <c r="H52" i="4"/>
  <c r="W51" i="4"/>
  <c r="V51" i="4"/>
  <c r="L51" i="4"/>
  <c r="K51" i="4"/>
  <c r="J51" i="4"/>
  <c r="I51" i="4"/>
  <c r="H51" i="4"/>
  <c r="W50" i="4"/>
  <c r="V50" i="4"/>
  <c r="U50" i="4"/>
  <c r="U51" i="4" s="1"/>
  <c r="U49" i="4" s="1"/>
  <c r="T50" i="4"/>
  <c r="T51" i="4" s="1"/>
  <c r="T49" i="4" s="1"/>
  <c r="T40" i="4" s="1"/>
  <c r="S50" i="4"/>
  <c r="S51" i="4" s="1"/>
  <c r="S49" i="4" s="1"/>
  <c r="S40" i="4" s="1"/>
  <c r="R50" i="4"/>
  <c r="R51" i="4" s="1"/>
  <c r="R49" i="4" s="1"/>
  <c r="R40" i="4" s="1"/>
  <c r="Q50" i="4"/>
  <c r="Q51" i="4" s="1"/>
  <c r="Q49" i="4" s="1"/>
  <c r="Q40" i="4" s="1"/>
  <c r="L50" i="4"/>
  <c r="K50" i="4"/>
  <c r="J50" i="4"/>
  <c r="I50" i="4"/>
  <c r="H50" i="4"/>
  <c r="W49" i="4"/>
  <c r="V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W48" i="4"/>
  <c r="V48" i="4"/>
  <c r="U48" i="4"/>
  <c r="T48" i="4"/>
  <c r="S48" i="4"/>
  <c r="R48" i="4"/>
  <c r="Q48" i="4"/>
  <c r="W47" i="4"/>
  <c r="V47" i="4"/>
  <c r="U47" i="4"/>
  <c r="T47" i="4"/>
  <c r="S47" i="4"/>
  <c r="R47" i="4"/>
  <c r="Q47" i="4"/>
  <c r="L47" i="4"/>
  <c r="K47" i="4"/>
  <c r="J47" i="4"/>
  <c r="I47" i="4"/>
  <c r="H47" i="4"/>
  <c r="T46" i="4"/>
  <c r="S46" i="4"/>
  <c r="R46" i="4"/>
  <c r="Q46" i="4"/>
  <c r="P46" i="4"/>
  <c r="U46" i="4" s="1"/>
  <c r="U41" i="4" s="1"/>
  <c r="L46" i="4"/>
  <c r="K46" i="4"/>
  <c r="J46" i="4"/>
  <c r="I46" i="4"/>
  <c r="H46" i="4"/>
  <c r="W45" i="4"/>
  <c r="V45" i="4"/>
  <c r="U45" i="4"/>
  <c r="T45" i="4"/>
  <c r="S45" i="4"/>
  <c r="R45" i="4"/>
  <c r="Q45" i="4"/>
  <c r="L45" i="4"/>
  <c r="K45" i="4"/>
  <c r="J45" i="4"/>
  <c r="I45" i="4"/>
  <c r="H45" i="4"/>
  <c r="W44" i="4"/>
  <c r="V44" i="4"/>
  <c r="U44" i="4"/>
  <c r="T44" i="4"/>
  <c r="S44" i="4"/>
  <c r="R44" i="4"/>
  <c r="Q44" i="4"/>
  <c r="L44" i="4"/>
  <c r="K44" i="4"/>
  <c r="J44" i="4"/>
  <c r="I44" i="4"/>
  <c r="H44" i="4"/>
  <c r="W43" i="4"/>
  <c r="V43" i="4"/>
  <c r="U43" i="4"/>
  <c r="T43" i="4"/>
  <c r="S43" i="4"/>
  <c r="R43" i="4"/>
  <c r="Q43" i="4"/>
  <c r="L43" i="4"/>
  <c r="K43" i="4"/>
  <c r="J43" i="4"/>
  <c r="I43" i="4"/>
  <c r="H43" i="4"/>
  <c r="W42" i="4"/>
  <c r="V42" i="4"/>
  <c r="U42" i="4"/>
  <c r="T42" i="4"/>
  <c r="S42" i="4"/>
  <c r="R42" i="4"/>
  <c r="Q42" i="4"/>
  <c r="L42" i="4"/>
  <c r="K42" i="4"/>
  <c r="J42" i="4"/>
  <c r="I42" i="4"/>
  <c r="H42" i="4"/>
  <c r="W41" i="4"/>
  <c r="V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W40" i="4"/>
  <c r="V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W39" i="4"/>
  <c r="V39" i="4"/>
  <c r="O39" i="4"/>
  <c r="N39" i="4"/>
  <c r="M39" i="4"/>
  <c r="L39" i="4"/>
  <c r="K39" i="4"/>
  <c r="J39" i="4"/>
  <c r="I39" i="4"/>
  <c r="H39" i="4"/>
  <c r="G39" i="4"/>
  <c r="F39" i="4"/>
  <c r="E39" i="4"/>
  <c r="W38" i="4"/>
  <c r="V38" i="4"/>
  <c r="O38" i="4"/>
  <c r="N38" i="4"/>
  <c r="M38" i="4"/>
  <c r="L38" i="4"/>
  <c r="K38" i="4"/>
  <c r="J38" i="4"/>
  <c r="I38" i="4"/>
  <c r="H38" i="4"/>
  <c r="G38" i="4"/>
  <c r="F38" i="4"/>
  <c r="E38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W36" i="4"/>
  <c r="V36" i="4"/>
  <c r="O36" i="4"/>
  <c r="N36" i="4"/>
  <c r="M36" i="4"/>
  <c r="L36" i="4"/>
  <c r="K36" i="4"/>
  <c r="J36" i="4"/>
  <c r="I36" i="4"/>
  <c r="H36" i="4"/>
  <c r="G36" i="4"/>
  <c r="F36" i="4"/>
  <c r="E36" i="4"/>
  <c r="D36" i="4"/>
  <c r="W35" i="4"/>
  <c r="V35" i="4"/>
  <c r="O35" i="4"/>
  <c r="N35" i="4"/>
  <c r="M35" i="4"/>
  <c r="L35" i="4"/>
  <c r="K35" i="4"/>
  <c r="J35" i="4"/>
  <c r="I35" i="4"/>
  <c r="H35" i="4"/>
  <c r="G35" i="4"/>
  <c r="F35" i="4"/>
  <c r="E35" i="4"/>
  <c r="D35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W32" i="4"/>
  <c r="V32" i="4"/>
  <c r="O32" i="4"/>
  <c r="N32" i="4"/>
  <c r="M32" i="4"/>
  <c r="E32" i="4"/>
  <c r="E28" i="4" s="1"/>
  <c r="E10" i="4" s="1"/>
  <c r="E77" i="4" s="1"/>
  <c r="E85" i="4" s="1"/>
  <c r="E78" i="4" s="1"/>
  <c r="W31" i="4"/>
  <c r="V31" i="4"/>
  <c r="O31" i="4"/>
  <c r="N31" i="4"/>
  <c r="M31" i="4"/>
  <c r="L31" i="4"/>
  <c r="K31" i="4"/>
  <c r="J31" i="4"/>
  <c r="I31" i="4"/>
  <c r="H31" i="4"/>
  <c r="G31" i="4"/>
  <c r="F31" i="4"/>
  <c r="E31" i="4"/>
  <c r="D31" i="4"/>
  <c r="O30" i="4"/>
  <c r="N30" i="4"/>
  <c r="M30" i="4"/>
  <c r="L30" i="4"/>
  <c r="K30" i="4"/>
  <c r="J30" i="4"/>
  <c r="I30" i="4"/>
  <c r="H30" i="4"/>
  <c r="G30" i="4"/>
  <c r="F30" i="4"/>
  <c r="E30" i="4"/>
  <c r="D30" i="4"/>
  <c r="O29" i="4"/>
  <c r="N29" i="4"/>
  <c r="L29" i="4"/>
  <c r="K29" i="4"/>
  <c r="K28" i="4" s="1"/>
  <c r="K10" i="4" s="1"/>
  <c r="K77" i="4" s="1"/>
  <c r="K85" i="4" s="1"/>
  <c r="J29" i="4"/>
  <c r="I29" i="4"/>
  <c r="I28" i="4" s="1"/>
  <c r="I10" i="4" s="1"/>
  <c r="I77" i="4" s="1"/>
  <c r="I85" i="4" s="1"/>
  <c r="H29" i="4"/>
  <c r="G29" i="4"/>
  <c r="G28" i="4" s="1"/>
  <c r="G10" i="4" s="1"/>
  <c r="G77" i="4" s="1"/>
  <c r="G85" i="4" s="1"/>
  <c r="E29" i="4"/>
  <c r="W28" i="4"/>
  <c r="V28" i="4"/>
  <c r="AB28" i="4" s="1"/>
  <c r="U28" i="4"/>
  <c r="T28" i="4"/>
  <c r="S28" i="4"/>
  <c r="R28" i="4"/>
  <c r="Q28" i="4"/>
  <c r="P28" i="4"/>
  <c r="O28" i="4"/>
  <c r="N28" i="4"/>
  <c r="M28" i="4"/>
  <c r="L28" i="4"/>
  <c r="J28" i="4"/>
  <c r="H28" i="4"/>
  <c r="F28" i="4"/>
  <c r="D28" i="4"/>
  <c r="W27" i="4"/>
  <c r="V27" i="4"/>
  <c r="T27" i="4"/>
  <c r="S27" i="4"/>
  <c r="R27" i="4"/>
  <c r="Q27" i="4"/>
  <c r="L27" i="4"/>
  <c r="K27" i="4"/>
  <c r="J27" i="4"/>
  <c r="I27" i="4"/>
  <c r="H27" i="4"/>
  <c r="D27" i="4"/>
  <c r="W26" i="4"/>
  <c r="V26" i="4"/>
  <c r="O26" i="4"/>
  <c r="N26" i="4"/>
  <c r="M26" i="4"/>
  <c r="L26" i="4"/>
  <c r="K26" i="4"/>
  <c r="J26" i="4"/>
  <c r="I26" i="4"/>
  <c r="H26" i="4"/>
  <c r="G26" i="4"/>
  <c r="E26" i="4"/>
  <c r="D26" i="4"/>
  <c r="W25" i="4"/>
  <c r="V25" i="4"/>
  <c r="O25" i="4"/>
  <c r="N25" i="4"/>
  <c r="M25" i="4"/>
  <c r="L25" i="4"/>
  <c r="K25" i="4"/>
  <c r="J25" i="4"/>
  <c r="I25" i="4"/>
  <c r="H25" i="4"/>
  <c r="G25" i="4"/>
  <c r="F25" i="4"/>
  <c r="E25" i="4"/>
  <c r="D25" i="4"/>
  <c r="D39" i="4" s="1"/>
  <c r="W24" i="4"/>
  <c r="V24" i="4"/>
  <c r="O24" i="4"/>
  <c r="N24" i="4"/>
  <c r="M24" i="4"/>
  <c r="L24" i="4"/>
  <c r="K24" i="4"/>
  <c r="J24" i="4"/>
  <c r="I24" i="4"/>
  <c r="H24" i="4"/>
  <c r="G24" i="4"/>
  <c r="F24" i="4"/>
  <c r="E24" i="4"/>
  <c r="D24" i="4"/>
  <c r="D38" i="4" s="1"/>
  <c r="D37" i="4" s="1"/>
  <c r="D34" i="4" s="1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W22" i="4"/>
  <c r="V22" i="4"/>
  <c r="U22" i="4"/>
  <c r="P22" i="4"/>
  <c r="L22" i="4"/>
  <c r="K22" i="4"/>
  <c r="J22" i="4"/>
  <c r="W21" i="4"/>
  <c r="V21" i="4"/>
  <c r="U21" i="4"/>
  <c r="P21" i="4"/>
  <c r="O21" i="4"/>
  <c r="N21" i="4"/>
  <c r="M21" i="4"/>
  <c r="L21" i="4"/>
  <c r="K21" i="4"/>
  <c r="J21" i="4"/>
  <c r="I21" i="4"/>
  <c r="G21" i="4"/>
  <c r="F21" i="4"/>
  <c r="W19" i="4"/>
  <c r="V19" i="4"/>
  <c r="O19" i="4"/>
  <c r="N19" i="4"/>
  <c r="M19" i="4"/>
  <c r="L19" i="4"/>
  <c r="K19" i="4"/>
  <c r="J19" i="4"/>
  <c r="I19" i="4"/>
  <c r="H19" i="4"/>
  <c r="G19" i="4"/>
  <c r="F19" i="4"/>
  <c r="E19" i="4"/>
  <c r="D19" i="4"/>
  <c r="W17" i="4"/>
  <c r="V17" i="4"/>
  <c r="O17" i="4"/>
  <c r="N17" i="4"/>
  <c r="M17" i="4"/>
  <c r="L17" i="4"/>
  <c r="K17" i="4"/>
  <c r="J17" i="4"/>
  <c r="I17" i="4"/>
  <c r="H17" i="4"/>
  <c r="G17" i="4"/>
  <c r="F17" i="4"/>
  <c r="E17" i="4"/>
  <c r="D17" i="4"/>
  <c r="W16" i="4"/>
  <c r="V16" i="4"/>
  <c r="O16" i="4"/>
  <c r="N16" i="4"/>
  <c r="M16" i="4"/>
  <c r="L16" i="4"/>
  <c r="K16" i="4"/>
  <c r="J16" i="4"/>
  <c r="I16" i="4"/>
  <c r="H16" i="4"/>
  <c r="G16" i="4"/>
  <c r="F16" i="4"/>
  <c r="E16" i="4"/>
  <c r="D16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AA14" i="4"/>
  <c r="W14" i="4"/>
  <c r="V14" i="4"/>
  <c r="U14" i="4"/>
  <c r="O14" i="4"/>
  <c r="N14" i="4"/>
  <c r="M14" i="4"/>
  <c r="L14" i="4"/>
  <c r="K14" i="4"/>
  <c r="J14" i="4"/>
  <c r="I14" i="4"/>
  <c r="H14" i="4"/>
  <c r="G14" i="4"/>
  <c r="F14" i="4"/>
  <c r="E14" i="4"/>
  <c r="D14" i="4"/>
  <c r="W13" i="4"/>
  <c r="V13" i="4"/>
  <c r="U13" i="4"/>
  <c r="O13" i="4"/>
  <c r="N13" i="4"/>
  <c r="M13" i="4"/>
  <c r="L13" i="4"/>
  <c r="K13" i="4"/>
  <c r="J13" i="4"/>
  <c r="I13" i="4"/>
  <c r="H13" i="4"/>
  <c r="G13" i="4"/>
  <c r="F13" i="4"/>
  <c r="E13" i="4"/>
  <c r="D13" i="4"/>
  <c r="W12" i="4"/>
  <c r="W11" i="4" s="1"/>
  <c r="W10" i="4" s="1"/>
  <c r="W77" i="4" s="1"/>
  <c r="V12" i="4"/>
  <c r="U12" i="4"/>
  <c r="AA12" i="4" s="1"/>
  <c r="O12" i="4"/>
  <c r="N12" i="4"/>
  <c r="M12" i="4"/>
  <c r="L12" i="4"/>
  <c r="K12" i="4"/>
  <c r="J12" i="4"/>
  <c r="I12" i="4"/>
  <c r="H12" i="4"/>
  <c r="G12" i="4"/>
  <c r="F12" i="4"/>
  <c r="E12" i="4"/>
  <c r="D12" i="4"/>
  <c r="V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V10" i="4"/>
  <c r="V77" i="4" s="1"/>
  <c r="T10" i="4"/>
  <c r="T77" i="4" s="1"/>
  <c r="S10" i="4"/>
  <c r="S77" i="4" s="1"/>
  <c r="R10" i="4"/>
  <c r="R77" i="4" s="1"/>
  <c r="Q10" i="4"/>
  <c r="Q77" i="4" s="1"/>
  <c r="P10" i="4"/>
  <c r="P77" i="4" s="1"/>
  <c r="O10" i="4"/>
  <c r="O77" i="4" s="1"/>
  <c r="O91" i="4" s="1"/>
  <c r="N10" i="4"/>
  <c r="N77" i="4" s="1"/>
  <c r="N91" i="4" s="1"/>
  <c r="M10" i="4"/>
  <c r="M77" i="4" s="1"/>
  <c r="M91" i="4" s="1"/>
  <c r="L10" i="4"/>
  <c r="L77" i="4" s="1"/>
  <c r="L85" i="4" s="1"/>
  <c r="J10" i="4"/>
  <c r="J77" i="4" s="1"/>
  <c r="J85" i="4" s="1"/>
  <c r="H10" i="4"/>
  <c r="H77" i="4" s="1"/>
  <c r="H85" i="4" s="1"/>
  <c r="H78" i="4" s="1"/>
  <c r="H1" i="4" s="1"/>
  <c r="F10" i="4"/>
  <c r="F77" i="4" s="1"/>
  <c r="D10" i="4"/>
  <c r="D77" i="4" s="1"/>
  <c r="W91" i="4" l="1"/>
  <c r="W98" i="4" s="1"/>
  <c r="E91" i="4"/>
  <c r="E102" i="4" s="1"/>
  <c r="V91" i="4"/>
  <c r="V98" i="4" s="1"/>
  <c r="V102" i="4" s="1"/>
  <c r="I83" i="4"/>
  <c r="I78" i="4" s="1"/>
  <c r="I1" i="4" s="1"/>
  <c r="J83" i="4"/>
  <c r="G78" i="4"/>
  <c r="G91" i="4" s="1"/>
  <c r="G102" i="4" s="1"/>
  <c r="D91" i="4"/>
  <c r="D102" i="4" s="1"/>
  <c r="F91" i="4"/>
  <c r="F98" i="4" s="1"/>
  <c r="F102" i="4" s="1"/>
  <c r="H91" i="4"/>
  <c r="H102" i="4" s="1"/>
  <c r="N109" i="4"/>
  <c r="U11" i="4"/>
  <c r="U10" i="4" s="1"/>
  <c r="U77" i="4" s="1"/>
  <c r="U91" i="4" s="1"/>
  <c r="U98" i="4" s="1"/>
  <c r="G105" i="4" l="1"/>
  <c r="G103" i="4"/>
  <c r="G104" i="4"/>
  <c r="O109" i="4"/>
  <c r="O108" i="4" s="1"/>
  <c r="P109" i="4"/>
  <c r="P108" i="4" s="1"/>
  <c r="H104" i="4"/>
  <c r="H105" i="4"/>
  <c r="H103" i="4"/>
  <c r="K83" i="4"/>
  <c r="J78" i="4"/>
  <c r="I91" i="4"/>
  <c r="I102" i="4" s="1"/>
  <c r="U102" i="4"/>
  <c r="AC85" i="4"/>
  <c r="W102" i="4"/>
  <c r="W103" i="4" s="1"/>
  <c r="X102" i="4"/>
  <c r="X103" i="4" s="1"/>
  <c r="J91" i="4" l="1"/>
  <c r="J102" i="4" s="1"/>
  <c r="J105" i="4" s="1"/>
  <c r="J1" i="4"/>
  <c r="I105" i="4"/>
  <c r="I103" i="4"/>
  <c r="I104" i="4"/>
  <c r="L83" i="4"/>
  <c r="L78" i="4" s="1"/>
  <c r="K78" i="4"/>
  <c r="L1" i="4" l="1"/>
  <c r="L91" i="4"/>
  <c r="L102" i="4" s="1"/>
  <c r="K1" i="4"/>
  <c r="K91" i="4"/>
  <c r="K102" i="4" s="1"/>
  <c r="K105" i="4" l="1"/>
  <c r="K104" i="4"/>
  <c r="K103" i="4"/>
  <c r="L103" i="4"/>
  <c r="L105" i="4"/>
  <c r="L104" i="4"/>
</calcChain>
</file>

<file path=xl/sharedStrings.xml><?xml version="1.0" encoding="utf-8"?>
<sst xmlns="http://schemas.openxmlformats.org/spreadsheetml/2006/main" count="319" uniqueCount="211">
  <si>
    <t>МП КХ "Водоканал"</t>
  </si>
  <si>
    <t>СМЕТА РАСХОДОВ НА ВОДООТВЕДЕНИЕ, , ТРАНСПОРТИРОВКУ СТОЧНЫХ ВОД</t>
  </si>
  <si>
    <t>экономически обоснованные расходы</t>
  </si>
  <si>
    <t>№ п/п</t>
  </si>
  <si>
    <t>Наименование</t>
  </si>
  <si>
    <t>Единица измерений</t>
  </si>
  <si>
    <t>данные ОКК</t>
  </si>
  <si>
    <t>СГРЦиТ</t>
  </si>
  <si>
    <t>Утвержденный тариф 2016 год</t>
  </si>
  <si>
    <t>Утвержденный тариф 2017 год</t>
  </si>
  <si>
    <t>Водоканал, факт</t>
  </si>
  <si>
    <t>Водоканал, план</t>
  </si>
  <si>
    <t>Факт 6 месяцев 2015</t>
  </si>
  <si>
    <t>ожидаемый год 2015 (весрия СЕНТЯБРЬ)</t>
  </si>
  <si>
    <t>Проект  2016 год</t>
  </si>
  <si>
    <t>Проект  2017 год</t>
  </si>
  <si>
    <t>Проект  2018 год</t>
  </si>
  <si>
    <t>Служба не утвердила в полном объеме (разница между заявкой Водоканала и проектом Службы)</t>
  </si>
  <si>
    <t>красным выделены основные статьи</t>
  </si>
  <si>
    <t>Проект Службы 2016 к факту 2014 (рост в %)</t>
  </si>
  <si>
    <t>Проект Службы 2016 к ожидаемому 2015 (рост в %)</t>
  </si>
  <si>
    <t>план СГРЦиТ</t>
  </si>
  <si>
    <t>факт</t>
  </si>
  <si>
    <t>ожид.</t>
  </si>
  <si>
    <t>Производственные расходы</t>
  </si>
  <si>
    <t>1.1</t>
  </si>
  <si>
    <t>Расходы на приобретение сырья и материалов и их хранение,    в том числе:</t>
  </si>
  <si>
    <t>тыс.руб.</t>
  </si>
  <si>
    <t>1.1.1</t>
  </si>
  <si>
    <t>Реагенты</t>
  </si>
  <si>
    <t>без очистных</t>
  </si>
  <si>
    <t>1.1.2</t>
  </si>
  <si>
    <t>Горюче-смазочные материалы</t>
  </si>
  <si>
    <t>1.1.3</t>
  </si>
  <si>
    <t>Материалы и малоценные основные средства</t>
  </si>
  <si>
    <t>1.2</t>
  </si>
  <si>
    <t>Расходы на энергетические ресурсы и холодную воду</t>
  </si>
  <si>
    <t>1.2.1</t>
  </si>
  <si>
    <t>Электроэнергия</t>
  </si>
  <si>
    <t>1.2.2</t>
  </si>
  <si>
    <t>Теплоэнергия</t>
  </si>
  <si>
    <t>1.2.3</t>
  </si>
  <si>
    <t>Теплоноситель</t>
  </si>
  <si>
    <t>1.2.4</t>
  </si>
  <si>
    <t>Топливо, газ</t>
  </si>
  <si>
    <t>1.2.5</t>
  </si>
  <si>
    <t>Холодная вода</t>
  </si>
  <si>
    <t>1.3</t>
  </si>
  <si>
    <t>Расходы на оплату работ и услуг, выполняемых сторонними организациями и индивидуальными предпринимателями, связанные с эксплуатацией централизованных систем, либо объектов в составе таких систем</t>
  </si>
  <si>
    <t>тыс. руб.</t>
  </si>
  <si>
    <t>1.3.1</t>
  </si>
  <si>
    <t>Расходы на содержание очистных сооружений г. Калининграда после введения объектв в эксплуатацию</t>
  </si>
  <si>
    <t>все расходы, в т.ч. Амортизация, реагенты, э/э, налоги и пр</t>
  </si>
  <si>
    <t>1.4.</t>
  </si>
  <si>
    <t>Расходы на оплату труда и отчисления на социальные нужды основного производственного персонала, в том числе налоги и сборы</t>
  </si>
  <si>
    <t>1.4.1</t>
  </si>
  <si>
    <t>Расходы на оплату труда производственного персонала</t>
  </si>
  <si>
    <t>1.4.2</t>
  </si>
  <si>
    <t>Отчисления на социальные нужды производственного персонала, втом числе налоги и сборы</t>
  </si>
  <si>
    <t>1.5</t>
  </si>
  <si>
    <t>Расходы на уплату процентов по займам и кредитам</t>
  </si>
  <si>
    <t>1.6</t>
  </si>
  <si>
    <t>Цеховые расходы</t>
  </si>
  <si>
    <t>1.7</t>
  </si>
  <si>
    <t>Прочие производственные расходы</t>
  </si>
  <si>
    <t>1.7.1</t>
  </si>
  <si>
    <t>Услуги по транспортировке стоков ( ранее было в строке 1.3)</t>
  </si>
  <si>
    <t>1.7.2</t>
  </si>
  <si>
    <t>Расходы на амортизацию автотранспорта</t>
  </si>
  <si>
    <t>1.7.3</t>
  </si>
  <si>
    <t>Контроль качества сточных вод</t>
  </si>
  <si>
    <t>1.7.4</t>
  </si>
  <si>
    <t>Охрана труда ( спецодежда, молоко., гор. Питание)</t>
  </si>
  <si>
    <t>аренда основного оборудования</t>
  </si>
  <si>
    <t>2</t>
  </si>
  <si>
    <t>Ремонтные расходы</t>
  </si>
  <si>
    <t>2.1</t>
  </si>
  <si>
    <t>Расходы на текущий ремонт централизированных систем  водоотведения либо объектов, входящих в состав таких систем</t>
  </si>
  <si>
    <t>2.2</t>
  </si>
  <si>
    <t>Расходы на капитальный ремонт централизованных систем водоотведения либо объектов, входящих в состав таких систем</t>
  </si>
  <si>
    <t>2.3</t>
  </si>
  <si>
    <t>Расходы на оплату труда и отчисления на социальные нужды ремонтного  персонала, в том числе налоги и сборы</t>
  </si>
  <si>
    <t>2.3.1</t>
  </si>
  <si>
    <t>Расходы на оплату труда ремонтного персонала</t>
  </si>
  <si>
    <t>2.3.2</t>
  </si>
  <si>
    <t>Отчисления на социальные нужды ремонтного персонала, в том числе налоги и сборы</t>
  </si>
  <si>
    <t>3</t>
  </si>
  <si>
    <t>Административные расходы</t>
  </si>
  <si>
    <t>3.1</t>
  </si>
  <si>
    <t>Расходы на оплату работ и услуг, выполняемых сторонними организациями</t>
  </si>
  <si>
    <t>3.1.1</t>
  </si>
  <si>
    <t>Услуги связи и интернет</t>
  </si>
  <si>
    <t>3.1.2</t>
  </si>
  <si>
    <t>Юридические услуги</t>
  </si>
  <si>
    <t>3.1.3</t>
  </si>
  <si>
    <t>Аудиторские услуги</t>
  </si>
  <si>
    <t>3.1.4</t>
  </si>
  <si>
    <t>Консультационные услуги</t>
  </si>
  <si>
    <t>3.1.5</t>
  </si>
  <si>
    <t>услуги банков</t>
  </si>
  <si>
    <t>3.1.6</t>
  </si>
  <si>
    <t>Информационные услуги</t>
  </si>
  <si>
    <t>3.1.7</t>
  </si>
  <si>
    <t>Управленческие услуги ( трансопртно-эксп)</t>
  </si>
  <si>
    <t>3.2</t>
  </si>
  <si>
    <t>Расходы на оплату труда и отчисления на социальные нужды административно-уравленческого персонала, в том числе налоги и сборы</t>
  </si>
  <si>
    <t>3.2.1</t>
  </si>
  <si>
    <t>Расходы на оплату труда административно-управленческого персонала</t>
  </si>
  <si>
    <t>3.2.2</t>
  </si>
  <si>
    <t>Отчисления на социальные нужды административно-управленческого персонала, в том числе налоги и сборы</t>
  </si>
  <si>
    <t>3.3</t>
  </si>
  <si>
    <t>Арендная плата, лизинговые платежи, не связанные с арендой (лизингом) централизованных систем водоснабжения и (или) водоотведения либо объектов, входящих в состав таких систем</t>
  </si>
  <si>
    <t>3.4</t>
  </si>
  <si>
    <t>Служебные командировки</t>
  </si>
  <si>
    <t>3.5</t>
  </si>
  <si>
    <t>Обучение персонала</t>
  </si>
  <si>
    <t>3.6</t>
  </si>
  <si>
    <t>Страхование производственных объектов</t>
  </si>
  <si>
    <t>3.7</t>
  </si>
  <si>
    <t>Прочие административные расходы</t>
  </si>
  <si>
    <t>3.7.2</t>
  </si>
  <si>
    <t>Расходы по охране объектов и территорий</t>
  </si>
  <si>
    <t>4</t>
  </si>
  <si>
    <t>Сбытовые расходы гарантирующих организаций</t>
  </si>
  <si>
    <t>4.1</t>
  </si>
  <si>
    <t>Расходы по сомнительным долгам, в размере не более 2% НВВ</t>
  </si>
  <si>
    <t>5.</t>
  </si>
  <si>
    <t>Амортизация</t>
  </si>
  <si>
    <t>5.1</t>
  </si>
  <si>
    <r>
      <t>Амортизация основных средств и нематериальных активов, относимых к объектам централизованной системы водоснабжения (в т.ч.  20 000 тыс. руб., направленных на ИП</t>
    </r>
    <r>
      <rPr>
        <sz val="8"/>
        <color theme="1"/>
        <rFont val="Calibri"/>
        <family val="2"/>
        <charset val="204"/>
        <scheme val="minor"/>
      </rPr>
      <t>)</t>
    </r>
  </si>
  <si>
    <t>6.</t>
  </si>
  <si>
    <t>Расходы на арендную плату, лизинговые платежи, концессионную плату</t>
  </si>
  <si>
    <t>6.1</t>
  </si>
  <si>
    <t>Аренда имущества</t>
  </si>
  <si>
    <t>6.2</t>
  </si>
  <si>
    <t>Концессионная плата</t>
  </si>
  <si>
    <t>6.3</t>
  </si>
  <si>
    <t>Лизинговые платежи</t>
  </si>
  <si>
    <t>6.4</t>
  </si>
  <si>
    <t>Аренда земельных участков</t>
  </si>
  <si>
    <t>7.</t>
  </si>
  <si>
    <t>Расходы связанные с уплатой налогов и сборов</t>
  </si>
  <si>
    <t>7.2</t>
  </si>
  <si>
    <t>Налог на имущество организаций</t>
  </si>
  <si>
    <t>7.3</t>
  </si>
  <si>
    <t>Плата за негативное воздействие на окружающую среду</t>
  </si>
  <si>
    <t>7.4</t>
  </si>
  <si>
    <t>Водный налог и плата за пользованием водными объектами</t>
  </si>
  <si>
    <t>7.5</t>
  </si>
  <si>
    <t>Земельный налог/Аренда земли</t>
  </si>
  <si>
    <t>7.6</t>
  </si>
  <si>
    <t>Транспортный налог</t>
  </si>
  <si>
    <t>7.7</t>
  </si>
  <si>
    <t>Прочие налоги и сборы, за исключением налогов и сборов с фонда оплаты труда, учитываемые в составе производственных, ремонтных и административных расходов</t>
  </si>
  <si>
    <t>Прочие прямые расходы</t>
  </si>
  <si>
    <t>Косвенные расходы</t>
  </si>
  <si>
    <t>Расходы по забалансовым объектам ( амортизация, налог на имущество)</t>
  </si>
  <si>
    <t>Себестоимость</t>
  </si>
  <si>
    <t>8</t>
  </si>
  <si>
    <t>Нормативная прибыль</t>
  </si>
  <si>
    <t>8.1</t>
  </si>
  <si>
    <t>Налог на прибыль</t>
  </si>
  <si>
    <t>8.2</t>
  </si>
  <si>
    <t>Средства на возврат займов и кредитов и процентов по ним</t>
  </si>
  <si>
    <t>8.3</t>
  </si>
  <si>
    <t>Расходы на капитальные вложения</t>
  </si>
  <si>
    <t>8.4</t>
  </si>
  <si>
    <t>Расходы на социальные нужды, предусмотренные коллективными договорами, в соответствии с подпунктом 3 пункта 30 Методических указаний</t>
  </si>
  <si>
    <t>8.5</t>
  </si>
  <si>
    <t>Другие расходы, не учитываемые в соответствии с Налоговым кодексом Российской Федерации при определении налоговой базы налога на прибыль</t>
  </si>
  <si>
    <t>Величина нормативной прибыли, определенная в соответствии с пунктом 31 настоящих Методических указаний 3%</t>
  </si>
  <si>
    <t>9.</t>
  </si>
  <si>
    <t>Недополученные доходы расходы прошлых периодов</t>
  </si>
  <si>
    <t>9.1</t>
  </si>
  <si>
    <t>Экономически обоснованные расходы, не учтенные органом регулирования тарифов при установлении тарифов на товары (работы, услуги) в прошлом периоде</t>
  </si>
  <si>
    <t>9.2</t>
  </si>
  <si>
    <t>Недополученные доходы прошлых периодов регулирования (2014) в связи с уменьшением нормативов потребления</t>
  </si>
  <si>
    <t>9.3</t>
  </si>
  <si>
    <t>Расходы связанные с обслуживанием заемных средств и собственных средств, направляемых на покрытие недостатка средств</t>
  </si>
  <si>
    <t>9.4</t>
  </si>
  <si>
    <t>Плата за негативное воздействие на ок. среду</t>
  </si>
  <si>
    <t>Итого НВВ</t>
  </si>
  <si>
    <t>Снято с тарифа:</t>
  </si>
  <si>
    <t>1.</t>
  </si>
  <si>
    <t>Плата за негативное воздействие на ок. среду, учтённая в тарифе на 2013 год</t>
  </si>
  <si>
    <t>расходы на услуги коллекторских агентств за 2013 год</t>
  </si>
  <si>
    <t>Затраты на услуги "Симплекс" и Почты России за 2013</t>
  </si>
  <si>
    <t>Расходы по Славянке</t>
  </si>
  <si>
    <t>Расходы по невыполенномму кап. и тек. ремонту</t>
  </si>
  <si>
    <t>НВВ после снятия:</t>
  </si>
  <si>
    <t>Объем водоотведения, в т.ч</t>
  </si>
  <si>
    <t>млн.куб.м</t>
  </si>
  <si>
    <t>по объемам Службы</t>
  </si>
  <si>
    <t>Реализация</t>
  </si>
  <si>
    <t>Ливневые стоки</t>
  </si>
  <si>
    <t>Тариф на водоотведение</t>
  </si>
  <si>
    <t>руб./куб.м</t>
  </si>
  <si>
    <t>Темп роста тарифа</t>
  </si>
  <si>
    <t>%</t>
  </si>
  <si>
    <t>к плану СГРЦиТ</t>
  </si>
  <si>
    <t>тариф с НДС</t>
  </si>
  <si>
    <t>Водоотведение</t>
  </si>
  <si>
    <t>с 01.01.2016 по 30.06.2016</t>
  </si>
  <si>
    <t>с 01.07.2016 по 30.12.2016</t>
  </si>
  <si>
    <t>средний по году</t>
  </si>
  <si>
    <t>рост, дек/дек,%</t>
  </si>
  <si>
    <t>Объём, тыс. м3</t>
  </si>
  <si>
    <t>тариф, руб./м3</t>
  </si>
  <si>
    <t>НВВ, тыс. руб.</t>
  </si>
  <si>
    <t>рост тарифа</t>
  </si>
  <si>
    <t>Весь ФОТ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</si>
</sst>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#,##0.000"/>
    <numFmt numFmtId="166" formatCode="0.0%"/>
    <numFmt numFmtId="167" formatCode="_-* #,##0.0_р_._-;\-* #,##0.0_р_._-;_-* &quot;-&quot;??_р_._-;_-@_-"/>
    <numFmt numFmtId="168" formatCode="_-* #,##0.0_р_._-;\-* #,##0.0_р_._-;_-* &quot;-&quot;?_р_._-;_-@_-"/>
    <numFmt numFmtId="169" formatCode="_-* #,##0_-;\-* #,##0_-;_-* \-??_-;_-@_-"/>
    <numFmt numFmtId="170" formatCode="_-* #,##0.00\ _€_-;\-* #,##0.00\ _€_-;_-* \-??\ _€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MT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charset val="204"/>
    </font>
    <font>
      <sz val="8"/>
      <name val="Arial"/>
      <family val="2"/>
    </font>
    <font>
      <sz val="10"/>
      <name val="Arial Cy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9" fillId="0" borderId="0" applyFill="0" applyBorder="0" applyAlignment="0" applyProtection="0"/>
    <xf numFmtId="17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2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1" fillId="0" borderId="0"/>
    <xf numFmtId="0" fontId="19" fillId="0" borderId="0"/>
    <xf numFmtId="0" fontId="24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ill="0" applyBorder="0" applyAlignment="0" applyProtection="0"/>
    <xf numFmtId="9" fontId="21" fillId="0" borderId="0" applyFill="0" applyBorder="0" applyAlignment="0" applyProtection="0"/>
    <xf numFmtId="9" fontId="21" fillId="0" borderId="0" applyFill="0" applyBorder="0" applyAlignment="0" applyProtection="0"/>
    <xf numFmtId="9" fontId="21" fillId="0" borderId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456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0" fontId="3" fillId="0" borderId="0" xfId="1" applyFont="1"/>
    <xf numFmtId="0" fontId="4" fillId="0" borderId="0" xfId="1" applyFont="1" applyBorder="1" applyAlignment="1"/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2" borderId="6" xfId="1" applyFont="1" applyFill="1" applyBorder="1" applyAlignment="1">
      <alignment horizontal="center" vertical="center" wrapText="1"/>
    </xf>
    <xf numFmtId="0" fontId="4" fillId="0" borderId="4" xfId="1" applyFont="1" applyBorder="1" applyAlignment="1"/>
    <xf numFmtId="0" fontId="4" fillId="2" borderId="2" xfId="1" applyFont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1" fillId="3" borderId="7" xfId="1" applyFill="1" applyBorder="1" applyAlignment="1">
      <alignment horizont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right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4" fillId="5" borderId="12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1" fillId="0" borderId="11" xfId="1" applyBorder="1" applyAlignment="1">
      <alignment horizontal="center" vertical="center"/>
    </xf>
    <xf numFmtId="0" fontId="1" fillId="0" borderId="1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4" borderId="14" xfId="1" applyFill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15" xfId="1" applyBorder="1" applyAlignment="1">
      <alignment horizontal="right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0" xfId="1" applyBorder="1"/>
    <xf numFmtId="0" fontId="1" fillId="0" borderId="17" xfId="1" applyBorder="1"/>
    <xf numFmtId="0" fontId="1" fillId="0" borderId="18" xfId="1" applyBorder="1" applyAlignment="1">
      <alignment horizontal="left" vertical="center" wrapText="1"/>
    </xf>
    <xf numFmtId="0" fontId="1" fillId="0" borderId="19" xfId="1" applyBorder="1" applyAlignment="1">
      <alignment horizontal="center" vertical="center" wrapText="1"/>
    </xf>
    <xf numFmtId="0" fontId="1" fillId="4" borderId="19" xfId="1" applyFill="1" applyBorder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164" fontId="0" fillId="0" borderId="19" xfId="2" applyFont="1" applyBorder="1" applyAlignment="1">
      <alignment horizontal="right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4" borderId="11" xfId="1" applyFill="1" applyBorder="1"/>
    <xf numFmtId="0" fontId="1" fillId="0" borderId="5" xfId="1" applyBorder="1"/>
    <xf numFmtId="0" fontId="1" fillId="0" borderId="11" xfId="1" applyBorder="1"/>
    <xf numFmtId="0" fontId="4" fillId="6" borderId="18" xfId="1" applyFont="1" applyFill="1" applyBorder="1" applyAlignment="1">
      <alignment horizontal="left" vertical="center" wrapText="1"/>
    </xf>
    <xf numFmtId="0" fontId="4" fillId="6" borderId="19" xfId="1" applyFont="1" applyFill="1" applyBorder="1" applyAlignment="1">
      <alignment horizontal="center" vertical="center" wrapText="1"/>
    </xf>
    <xf numFmtId="4" fontId="1" fillId="6" borderId="19" xfId="1" applyNumberFormat="1" applyFill="1" applyBorder="1" applyAlignment="1">
      <alignment horizontal="center" vertical="center" wrapText="1"/>
    </xf>
    <xf numFmtId="4" fontId="1" fillId="4" borderId="19" xfId="1" applyNumberFormat="1" applyFill="1" applyBorder="1" applyAlignment="1">
      <alignment horizontal="center" vertical="center" wrapText="1"/>
    </xf>
    <xf numFmtId="4" fontId="1" fillId="6" borderId="20" xfId="1" applyNumberFormat="1" applyFill="1" applyBorder="1" applyAlignment="1">
      <alignment horizontal="center" vertical="center" wrapText="1"/>
    </xf>
    <xf numFmtId="4" fontId="1" fillId="6" borderId="22" xfId="1" applyNumberFormat="1" applyFill="1" applyBorder="1" applyAlignment="1">
      <alignment horizontal="center" vertical="center" wrapText="1"/>
    </xf>
    <xf numFmtId="49" fontId="4" fillId="7" borderId="23" xfId="1" applyNumberFormat="1" applyFont="1" applyFill="1" applyBorder="1" applyAlignment="1">
      <alignment horizontal="left" vertical="center" wrapText="1"/>
    </xf>
    <xf numFmtId="0" fontId="6" fillId="7" borderId="24" xfId="1" applyFont="1" applyFill="1" applyBorder="1" applyAlignment="1">
      <alignment horizontal="left" vertical="center" wrapText="1"/>
    </xf>
    <xf numFmtId="0" fontId="6" fillId="7" borderId="24" xfId="1" applyFont="1" applyFill="1" applyBorder="1" applyAlignment="1">
      <alignment horizontal="center" vertical="center" wrapText="1"/>
    </xf>
    <xf numFmtId="4" fontId="4" fillId="7" borderId="24" xfId="1" applyNumberFormat="1" applyFont="1" applyFill="1" applyBorder="1" applyAlignment="1">
      <alignment horizontal="center" vertical="center" wrapText="1"/>
    </xf>
    <xf numFmtId="4" fontId="4" fillId="4" borderId="24" xfId="1" applyNumberFormat="1" applyFont="1" applyFill="1" applyBorder="1" applyAlignment="1">
      <alignment horizontal="center" vertical="center" wrapText="1"/>
    </xf>
    <xf numFmtId="4" fontId="4" fillId="7" borderId="25" xfId="1" applyNumberFormat="1" applyFont="1" applyFill="1" applyBorder="1" applyAlignment="1">
      <alignment horizontal="center" vertical="center" wrapText="1"/>
    </xf>
    <xf numFmtId="4" fontId="4" fillId="7" borderId="26" xfId="1" applyNumberFormat="1" applyFont="1" applyFill="1" applyBorder="1" applyAlignment="1">
      <alignment horizontal="center" vertical="center" wrapText="1"/>
    </xf>
    <xf numFmtId="49" fontId="1" fillId="0" borderId="27" xfId="1" applyNumberFormat="1" applyBorder="1" applyAlignment="1">
      <alignment horizontal="left" vertical="center" wrapText="1"/>
    </xf>
    <xf numFmtId="0" fontId="7" fillId="0" borderId="28" xfId="1" applyFont="1" applyBorder="1" applyAlignment="1">
      <alignment horizontal="left" vertical="center" wrapText="1"/>
    </xf>
    <xf numFmtId="0" fontId="7" fillId="0" borderId="28" xfId="1" applyFont="1" applyBorder="1" applyAlignment="1">
      <alignment horizontal="center" vertical="center" wrapText="1"/>
    </xf>
    <xf numFmtId="4" fontId="1" fillId="0" borderId="28" xfId="1" applyNumberFormat="1" applyBorder="1" applyAlignment="1">
      <alignment horizontal="center" vertical="center" wrapText="1"/>
    </xf>
    <xf numFmtId="4" fontId="1" fillId="4" borderId="29" xfId="1" applyNumberFormat="1" applyFill="1" applyBorder="1" applyAlignment="1">
      <alignment horizontal="center" vertical="center" wrapText="1"/>
    </xf>
    <xf numFmtId="4" fontId="1" fillId="0" borderId="30" xfId="1" applyNumberFormat="1" applyBorder="1" applyAlignment="1">
      <alignment horizontal="center" vertical="center" wrapText="1"/>
    </xf>
    <xf numFmtId="4" fontId="1" fillId="0" borderId="31" xfId="1" applyNumberFormat="1" applyBorder="1" applyAlignment="1">
      <alignment horizontal="center" vertical="center" wrapText="1"/>
    </xf>
    <xf numFmtId="4" fontId="1" fillId="0" borderId="32" xfId="1" applyNumberFormat="1" applyBorder="1" applyAlignment="1">
      <alignment horizontal="center" vertical="center" wrapText="1"/>
    </xf>
    <xf numFmtId="4" fontId="1" fillId="0" borderId="0" xfId="1" applyNumberFormat="1"/>
    <xf numFmtId="0" fontId="7" fillId="0" borderId="33" xfId="1" applyFont="1" applyBorder="1" applyAlignment="1">
      <alignment horizontal="left" vertical="center" wrapText="1"/>
    </xf>
    <xf numFmtId="4" fontId="1" fillId="0" borderId="33" xfId="1" applyNumberFormat="1" applyBorder="1" applyAlignment="1">
      <alignment horizontal="center" vertical="center" wrapText="1"/>
    </xf>
    <xf numFmtId="4" fontId="1" fillId="4" borderId="34" xfId="1" applyNumberFormat="1" applyFill="1" applyBorder="1" applyAlignment="1">
      <alignment horizontal="center" vertical="center" wrapText="1"/>
    </xf>
    <xf numFmtId="4" fontId="1" fillId="0" borderId="35" xfId="1" applyNumberFormat="1" applyBorder="1" applyAlignment="1">
      <alignment horizontal="center" vertical="center" wrapText="1"/>
    </xf>
    <xf numFmtId="4" fontId="1" fillId="0" borderId="36" xfId="1" applyNumberFormat="1" applyBorder="1" applyAlignment="1">
      <alignment horizontal="center" vertical="center" wrapText="1"/>
    </xf>
    <xf numFmtId="4" fontId="1" fillId="0" borderId="37" xfId="1" applyNumberFormat="1" applyBorder="1" applyAlignment="1">
      <alignment horizontal="center" vertical="center" wrapText="1"/>
    </xf>
    <xf numFmtId="49" fontId="1" fillId="0" borderId="38" xfId="1" applyNumberFormat="1" applyBorder="1" applyAlignment="1">
      <alignment horizontal="left" vertical="center" wrapText="1"/>
    </xf>
    <xf numFmtId="0" fontId="7" fillId="0" borderId="39" xfId="1" applyFont="1" applyBorder="1" applyAlignment="1">
      <alignment horizontal="left" vertical="center" wrapText="1"/>
    </xf>
    <xf numFmtId="0" fontId="7" fillId="0" borderId="39" xfId="1" applyFont="1" applyBorder="1" applyAlignment="1">
      <alignment horizontal="center" vertical="center" wrapText="1"/>
    </xf>
    <xf numFmtId="4" fontId="1" fillId="0" borderId="39" xfId="1" applyNumberFormat="1" applyBorder="1" applyAlignment="1">
      <alignment horizontal="center" vertical="center" wrapText="1"/>
    </xf>
    <xf numFmtId="4" fontId="1" fillId="4" borderId="40" xfId="1" applyNumberFormat="1" applyFill="1" applyBorder="1" applyAlignment="1">
      <alignment horizontal="center" vertical="center" wrapText="1"/>
    </xf>
    <xf numFmtId="4" fontId="1" fillId="0" borderId="41" xfId="1" applyNumberFormat="1" applyBorder="1" applyAlignment="1">
      <alignment horizontal="center" vertical="center" wrapText="1"/>
    </xf>
    <xf numFmtId="4" fontId="1" fillId="0" borderId="42" xfId="1" applyNumberFormat="1" applyBorder="1" applyAlignment="1">
      <alignment horizontal="center" vertical="center" wrapText="1"/>
    </xf>
    <xf numFmtId="4" fontId="1" fillId="0" borderId="43" xfId="1" applyNumberFormat="1" applyBorder="1" applyAlignment="1">
      <alignment horizontal="center" vertical="center" wrapText="1"/>
    </xf>
    <xf numFmtId="0" fontId="5" fillId="7" borderId="24" xfId="1" applyFont="1" applyFill="1" applyBorder="1" applyAlignment="1">
      <alignment horizontal="left" vertical="center" wrapText="1"/>
    </xf>
    <xf numFmtId="4" fontId="4" fillId="4" borderId="44" xfId="1" applyNumberFormat="1" applyFont="1" applyFill="1" applyBorder="1" applyAlignment="1">
      <alignment horizontal="center" vertical="center" wrapText="1"/>
    </xf>
    <xf numFmtId="4" fontId="4" fillId="7" borderId="45" xfId="1" applyNumberFormat="1" applyFont="1" applyFill="1" applyBorder="1" applyAlignment="1">
      <alignment horizontal="center" vertical="center" wrapText="1"/>
    </xf>
    <xf numFmtId="4" fontId="4" fillId="7" borderId="44" xfId="1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vertical="center" wrapText="1"/>
    </xf>
    <xf numFmtId="0" fontId="4" fillId="7" borderId="46" xfId="1" applyFont="1" applyFill="1" applyBorder="1" applyAlignment="1">
      <alignment horizontal="left" vertical="center" wrapText="1"/>
    </xf>
    <xf numFmtId="0" fontId="6" fillId="7" borderId="47" xfId="1" applyFont="1" applyFill="1" applyBorder="1" applyAlignment="1">
      <alignment horizontal="left" vertical="center" wrapText="1"/>
    </xf>
    <xf numFmtId="0" fontId="6" fillId="7" borderId="47" xfId="1" applyFont="1" applyFill="1" applyBorder="1" applyAlignment="1">
      <alignment horizontal="center" vertical="center" wrapText="1"/>
    </xf>
    <xf numFmtId="4" fontId="4" fillId="7" borderId="47" xfId="1" applyNumberFormat="1" applyFont="1" applyFill="1" applyBorder="1" applyAlignment="1">
      <alignment horizontal="center" vertical="center" wrapText="1"/>
    </xf>
    <xf numFmtId="4" fontId="4" fillId="4" borderId="47" xfId="1" applyNumberFormat="1" applyFont="1" applyFill="1" applyBorder="1" applyAlignment="1">
      <alignment horizontal="center" vertical="center" wrapText="1"/>
    </xf>
    <xf numFmtId="4" fontId="4" fillId="7" borderId="48" xfId="1" applyNumberFormat="1" applyFont="1" applyFill="1" applyBorder="1" applyAlignment="1">
      <alignment horizontal="center" vertical="center" wrapText="1"/>
    </xf>
    <xf numFmtId="4" fontId="4" fillId="7" borderId="49" xfId="1" applyNumberFormat="1" applyFont="1" applyFill="1" applyBorder="1" applyAlignment="1">
      <alignment horizontal="center" vertical="center" wrapText="1"/>
    </xf>
    <xf numFmtId="4" fontId="1" fillId="0" borderId="28" xfId="1" applyNumberFormat="1" applyBorder="1" applyAlignment="1">
      <alignment horizontal="center"/>
    </xf>
    <xf numFmtId="4" fontId="1" fillId="4" borderId="29" xfId="1" applyNumberFormat="1" applyFill="1" applyBorder="1" applyAlignment="1">
      <alignment horizontal="center"/>
    </xf>
    <xf numFmtId="4" fontId="1" fillId="0" borderId="30" xfId="1" applyNumberFormat="1" applyBorder="1" applyAlignment="1">
      <alignment horizontal="center"/>
    </xf>
    <xf numFmtId="4" fontId="1" fillId="0" borderId="29" xfId="1" applyNumberFormat="1" applyBorder="1" applyAlignment="1">
      <alignment horizontal="center"/>
    </xf>
    <xf numFmtId="4" fontId="1" fillId="0" borderId="32" xfId="1" applyNumberFormat="1" applyBorder="1" applyAlignment="1">
      <alignment horizontal="center"/>
    </xf>
    <xf numFmtId="4" fontId="1" fillId="0" borderId="40" xfId="1" applyNumberFormat="1" applyBorder="1" applyAlignment="1">
      <alignment horizontal="center" vertical="center" wrapText="1"/>
    </xf>
    <xf numFmtId="4" fontId="4" fillId="4" borderId="50" xfId="1" applyNumberFormat="1" applyFont="1" applyFill="1" applyBorder="1" applyAlignment="1">
      <alignment horizontal="center" vertical="center" wrapText="1"/>
    </xf>
    <xf numFmtId="4" fontId="4" fillId="7" borderId="50" xfId="1" applyNumberFormat="1" applyFont="1" applyFill="1" applyBorder="1" applyAlignment="1">
      <alignment horizontal="center" vertical="center" wrapText="1"/>
    </xf>
    <xf numFmtId="49" fontId="4" fillId="7" borderId="46" xfId="1" applyNumberFormat="1" applyFont="1" applyFill="1" applyBorder="1" applyAlignment="1">
      <alignment horizontal="left" vertical="center" wrapText="1"/>
    </xf>
    <xf numFmtId="4" fontId="1" fillId="7" borderId="47" xfId="1" applyNumberFormat="1" applyFill="1" applyBorder="1" applyAlignment="1">
      <alignment horizontal="center" vertical="center" wrapText="1"/>
    </xf>
    <xf numFmtId="4" fontId="1" fillId="4" borderId="50" xfId="1" applyNumberFormat="1" applyFill="1" applyBorder="1" applyAlignment="1">
      <alignment horizontal="center" vertical="center" wrapText="1"/>
    </xf>
    <xf numFmtId="4" fontId="1" fillId="7" borderId="51" xfId="1" applyNumberFormat="1" applyFill="1" applyBorder="1" applyAlignment="1">
      <alignment horizontal="center" vertical="center" wrapText="1"/>
    </xf>
    <xf numFmtId="4" fontId="1" fillId="7" borderId="50" xfId="1" applyNumberFormat="1" applyFill="1" applyBorder="1" applyAlignment="1">
      <alignment horizontal="center" vertical="center" wrapText="1"/>
    </xf>
    <xf numFmtId="4" fontId="1" fillId="7" borderId="49" xfId="1" applyNumberFormat="1" applyFill="1" applyBorder="1" applyAlignment="1">
      <alignment horizontal="center" vertical="center" wrapText="1"/>
    </xf>
    <xf numFmtId="4" fontId="1" fillId="0" borderId="29" xfId="1" applyNumberForma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4" fontId="1" fillId="0" borderId="34" xfId="1" applyNumberFormat="1" applyBorder="1" applyAlignment="1">
      <alignment horizontal="center" vertical="center" wrapText="1"/>
    </xf>
    <xf numFmtId="0" fontId="7" fillId="0" borderId="52" xfId="1" applyFont="1" applyBorder="1" applyAlignment="1">
      <alignment horizontal="left" vertical="center" wrapText="1"/>
    </xf>
    <xf numFmtId="0" fontId="7" fillId="0" borderId="52" xfId="1" applyFont="1" applyBorder="1" applyAlignment="1">
      <alignment horizontal="center" vertical="center" wrapText="1"/>
    </xf>
    <xf numFmtId="4" fontId="1" fillId="0" borderId="52" xfId="1" applyNumberFormat="1" applyBorder="1" applyAlignment="1">
      <alignment horizontal="center" vertical="center" wrapText="1"/>
    </xf>
    <xf numFmtId="4" fontId="1" fillId="4" borderId="53" xfId="1" applyNumberFormat="1" applyFill="1" applyBorder="1" applyAlignment="1">
      <alignment horizontal="center" vertical="center" wrapText="1"/>
    </xf>
    <xf numFmtId="4" fontId="1" fillId="0" borderId="54" xfId="1" applyNumberFormat="1" applyBorder="1" applyAlignment="1">
      <alignment horizontal="center" vertical="center" wrapText="1"/>
    </xf>
    <xf numFmtId="4" fontId="1" fillId="0" borderId="53" xfId="1" applyNumberFormat="1" applyBorder="1" applyAlignment="1">
      <alignment horizontal="center" vertical="center" wrapText="1"/>
    </xf>
    <xf numFmtId="4" fontId="1" fillId="0" borderId="55" xfId="1" applyNumberFormat="1" applyBorder="1" applyAlignment="1">
      <alignment horizontal="center" vertical="center" wrapText="1"/>
    </xf>
    <xf numFmtId="49" fontId="4" fillId="3" borderId="18" xfId="1" applyNumberFormat="1" applyFont="1" applyFill="1" applyBorder="1" applyAlignment="1">
      <alignment horizontal="left" vertical="center" wrapText="1"/>
    </xf>
    <xf numFmtId="0" fontId="6" fillId="3" borderId="19" xfId="1" applyFont="1" applyFill="1" applyBorder="1" applyAlignment="1">
      <alignment horizontal="left" vertical="center" wrapText="1"/>
    </xf>
    <xf numFmtId="0" fontId="6" fillId="3" borderId="19" xfId="1" applyFont="1" applyFill="1" applyBorder="1" applyAlignment="1">
      <alignment horizontal="center" vertical="center" wrapText="1"/>
    </xf>
    <xf numFmtId="4" fontId="4" fillId="3" borderId="19" xfId="1" applyNumberFormat="1" applyFont="1" applyFill="1" applyBorder="1" applyAlignment="1">
      <alignment horizontal="center" vertical="center" wrapText="1"/>
    </xf>
    <xf numFmtId="4" fontId="4" fillId="3" borderId="11" xfId="1" applyNumberFormat="1" applyFont="1" applyFill="1" applyBorder="1" applyAlignment="1">
      <alignment horizontal="center" vertical="center" wrapText="1"/>
    </xf>
    <xf numFmtId="4" fontId="4" fillId="3" borderId="4" xfId="1" applyNumberFormat="1" applyFont="1" applyFill="1" applyBorder="1" applyAlignment="1">
      <alignment horizontal="center" vertical="center" wrapText="1"/>
    </xf>
    <xf numFmtId="4" fontId="4" fillId="3" borderId="22" xfId="1" applyNumberFormat="1" applyFont="1" applyFill="1" applyBorder="1" applyAlignment="1">
      <alignment horizontal="center" vertical="center" wrapText="1"/>
    </xf>
    <xf numFmtId="49" fontId="8" fillId="6" borderId="18" xfId="1" applyNumberFormat="1" applyFont="1" applyFill="1" applyBorder="1" applyAlignment="1">
      <alignment horizontal="left" vertical="center" wrapText="1"/>
    </xf>
    <xf numFmtId="0" fontId="9" fillId="6" borderId="19" xfId="1" applyFont="1" applyFill="1" applyBorder="1" applyAlignment="1">
      <alignment horizontal="center" vertical="center" wrapText="1"/>
    </xf>
    <xf numFmtId="4" fontId="10" fillId="6" borderId="19" xfId="1" applyNumberFormat="1" applyFont="1" applyFill="1" applyBorder="1" applyAlignment="1">
      <alignment horizontal="center" vertical="center" wrapText="1"/>
    </xf>
    <xf numFmtId="4" fontId="10" fillId="6" borderId="22" xfId="1" applyNumberFormat="1" applyFont="1" applyFill="1" applyBorder="1" applyAlignment="1">
      <alignment horizontal="center" vertical="center" wrapText="1"/>
    </xf>
    <xf numFmtId="49" fontId="4" fillId="7" borderId="56" xfId="1" applyNumberFormat="1" applyFont="1" applyFill="1" applyBorder="1" applyAlignment="1">
      <alignment horizontal="left" vertical="center" wrapText="1"/>
    </xf>
    <xf numFmtId="0" fontId="6" fillId="7" borderId="57" xfId="1" applyFont="1" applyFill="1" applyBorder="1" applyAlignment="1">
      <alignment horizontal="left" vertical="center" wrapText="1"/>
    </xf>
    <xf numFmtId="0" fontId="6" fillId="7" borderId="57" xfId="1" applyFont="1" applyFill="1" applyBorder="1" applyAlignment="1">
      <alignment horizontal="center" vertical="center" wrapText="1"/>
    </xf>
    <xf numFmtId="4" fontId="4" fillId="7" borderId="57" xfId="1" applyNumberFormat="1" applyFont="1" applyFill="1" applyBorder="1" applyAlignment="1">
      <alignment horizontal="center" vertical="center" wrapText="1"/>
    </xf>
    <xf numFmtId="4" fontId="4" fillId="4" borderId="58" xfId="1" applyNumberFormat="1" applyFont="1" applyFill="1" applyBorder="1" applyAlignment="1">
      <alignment horizontal="center" vertical="center" wrapText="1"/>
    </xf>
    <xf numFmtId="4" fontId="4" fillId="7" borderId="59" xfId="1" applyNumberFormat="1" applyFont="1" applyFill="1" applyBorder="1" applyAlignment="1">
      <alignment horizontal="center" vertical="center" wrapText="1"/>
    </xf>
    <xf numFmtId="4" fontId="4" fillId="7" borderId="58" xfId="1" applyNumberFormat="1" applyFont="1" applyFill="1" applyBorder="1" applyAlignment="1">
      <alignment horizontal="center" vertical="center" wrapText="1"/>
    </xf>
    <xf numFmtId="4" fontId="4" fillId="7" borderId="60" xfId="1" applyNumberFormat="1" applyFont="1" applyFill="1" applyBorder="1" applyAlignment="1">
      <alignment horizontal="center" vertical="center" wrapText="1"/>
    </xf>
    <xf numFmtId="4" fontId="4" fillId="7" borderId="51" xfId="1" applyNumberFormat="1" applyFont="1" applyFill="1" applyBorder="1" applyAlignment="1">
      <alignment horizontal="center" vertical="center" wrapText="1"/>
    </xf>
    <xf numFmtId="49" fontId="1" fillId="0" borderId="61" xfId="1" applyNumberFormat="1" applyBorder="1" applyAlignment="1">
      <alignment horizontal="left" vertical="center" wrapText="1"/>
    </xf>
    <xf numFmtId="4" fontId="1" fillId="4" borderId="62" xfId="1" applyNumberFormat="1" applyFill="1" applyBorder="1" applyAlignment="1">
      <alignment horizontal="center" vertical="center" wrapText="1"/>
    </xf>
    <xf numFmtId="4" fontId="1" fillId="0" borderId="62" xfId="1" applyNumberFormat="1" applyBorder="1" applyAlignment="1">
      <alignment horizontal="center" vertical="center" wrapText="1"/>
    </xf>
    <xf numFmtId="49" fontId="4" fillId="6" borderId="18" xfId="1" applyNumberFormat="1" applyFont="1" applyFill="1" applyBorder="1" applyAlignment="1">
      <alignment horizontal="left" vertical="center" wrapText="1"/>
    </xf>
    <xf numFmtId="4" fontId="4" fillId="6" borderId="19" xfId="1" applyNumberFormat="1" applyFont="1" applyFill="1" applyBorder="1" applyAlignment="1">
      <alignment horizontal="center" vertical="center" wrapText="1"/>
    </xf>
    <xf numFmtId="4" fontId="4" fillId="6" borderId="22" xfId="1" applyNumberFormat="1" applyFont="1" applyFill="1" applyBorder="1" applyAlignment="1">
      <alignment horizontal="center" vertical="center" wrapText="1"/>
    </xf>
    <xf numFmtId="49" fontId="1" fillId="7" borderId="56" xfId="1" applyNumberFormat="1" applyFill="1" applyBorder="1" applyAlignment="1">
      <alignment vertical="center" wrapText="1"/>
    </xf>
    <xf numFmtId="0" fontId="7" fillId="7" borderId="14" xfId="1" applyFont="1" applyFill="1" applyBorder="1" applyAlignment="1">
      <alignment horizontal="left" vertical="center" wrapText="1"/>
    </xf>
    <xf numFmtId="0" fontId="1" fillId="7" borderId="14" xfId="1" applyFill="1" applyBorder="1" applyAlignment="1">
      <alignment horizontal="center" vertical="center" wrapText="1"/>
    </xf>
    <xf numFmtId="4" fontId="1" fillId="7" borderId="14" xfId="1" applyNumberFormat="1" applyFill="1" applyBorder="1" applyAlignment="1">
      <alignment horizontal="center" vertical="center" wrapText="1"/>
    </xf>
    <xf numFmtId="4" fontId="1" fillId="7" borderId="15" xfId="1" applyNumberFormat="1" applyFill="1" applyBorder="1" applyAlignment="1">
      <alignment horizontal="center" vertical="center" wrapText="1"/>
    </xf>
    <xf numFmtId="4" fontId="1" fillId="7" borderId="16" xfId="1" applyNumberFormat="1" applyFill="1" applyBorder="1" applyAlignment="1">
      <alignment horizontal="center" vertical="center" wrapText="1"/>
    </xf>
    <xf numFmtId="49" fontId="1" fillId="0" borderId="27" xfId="1" applyNumberFormat="1" applyBorder="1" applyAlignment="1">
      <alignment vertical="center" wrapText="1"/>
    </xf>
    <xf numFmtId="0" fontId="1" fillId="0" borderId="33" xfId="1" applyBorder="1" applyAlignment="1">
      <alignment horizontal="center" vertical="center" wrapText="1"/>
    </xf>
    <xf numFmtId="4" fontId="1" fillId="4" borderId="33" xfId="1" applyNumberFormat="1" applyFill="1" applyBorder="1" applyAlignment="1">
      <alignment horizontal="center" vertical="center" wrapText="1"/>
    </xf>
    <xf numFmtId="49" fontId="1" fillId="0" borderId="63" xfId="1" applyNumberFormat="1" applyBorder="1" applyAlignment="1">
      <alignment vertical="center" wrapText="1"/>
    </xf>
    <xf numFmtId="49" fontId="1" fillId="0" borderId="38" xfId="1" applyNumberFormat="1" applyBorder="1" applyAlignment="1">
      <alignment vertical="center" wrapText="1"/>
    </xf>
    <xf numFmtId="49" fontId="4" fillId="7" borderId="46" xfId="1" applyNumberFormat="1" applyFont="1" applyFill="1" applyBorder="1" applyAlignment="1">
      <alignment vertical="center" wrapText="1"/>
    </xf>
    <xf numFmtId="4" fontId="6" fillId="7" borderId="50" xfId="1" applyNumberFormat="1" applyFont="1" applyFill="1" applyBorder="1" applyAlignment="1">
      <alignment horizontal="left" vertical="center" wrapText="1"/>
    </xf>
    <xf numFmtId="0" fontId="4" fillId="7" borderId="24" xfId="1" applyFont="1" applyFill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4" fontId="1" fillId="4" borderId="28" xfId="1" applyNumberFormat="1" applyFill="1" applyBorder="1" applyAlignment="1">
      <alignment horizontal="center" vertical="center" wrapText="1"/>
    </xf>
    <xf numFmtId="4" fontId="1" fillId="0" borderId="64" xfId="1" applyNumberFormat="1" applyBorder="1" applyAlignment="1">
      <alignment horizontal="center" vertical="center" wrapText="1"/>
    </xf>
    <xf numFmtId="0" fontId="1" fillId="0" borderId="39" xfId="1" applyBorder="1" applyAlignment="1">
      <alignment horizontal="center" vertical="center" wrapText="1"/>
    </xf>
    <xf numFmtId="4" fontId="7" fillId="4" borderId="39" xfId="1" applyNumberFormat="1" applyFont="1" applyFill="1" applyBorder="1" applyAlignment="1">
      <alignment horizontal="center" vertical="center" wrapText="1"/>
    </xf>
    <xf numFmtId="4" fontId="7" fillId="0" borderId="65" xfId="1" applyNumberFormat="1" applyFont="1" applyBorder="1" applyAlignment="1">
      <alignment horizontal="center" vertical="center" wrapText="1"/>
    </xf>
    <xf numFmtId="4" fontId="7" fillId="0" borderId="41" xfId="1" applyNumberFormat="1" applyFont="1" applyBorder="1" applyAlignment="1">
      <alignment horizontal="left" vertical="center" wrapText="1"/>
    </xf>
    <xf numFmtId="4" fontId="7" fillId="0" borderId="40" xfId="1" applyNumberFormat="1" applyFont="1" applyBorder="1" applyAlignment="1">
      <alignment horizontal="left" vertical="center" wrapText="1"/>
    </xf>
    <xf numFmtId="0" fontId="11" fillId="7" borderId="47" xfId="1" applyFont="1" applyFill="1" applyBorder="1" applyAlignment="1">
      <alignment horizontal="left" vertical="center" wrapText="1"/>
    </xf>
    <xf numFmtId="0" fontId="4" fillId="7" borderId="47" xfId="1" applyFont="1" applyFill="1" applyBorder="1" applyAlignment="1">
      <alignment horizontal="center" vertical="center" wrapText="1"/>
    </xf>
    <xf numFmtId="4" fontId="6" fillId="7" borderId="47" xfId="1" applyNumberFormat="1" applyFont="1" applyFill="1" applyBorder="1" applyAlignment="1">
      <alignment horizontal="right" vertical="center" wrapText="1"/>
    </xf>
    <xf numFmtId="4" fontId="6" fillId="4" borderId="47" xfId="1" applyNumberFormat="1" applyFont="1" applyFill="1" applyBorder="1" applyAlignment="1">
      <alignment horizontal="right" vertical="center" wrapText="1"/>
    </xf>
    <xf numFmtId="4" fontId="6" fillId="7" borderId="48" xfId="1" applyNumberFormat="1" applyFont="1" applyFill="1" applyBorder="1" applyAlignment="1">
      <alignment horizontal="right" vertical="center" wrapText="1"/>
    </xf>
    <xf numFmtId="4" fontId="6" fillId="7" borderId="50" xfId="1" applyNumberFormat="1" applyFont="1" applyFill="1" applyBorder="1" applyAlignment="1">
      <alignment horizontal="right" vertical="center" wrapText="1"/>
    </xf>
    <xf numFmtId="4" fontId="6" fillId="7" borderId="66" xfId="1" applyNumberFormat="1" applyFont="1" applyFill="1" applyBorder="1" applyAlignment="1">
      <alignment horizontal="right" vertical="center" wrapText="1"/>
    </xf>
    <xf numFmtId="4" fontId="4" fillId="4" borderId="29" xfId="1" applyNumberFormat="1" applyFont="1" applyFill="1" applyBorder="1" applyAlignment="1">
      <alignment horizontal="center" vertical="center" wrapText="1"/>
    </xf>
    <xf numFmtId="4" fontId="6" fillId="7" borderId="51" xfId="1" applyNumberFormat="1" applyFont="1" applyFill="1" applyBorder="1" applyAlignment="1">
      <alignment horizontal="left" vertical="center" wrapText="1"/>
    </xf>
    <xf numFmtId="49" fontId="4" fillId="7" borderId="46" xfId="1" applyNumberFormat="1" applyFont="1" applyFill="1" applyBorder="1"/>
    <xf numFmtId="4" fontId="6" fillId="4" borderId="50" xfId="1" applyNumberFormat="1" applyFont="1" applyFill="1" applyBorder="1" applyAlignment="1">
      <alignment horizontal="center" vertical="center" wrapText="1"/>
    </xf>
    <xf numFmtId="49" fontId="4" fillId="7" borderId="67" xfId="1" applyNumberFormat="1" applyFont="1" applyFill="1" applyBorder="1"/>
    <xf numFmtId="0" fontId="6" fillId="7" borderId="68" xfId="1" applyFont="1" applyFill="1" applyBorder="1" applyAlignment="1">
      <alignment horizontal="left" vertical="center" wrapText="1"/>
    </xf>
    <xf numFmtId="0" fontId="4" fillId="7" borderId="68" xfId="1" applyFont="1" applyFill="1" applyBorder="1" applyAlignment="1">
      <alignment horizontal="center" vertical="center" wrapText="1"/>
    </xf>
    <xf numFmtId="4" fontId="6" fillId="7" borderId="68" xfId="1" applyNumberFormat="1" applyFont="1" applyFill="1" applyBorder="1" applyAlignment="1">
      <alignment horizontal="right" vertical="center" wrapText="1"/>
    </xf>
    <xf numFmtId="49" fontId="1" fillId="0" borderId="63" xfId="1" applyNumberFormat="1" applyFill="1" applyBorder="1"/>
    <xf numFmtId="0" fontId="7" fillId="0" borderId="33" xfId="1" applyFont="1" applyFill="1" applyBorder="1" applyAlignment="1">
      <alignment horizontal="left" vertical="center" wrapText="1"/>
    </xf>
    <xf numFmtId="0" fontId="1" fillId="0" borderId="33" xfId="1" applyFill="1" applyBorder="1" applyAlignment="1">
      <alignment horizontal="center" vertical="center" wrapText="1"/>
    </xf>
    <xf numFmtId="4" fontId="7" fillId="0" borderId="33" xfId="1" applyNumberFormat="1" applyFont="1" applyFill="1" applyBorder="1" applyAlignment="1">
      <alignment horizontal="right" vertical="center" wrapText="1"/>
    </xf>
    <xf numFmtId="4" fontId="7" fillId="4" borderId="33" xfId="1" applyNumberFormat="1" applyFont="1" applyFill="1" applyBorder="1" applyAlignment="1">
      <alignment horizontal="right" vertical="center" wrapText="1"/>
    </xf>
    <xf numFmtId="4" fontId="6" fillId="8" borderId="33" xfId="1" applyNumberFormat="1" applyFont="1" applyFill="1" applyBorder="1" applyAlignment="1">
      <alignment horizontal="right" vertical="center" wrapText="1"/>
    </xf>
    <xf numFmtId="4" fontId="6" fillId="8" borderId="50" xfId="1" applyNumberFormat="1" applyFont="1" applyFill="1" applyBorder="1" applyAlignment="1">
      <alignment horizontal="right" vertical="center" wrapText="1"/>
    </xf>
    <xf numFmtId="4" fontId="7" fillId="4" borderId="33" xfId="1" applyNumberFormat="1" applyFont="1" applyFill="1" applyBorder="1" applyAlignment="1">
      <alignment horizontal="center" vertical="center" wrapText="1"/>
    </xf>
    <xf numFmtId="4" fontId="7" fillId="0" borderId="33" xfId="1" applyNumberFormat="1" applyFont="1" applyFill="1" applyBorder="1" applyAlignment="1">
      <alignment horizontal="left" vertical="center" wrapText="1"/>
    </xf>
    <xf numFmtId="49" fontId="4" fillId="6" borderId="69" xfId="1" applyNumberFormat="1" applyFont="1" applyFill="1" applyBorder="1" applyAlignment="1">
      <alignment horizontal="left"/>
    </xf>
    <xf numFmtId="0" fontId="4" fillId="6" borderId="70" xfId="1" applyFont="1" applyFill="1" applyBorder="1" applyAlignment="1">
      <alignment horizontal="center" vertical="center" wrapText="1"/>
    </xf>
    <xf numFmtId="4" fontId="6" fillId="6" borderId="70" xfId="1" applyNumberFormat="1" applyFont="1" applyFill="1" applyBorder="1" applyAlignment="1">
      <alignment horizontal="right" vertical="center" wrapText="1"/>
    </xf>
    <xf numFmtId="4" fontId="6" fillId="6" borderId="71" xfId="1" applyNumberFormat="1" applyFont="1" applyFill="1" applyBorder="1" applyAlignment="1">
      <alignment horizontal="right" vertical="center" wrapText="1"/>
    </xf>
    <xf numFmtId="49" fontId="4" fillId="7" borderId="61" xfId="1" applyNumberFormat="1" applyFont="1" applyFill="1" applyBorder="1" applyAlignment="1">
      <alignment vertical="center" wrapText="1"/>
    </xf>
    <xf numFmtId="0" fontId="6" fillId="7" borderId="72" xfId="1" applyFont="1" applyFill="1" applyBorder="1" applyAlignment="1">
      <alignment horizontal="left" vertical="center" wrapText="1"/>
    </xf>
    <xf numFmtId="0" fontId="6" fillId="7" borderId="72" xfId="1" applyFont="1" applyFill="1" applyBorder="1" applyAlignment="1">
      <alignment horizontal="center" vertical="center" wrapText="1"/>
    </xf>
    <xf numFmtId="4" fontId="6" fillId="7" borderId="72" xfId="1" applyNumberFormat="1" applyFont="1" applyFill="1" applyBorder="1" applyAlignment="1">
      <alignment horizontal="right" vertical="center" wrapText="1"/>
    </xf>
    <xf numFmtId="4" fontId="4" fillId="4" borderId="34" xfId="1" applyNumberFormat="1" applyFont="1" applyFill="1" applyBorder="1"/>
    <xf numFmtId="4" fontId="4" fillId="7" borderId="35" xfId="1" applyNumberFormat="1" applyFont="1" applyFill="1" applyBorder="1"/>
    <xf numFmtId="4" fontId="4" fillId="7" borderId="34" xfId="1" applyNumberFormat="1" applyFont="1" applyFill="1" applyBorder="1"/>
    <xf numFmtId="4" fontId="6" fillId="7" borderId="73" xfId="1" applyNumberFormat="1" applyFont="1" applyFill="1" applyBorder="1" applyAlignment="1">
      <alignment horizontal="right" vertical="center" wrapText="1"/>
    </xf>
    <xf numFmtId="49" fontId="4" fillId="6" borderId="18" xfId="1" applyNumberFormat="1" applyFont="1" applyFill="1" applyBorder="1" applyAlignment="1">
      <alignment horizontal="left"/>
    </xf>
    <xf numFmtId="4" fontId="6" fillId="6" borderId="19" xfId="1" applyNumberFormat="1" applyFont="1" applyFill="1" applyBorder="1" applyAlignment="1">
      <alignment horizontal="right" vertical="center" wrapText="1"/>
    </xf>
    <xf numFmtId="4" fontId="6" fillId="4" borderId="19" xfId="1" applyNumberFormat="1" applyFont="1" applyFill="1" applyBorder="1" applyAlignment="1">
      <alignment horizontal="right" vertical="center" wrapText="1"/>
    </xf>
    <xf numFmtId="4" fontId="6" fillId="6" borderId="20" xfId="1" applyNumberFormat="1" applyFont="1" applyFill="1" applyBorder="1" applyAlignment="1">
      <alignment horizontal="right" vertical="center" wrapText="1"/>
    </xf>
    <xf numFmtId="4" fontId="6" fillId="6" borderId="22" xfId="1" applyNumberFormat="1" applyFont="1" applyFill="1" applyBorder="1" applyAlignment="1">
      <alignment horizontal="right" vertical="center" wrapText="1"/>
    </xf>
    <xf numFmtId="0" fontId="11" fillId="7" borderId="72" xfId="1" applyFont="1" applyFill="1" applyBorder="1" applyAlignment="1">
      <alignment horizontal="left" vertical="center" wrapText="1"/>
    </xf>
    <xf numFmtId="4" fontId="6" fillId="7" borderId="72" xfId="1" applyNumberFormat="1" applyFont="1" applyFill="1" applyBorder="1" applyAlignment="1">
      <alignment horizontal="center" vertical="center" wrapText="1"/>
    </xf>
    <xf numFmtId="4" fontId="6" fillId="4" borderId="7" xfId="1" applyNumberFormat="1" applyFont="1" applyFill="1" applyBorder="1" applyAlignment="1">
      <alignment horizontal="center" vertical="center" wrapText="1"/>
    </xf>
    <xf numFmtId="4" fontId="6" fillId="7" borderId="0" xfId="1" applyNumberFormat="1" applyFont="1" applyFill="1" applyBorder="1" applyAlignment="1">
      <alignment horizontal="center" vertical="center" wrapText="1"/>
    </xf>
    <xf numFmtId="4" fontId="6" fillId="7" borderId="7" xfId="1" applyNumberFormat="1" applyFont="1" applyFill="1" applyBorder="1" applyAlignment="1">
      <alignment horizontal="center" vertical="center" wrapText="1"/>
    </xf>
    <xf numFmtId="4" fontId="6" fillId="7" borderId="73" xfId="1" applyNumberFormat="1" applyFont="1" applyFill="1" applyBorder="1" applyAlignment="1">
      <alignment horizontal="center" vertical="center" wrapText="1"/>
    </xf>
    <xf numFmtId="49" fontId="4" fillId="6" borderId="3" xfId="1" applyNumberFormat="1" applyFont="1" applyFill="1" applyBorder="1" applyAlignment="1">
      <alignment horizontal="left" vertical="center"/>
    </xf>
    <xf numFmtId="0" fontId="4" fillId="6" borderId="11" xfId="1" applyFont="1" applyFill="1" applyBorder="1" applyAlignment="1">
      <alignment horizontal="center" vertical="center" wrapText="1"/>
    </xf>
    <xf numFmtId="0" fontId="6" fillId="6" borderId="21" xfId="1" applyFont="1" applyFill="1" applyBorder="1" applyAlignment="1">
      <alignment horizontal="center" vertical="center" wrapText="1"/>
    </xf>
    <xf numFmtId="4" fontId="6" fillId="6" borderId="19" xfId="1" applyNumberFormat="1" applyFont="1" applyFill="1" applyBorder="1" applyAlignment="1">
      <alignment horizontal="center" vertical="center" wrapText="1"/>
    </xf>
    <xf numFmtId="4" fontId="6" fillId="4" borderId="19" xfId="1" applyNumberFormat="1" applyFont="1" applyFill="1" applyBorder="1" applyAlignment="1">
      <alignment horizontal="center" vertical="center" wrapText="1"/>
    </xf>
    <xf numFmtId="4" fontId="6" fillId="6" borderId="20" xfId="1" applyNumberFormat="1" applyFont="1" applyFill="1" applyBorder="1" applyAlignment="1">
      <alignment horizontal="center" vertical="center" wrapText="1"/>
    </xf>
    <xf numFmtId="4" fontId="6" fillId="4" borderId="11" xfId="1" applyNumberFormat="1" applyFont="1" applyFill="1" applyBorder="1" applyAlignment="1">
      <alignment horizontal="center" vertical="center" wrapText="1"/>
    </xf>
    <xf numFmtId="4" fontId="6" fillId="6" borderId="4" xfId="1" applyNumberFormat="1" applyFont="1" applyFill="1" applyBorder="1" applyAlignment="1">
      <alignment horizontal="center" vertical="center" wrapText="1"/>
    </xf>
    <xf numFmtId="4" fontId="6" fillId="6" borderId="11" xfId="1" applyNumberFormat="1" applyFont="1" applyFill="1" applyBorder="1" applyAlignment="1">
      <alignment horizontal="center" vertical="center" wrapText="1"/>
    </xf>
    <xf numFmtId="4" fontId="6" fillId="6" borderId="22" xfId="1" applyNumberFormat="1" applyFont="1" applyFill="1" applyBorder="1" applyAlignment="1">
      <alignment horizontal="center" vertical="center" wrapText="1"/>
    </xf>
    <xf numFmtId="49" fontId="4" fillId="7" borderId="56" xfId="1" applyNumberFormat="1" applyFont="1" applyFill="1" applyBorder="1"/>
    <xf numFmtId="0" fontId="4" fillId="7" borderId="57" xfId="1" applyFont="1" applyFill="1" applyBorder="1" applyAlignment="1">
      <alignment horizontal="center"/>
    </xf>
    <xf numFmtId="4" fontId="4" fillId="7" borderId="57" xfId="1" applyNumberFormat="1" applyFont="1" applyFill="1" applyBorder="1" applyAlignment="1">
      <alignment horizontal="center"/>
    </xf>
    <xf numFmtId="4" fontId="4" fillId="4" borderId="57" xfId="1" applyNumberFormat="1" applyFont="1" applyFill="1" applyBorder="1" applyAlignment="1">
      <alignment horizontal="center"/>
    </xf>
    <xf numFmtId="4" fontId="4" fillId="7" borderId="74" xfId="1" applyNumberFormat="1" applyFont="1" applyFill="1" applyBorder="1" applyAlignment="1">
      <alignment horizontal="center"/>
    </xf>
    <xf numFmtId="4" fontId="4" fillId="7" borderId="58" xfId="1" applyNumberFormat="1" applyFont="1" applyFill="1" applyBorder="1" applyAlignment="1">
      <alignment horizontal="center"/>
    </xf>
    <xf numFmtId="4" fontId="4" fillId="4" borderId="58" xfId="1" applyNumberFormat="1" applyFont="1" applyFill="1" applyBorder="1" applyAlignment="1">
      <alignment horizontal="center"/>
    </xf>
    <xf numFmtId="4" fontId="4" fillId="7" borderId="59" xfId="1" applyNumberFormat="1" applyFont="1" applyFill="1" applyBorder="1" applyAlignment="1">
      <alignment horizontal="center"/>
    </xf>
    <xf numFmtId="0" fontId="4" fillId="7" borderId="47" xfId="1" applyFont="1" applyFill="1" applyBorder="1" applyAlignment="1">
      <alignment horizontal="center"/>
    </xf>
    <xf numFmtId="49" fontId="4" fillId="7" borderId="75" xfId="1" applyNumberFormat="1" applyFont="1" applyFill="1" applyBorder="1"/>
    <xf numFmtId="0" fontId="4" fillId="7" borderId="72" xfId="1" applyFont="1" applyFill="1" applyBorder="1" applyAlignment="1">
      <alignment horizontal="center"/>
    </xf>
    <xf numFmtId="49" fontId="4" fillId="6" borderId="3" xfId="1" applyNumberFormat="1" applyFont="1" applyFill="1" applyBorder="1"/>
    <xf numFmtId="0" fontId="4" fillId="6" borderId="21" xfId="1" applyFont="1" applyFill="1" applyBorder="1" applyAlignment="1">
      <alignment horizontal="center" vertical="center"/>
    </xf>
    <xf numFmtId="4" fontId="4" fillId="6" borderId="19" xfId="1" applyNumberFormat="1" applyFont="1" applyFill="1" applyBorder="1" applyAlignment="1">
      <alignment horizontal="center" vertical="center"/>
    </xf>
    <xf numFmtId="4" fontId="4" fillId="4" borderId="19" xfId="1" applyNumberFormat="1" applyFont="1" applyFill="1" applyBorder="1" applyAlignment="1">
      <alignment horizontal="center" vertical="center"/>
    </xf>
    <xf numFmtId="4" fontId="4" fillId="6" borderId="20" xfId="1" applyNumberFormat="1" applyFont="1" applyFill="1" applyBorder="1" applyAlignment="1">
      <alignment horizontal="center" vertical="center"/>
    </xf>
    <xf numFmtId="4" fontId="4" fillId="6" borderId="22" xfId="1" applyNumberFormat="1" applyFont="1" applyFill="1" applyBorder="1" applyAlignment="1">
      <alignment horizontal="center" vertical="center"/>
    </xf>
    <xf numFmtId="0" fontId="6" fillId="7" borderId="47" xfId="1" applyFont="1" applyFill="1" applyBorder="1"/>
    <xf numFmtId="4" fontId="4" fillId="7" borderId="47" xfId="1" applyNumberFormat="1" applyFont="1" applyFill="1" applyBorder="1" applyAlignment="1">
      <alignment horizontal="center"/>
    </xf>
    <xf numFmtId="4" fontId="4" fillId="4" borderId="50" xfId="1" applyNumberFormat="1" applyFont="1" applyFill="1" applyBorder="1" applyAlignment="1">
      <alignment horizontal="center"/>
    </xf>
    <xf numFmtId="4" fontId="4" fillId="7" borderId="51" xfId="1" applyNumberFormat="1" applyFont="1" applyFill="1" applyBorder="1" applyAlignment="1">
      <alignment horizontal="center"/>
    </xf>
    <xf numFmtId="4" fontId="4" fillId="7" borderId="50" xfId="1" applyNumberFormat="1" applyFont="1" applyFill="1" applyBorder="1" applyAlignment="1">
      <alignment horizontal="center"/>
    </xf>
    <xf numFmtId="4" fontId="4" fillId="7" borderId="49" xfId="1" applyNumberFormat="1" applyFont="1" applyFill="1" applyBorder="1" applyAlignment="1">
      <alignment horizontal="center"/>
    </xf>
    <xf numFmtId="0" fontId="6" fillId="7" borderId="47" xfId="1" applyFont="1" applyFill="1" applyBorder="1" applyAlignment="1">
      <alignment vertical="center" wrapText="1"/>
    </xf>
    <xf numFmtId="49" fontId="4" fillId="7" borderId="75" xfId="1" applyNumberFormat="1" applyFont="1" applyFill="1" applyBorder="1" applyAlignment="1">
      <alignment vertical="center" wrapText="1"/>
    </xf>
    <xf numFmtId="0" fontId="5" fillId="7" borderId="72" xfId="1" applyFont="1" applyFill="1" applyBorder="1" applyAlignment="1">
      <alignment vertical="center" wrapText="1"/>
    </xf>
    <xf numFmtId="49" fontId="4" fillId="7" borderId="72" xfId="1" applyNumberFormat="1" applyFont="1" applyFill="1" applyBorder="1" applyAlignment="1">
      <alignment horizontal="center" vertical="center" wrapText="1"/>
    </xf>
    <xf numFmtId="49" fontId="4" fillId="3" borderId="13" xfId="1" applyNumberFormat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vertical="center" wrapText="1"/>
    </xf>
    <xf numFmtId="49" fontId="4" fillId="7" borderId="11" xfId="1" applyNumberFormat="1" applyFont="1" applyFill="1" applyBorder="1" applyAlignment="1">
      <alignment horizontal="center" vertical="center" wrapText="1"/>
    </xf>
    <xf numFmtId="164" fontId="4" fillId="3" borderId="21" xfId="2" applyFont="1" applyFill="1" applyBorder="1" applyAlignment="1">
      <alignment vertical="center" wrapText="1"/>
    </xf>
    <xf numFmtId="164" fontId="4" fillId="3" borderId="19" xfId="2" applyFont="1" applyFill="1" applyBorder="1" applyAlignment="1">
      <alignment vertical="center" wrapText="1"/>
    </xf>
    <xf numFmtId="164" fontId="4" fillId="3" borderId="4" xfId="2" applyFont="1" applyFill="1" applyBorder="1" applyAlignment="1">
      <alignment horizontal="right" vertical="center" wrapText="1"/>
    </xf>
    <xf numFmtId="164" fontId="4" fillId="3" borderId="5" xfId="2" applyFont="1" applyFill="1" applyBorder="1" applyAlignment="1">
      <alignment horizontal="right" vertical="center" wrapText="1"/>
    </xf>
    <xf numFmtId="164" fontId="4" fillId="3" borderId="22" xfId="2" applyFont="1" applyFill="1" applyBorder="1" applyAlignment="1">
      <alignment vertical="center" wrapText="1"/>
    </xf>
    <xf numFmtId="49" fontId="4" fillId="3" borderId="69" xfId="1" applyNumberFormat="1" applyFont="1" applyFill="1" applyBorder="1" applyAlignment="1">
      <alignment horizontal="center" vertical="center" wrapText="1"/>
    </xf>
    <xf numFmtId="49" fontId="4" fillId="3" borderId="69" xfId="1" applyNumberFormat="1" applyFont="1" applyFill="1" applyBorder="1" applyAlignment="1">
      <alignment horizontal="center" vertical="center" wrapText="1"/>
    </xf>
    <xf numFmtId="49" fontId="4" fillId="7" borderId="4" xfId="1" applyNumberFormat="1" applyFont="1" applyFill="1" applyBorder="1" applyAlignment="1">
      <alignment horizontal="center" vertical="center" wrapText="1"/>
    </xf>
    <xf numFmtId="49" fontId="4" fillId="0" borderId="18" xfId="1" applyNumberFormat="1" applyFont="1" applyFill="1" applyBorder="1" applyAlignment="1">
      <alignment vertical="center" wrapText="1"/>
    </xf>
    <xf numFmtId="0" fontId="13" fillId="0" borderId="19" xfId="1" applyFont="1" applyFill="1" applyBorder="1" applyAlignment="1">
      <alignment vertical="center" wrapText="1"/>
    </xf>
    <xf numFmtId="49" fontId="4" fillId="0" borderId="19" xfId="1" applyNumberFormat="1" applyFont="1" applyFill="1" applyBorder="1" applyAlignment="1">
      <alignment horizontal="center" vertical="center" wrapText="1"/>
    </xf>
    <xf numFmtId="4" fontId="4" fillId="0" borderId="19" xfId="1" applyNumberFormat="1" applyFont="1" applyFill="1" applyBorder="1" applyAlignment="1">
      <alignment horizontal="center"/>
    </xf>
    <xf numFmtId="4" fontId="4" fillId="0" borderId="22" xfId="1" applyNumberFormat="1" applyFont="1" applyFill="1" applyBorder="1" applyAlignment="1">
      <alignment horizontal="center"/>
    </xf>
    <xf numFmtId="0" fontId="4" fillId="6" borderId="70" xfId="1" applyFont="1" applyFill="1" applyBorder="1" applyAlignment="1">
      <alignment horizontal="center"/>
    </xf>
    <xf numFmtId="4" fontId="4" fillId="6" borderId="70" xfId="1" applyNumberFormat="1" applyFont="1" applyFill="1" applyBorder="1" applyAlignment="1">
      <alignment horizontal="center"/>
    </xf>
    <xf numFmtId="4" fontId="4" fillId="4" borderId="10" xfId="1" applyNumberFormat="1" applyFont="1" applyFill="1" applyBorder="1" applyAlignment="1">
      <alignment horizontal="center"/>
    </xf>
    <xf numFmtId="4" fontId="4" fillId="6" borderId="76" xfId="1" applyNumberFormat="1" applyFont="1" applyFill="1" applyBorder="1" applyAlignment="1">
      <alignment horizontal="center"/>
    </xf>
    <xf numFmtId="4" fontId="4" fillId="6" borderId="71" xfId="1" applyNumberFormat="1" applyFont="1" applyFill="1" applyBorder="1" applyAlignment="1">
      <alignment horizontal="center"/>
    </xf>
    <xf numFmtId="49" fontId="4" fillId="6" borderId="75" xfId="1" applyNumberFormat="1" applyFont="1" applyFill="1" applyBorder="1" applyAlignment="1">
      <alignment horizontal="left"/>
    </xf>
    <xf numFmtId="0" fontId="4" fillId="6" borderId="72" xfId="1" applyFont="1" applyFill="1" applyBorder="1" applyAlignment="1">
      <alignment horizontal="center"/>
    </xf>
    <xf numFmtId="4" fontId="4" fillId="6" borderId="72" xfId="1" applyNumberFormat="1" applyFont="1" applyFill="1" applyBorder="1" applyAlignment="1">
      <alignment horizontal="center"/>
    </xf>
    <xf numFmtId="4" fontId="4" fillId="4" borderId="7" xfId="1" applyNumberFormat="1" applyFont="1" applyFill="1" applyBorder="1" applyAlignment="1">
      <alignment horizontal="center"/>
    </xf>
    <xf numFmtId="4" fontId="4" fillId="6" borderId="0" xfId="1" applyNumberFormat="1" applyFont="1" applyFill="1" applyBorder="1" applyAlignment="1">
      <alignment horizontal="center"/>
    </xf>
    <xf numFmtId="4" fontId="4" fillId="6" borderId="17" xfId="1" applyNumberFormat="1" applyFont="1" applyFill="1" applyBorder="1" applyAlignment="1">
      <alignment horizontal="center"/>
    </xf>
    <xf numFmtId="4" fontId="4" fillId="6" borderId="73" xfId="1" applyNumberFormat="1" applyFont="1" applyFill="1" applyBorder="1" applyAlignment="1">
      <alignment horizontal="center"/>
    </xf>
    <xf numFmtId="49" fontId="4" fillId="7" borderId="13" xfId="1" applyNumberFormat="1" applyFont="1" applyFill="1" applyBorder="1" applyAlignment="1">
      <alignment horizontal="left"/>
    </xf>
    <xf numFmtId="0" fontId="4" fillId="7" borderId="14" xfId="1" applyFont="1" applyFill="1" applyBorder="1" applyAlignment="1">
      <alignment horizontal="left"/>
    </xf>
    <xf numFmtId="0" fontId="4" fillId="7" borderId="14" xfId="1" applyFont="1" applyFill="1" applyBorder="1" applyAlignment="1">
      <alignment horizontal="center"/>
    </xf>
    <xf numFmtId="4" fontId="4" fillId="7" borderId="14" xfId="1" applyNumberFormat="1" applyFont="1" applyFill="1" applyBorder="1" applyAlignment="1">
      <alignment horizontal="center"/>
    </xf>
    <xf numFmtId="4" fontId="4" fillId="7" borderId="15" xfId="1" applyNumberFormat="1" applyFont="1" applyFill="1" applyBorder="1" applyAlignment="1">
      <alignment horizontal="center"/>
    </xf>
    <xf numFmtId="4" fontId="4" fillId="7" borderId="2" xfId="1" applyNumberFormat="1" applyFont="1" applyFill="1" applyBorder="1" applyAlignment="1">
      <alignment horizontal="center"/>
    </xf>
    <xf numFmtId="4" fontId="4" fillId="7" borderId="77" xfId="1" applyNumberFormat="1" applyFont="1" applyFill="1" applyBorder="1" applyAlignment="1">
      <alignment horizontal="center"/>
    </xf>
    <xf numFmtId="4" fontId="4" fillId="4" borderId="2" xfId="1" applyNumberFormat="1" applyFont="1" applyFill="1" applyBorder="1" applyAlignment="1">
      <alignment horizontal="center"/>
    </xf>
    <xf numFmtId="4" fontId="4" fillId="7" borderId="8" xfId="1" applyNumberFormat="1" applyFont="1" applyFill="1" applyBorder="1" applyAlignment="1">
      <alignment horizontal="center"/>
    </xf>
    <xf numFmtId="49" fontId="4" fillId="9" borderId="56" xfId="1" applyNumberFormat="1" applyFont="1" applyFill="1" applyBorder="1" applyAlignment="1">
      <alignment vertical="center" wrapText="1"/>
    </xf>
    <xf numFmtId="0" fontId="6" fillId="9" borderId="57" xfId="1" applyFont="1" applyFill="1" applyBorder="1" applyAlignment="1">
      <alignment vertical="center" wrapText="1"/>
    </xf>
    <xf numFmtId="0" fontId="4" fillId="9" borderId="57" xfId="1" applyFont="1" applyFill="1" applyBorder="1" applyAlignment="1">
      <alignment horizontal="center"/>
    </xf>
    <xf numFmtId="4" fontId="4" fillId="9" borderId="57" xfId="1" applyNumberFormat="1" applyFont="1" applyFill="1" applyBorder="1"/>
    <xf numFmtId="4" fontId="4" fillId="9" borderId="74" xfId="1" applyNumberFormat="1" applyFont="1" applyFill="1" applyBorder="1"/>
    <xf numFmtId="4" fontId="4" fillId="4" borderId="58" xfId="1" applyNumberFormat="1" applyFont="1" applyFill="1" applyBorder="1"/>
    <xf numFmtId="4" fontId="4" fillId="7" borderId="59" xfId="1" applyNumberFormat="1" applyFont="1" applyFill="1" applyBorder="1"/>
    <xf numFmtId="4" fontId="4" fillId="7" borderId="58" xfId="1" applyNumberFormat="1" applyFont="1" applyFill="1" applyBorder="1"/>
    <xf numFmtId="4" fontId="4" fillId="9" borderId="60" xfId="1" applyNumberFormat="1" applyFont="1" applyFill="1" applyBorder="1"/>
    <xf numFmtId="4" fontId="4" fillId="7" borderId="47" xfId="1" applyNumberFormat="1" applyFont="1" applyFill="1" applyBorder="1"/>
    <xf numFmtId="4" fontId="4" fillId="4" borderId="50" xfId="1" applyNumberFormat="1" applyFont="1" applyFill="1" applyBorder="1"/>
    <xf numFmtId="4" fontId="4" fillId="7" borderId="51" xfId="1" applyNumberFormat="1" applyFont="1" applyFill="1" applyBorder="1"/>
    <xf numFmtId="4" fontId="4" fillId="7" borderId="50" xfId="1" applyNumberFormat="1" applyFont="1" applyFill="1" applyBorder="1"/>
    <xf numFmtId="4" fontId="4" fillId="7" borderId="49" xfId="1" applyNumberFormat="1" applyFont="1" applyFill="1" applyBorder="1"/>
    <xf numFmtId="49" fontId="4" fillId="7" borderId="46" xfId="1" applyNumberFormat="1" applyFont="1" applyFill="1" applyBorder="1" applyAlignment="1">
      <alignment vertical="center"/>
    </xf>
    <xf numFmtId="49" fontId="6" fillId="7" borderId="47" xfId="1" applyNumberFormat="1" applyFont="1" applyFill="1" applyBorder="1" applyAlignment="1">
      <alignment vertical="center" wrapText="1"/>
    </xf>
    <xf numFmtId="0" fontId="4" fillId="7" borderId="47" xfId="1" applyFont="1" applyFill="1" applyBorder="1" applyAlignment="1">
      <alignment horizontal="center" vertical="center"/>
    </xf>
    <xf numFmtId="164" fontId="4" fillId="7" borderId="47" xfId="2" applyFont="1" applyFill="1" applyBorder="1" applyAlignment="1"/>
    <xf numFmtId="164" fontId="4" fillId="7" borderId="49" xfId="2" applyFont="1" applyFill="1" applyBorder="1" applyAlignment="1"/>
    <xf numFmtId="164" fontId="4" fillId="7" borderId="49" xfId="2" applyFont="1" applyFill="1" applyBorder="1" applyAlignment="1">
      <alignment horizontal="right"/>
    </xf>
    <xf numFmtId="4" fontId="4" fillId="4" borderId="47" xfId="1" applyNumberFormat="1" applyFont="1" applyFill="1" applyBorder="1"/>
    <xf numFmtId="4" fontId="4" fillId="7" borderId="48" xfId="1" applyNumberFormat="1" applyFont="1" applyFill="1" applyBorder="1"/>
    <xf numFmtId="4" fontId="4" fillId="7" borderId="66" xfId="1" applyNumberFormat="1" applyFont="1" applyFill="1" applyBorder="1"/>
    <xf numFmtId="0" fontId="6" fillId="7" borderId="72" xfId="1" applyFont="1" applyFill="1" applyBorder="1" applyAlignment="1">
      <alignment vertical="center" wrapText="1"/>
    </xf>
    <xf numFmtId="0" fontId="4" fillId="7" borderId="72" xfId="1" applyFont="1" applyFill="1" applyBorder="1" applyAlignment="1">
      <alignment horizontal="center" vertical="center"/>
    </xf>
    <xf numFmtId="4" fontId="4" fillId="7" borderId="72" xfId="1" applyNumberFormat="1" applyFont="1" applyFill="1" applyBorder="1"/>
    <xf numFmtId="4" fontId="4" fillId="4" borderId="7" xfId="1" applyNumberFormat="1" applyFont="1" applyFill="1" applyBorder="1"/>
    <xf numFmtId="4" fontId="4" fillId="7" borderId="1" xfId="1" applyNumberFormat="1" applyFont="1" applyFill="1" applyBorder="1"/>
    <xf numFmtId="4" fontId="4" fillId="7" borderId="10" xfId="1" applyNumberFormat="1" applyFont="1" applyFill="1" applyBorder="1"/>
    <xf numFmtId="4" fontId="4" fillId="7" borderId="73" xfId="1" applyNumberFormat="1" applyFont="1" applyFill="1" applyBorder="1"/>
    <xf numFmtId="49" fontId="4" fillId="6" borderId="18" xfId="1" applyNumberFormat="1" applyFont="1" applyFill="1" applyBorder="1" applyAlignment="1">
      <alignment vertical="center" wrapText="1"/>
    </xf>
    <xf numFmtId="0" fontId="6" fillId="6" borderId="19" xfId="1" applyFont="1" applyFill="1" applyBorder="1" applyAlignment="1">
      <alignment vertical="center" wrapText="1"/>
    </xf>
    <xf numFmtId="0" fontId="4" fillId="6" borderId="19" xfId="1" applyFont="1" applyFill="1" applyBorder="1" applyAlignment="1">
      <alignment horizontal="center" vertical="center"/>
    </xf>
    <xf numFmtId="4" fontId="4" fillId="6" borderId="19" xfId="1" applyNumberFormat="1" applyFont="1" applyFill="1" applyBorder="1"/>
    <xf numFmtId="4" fontId="4" fillId="4" borderId="11" xfId="1" applyNumberFormat="1" applyFont="1" applyFill="1" applyBorder="1"/>
    <xf numFmtId="4" fontId="4" fillId="6" borderId="4" xfId="1" applyNumberFormat="1" applyFont="1" applyFill="1" applyBorder="1"/>
    <xf numFmtId="4" fontId="4" fillId="6" borderId="11" xfId="1" applyNumberFormat="1" applyFont="1" applyFill="1" applyBorder="1"/>
    <xf numFmtId="4" fontId="4" fillId="6" borderId="22" xfId="1" applyNumberFormat="1" applyFont="1" applyFill="1" applyBorder="1"/>
    <xf numFmtId="49" fontId="4" fillId="7" borderId="56" xfId="1" applyNumberFormat="1" applyFont="1" applyFill="1" applyBorder="1" applyAlignment="1">
      <alignment vertical="center" wrapText="1"/>
    </xf>
    <xf numFmtId="0" fontId="6" fillId="7" borderId="57" xfId="1" applyFont="1" applyFill="1" applyBorder="1" applyAlignment="1">
      <alignment vertical="center" wrapText="1"/>
    </xf>
    <xf numFmtId="0" fontId="4" fillId="7" borderId="57" xfId="1" applyFont="1" applyFill="1" applyBorder="1" applyAlignment="1">
      <alignment horizontal="center" vertical="center"/>
    </xf>
    <xf numFmtId="4" fontId="4" fillId="7" borderId="57" xfId="1" applyNumberFormat="1" applyFont="1" applyFill="1" applyBorder="1"/>
    <xf numFmtId="4" fontId="4" fillId="4" borderId="57" xfId="1" applyNumberFormat="1" applyFont="1" applyFill="1" applyBorder="1"/>
    <xf numFmtId="4" fontId="4" fillId="7" borderId="74" xfId="1" applyNumberFormat="1" applyFont="1" applyFill="1" applyBorder="1"/>
    <xf numFmtId="4" fontId="4" fillId="7" borderId="78" xfId="1" applyNumberFormat="1" applyFont="1" applyFill="1" applyBorder="1"/>
    <xf numFmtId="4" fontId="4" fillId="7" borderId="79" xfId="1" applyNumberFormat="1" applyFont="1" applyFill="1" applyBorder="1"/>
    <xf numFmtId="49" fontId="4" fillId="7" borderId="67" xfId="1" applyNumberFormat="1" applyFont="1" applyFill="1" applyBorder="1" applyAlignment="1">
      <alignment vertical="center" wrapText="1"/>
    </xf>
    <xf numFmtId="0" fontId="6" fillId="7" borderId="68" xfId="1" applyFont="1" applyFill="1" applyBorder="1" applyAlignment="1">
      <alignment vertical="center" wrapText="1"/>
    </xf>
    <xf numFmtId="0" fontId="4" fillId="7" borderId="68" xfId="1" applyFont="1" applyFill="1" applyBorder="1" applyAlignment="1">
      <alignment horizontal="center" vertical="center"/>
    </xf>
    <xf numFmtId="4" fontId="4" fillId="7" borderId="68" xfId="1" applyNumberFormat="1" applyFont="1" applyFill="1" applyBorder="1"/>
    <xf numFmtId="4" fontId="4" fillId="4" borderId="68" xfId="1" applyNumberFormat="1" applyFont="1" applyFill="1" applyBorder="1"/>
    <xf numFmtId="4" fontId="4" fillId="7" borderId="80" xfId="1" applyNumberFormat="1" applyFont="1" applyFill="1" applyBorder="1"/>
    <xf numFmtId="4" fontId="4" fillId="7" borderId="81" xfId="1" applyNumberFormat="1" applyFont="1" applyFill="1" applyBorder="1"/>
    <xf numFmtId="4" fontId="4" fillId="7" borderId="82" xfId="1" applyNumberFormat="1" applyFont="1" applyFill="1" applyBorder="1"/>
    <xf numFmtId="4" fontId="4" fillId="4" borderId="81" xfId="1" applyNumberFormat="1" applyFont="1" applyFill="1" applyBorder="1"/>
    <xf numFmtId="4" fontId="4" fillId="7" borderId="83" xfId="1" applyNumberFormat="1" applyFont="1" applyFill="1" applyBorder="1"/>
    <xf numFmtId="49" fontId="4" fillId="7" borderId="63" xfId="1" applyNumberFormat="1" applyFont="1" applyFill="1" applyBorder="1" applyAlignment="1">
      <alignment vertical="center" wrapText="1"/>
    </xf>
    <xf numFmtId="0" fontId="6" fillId="7" borderId="33" xfId="1" applyFont="1" applyFill="1" applyBorder="1" applyAlignment="1">
      <alignment vertical="center" wrapText="1"/>
    </xf>
    <xf numFmtId="0" fontId="4" fillId="7" borderId="33" xfId="1" applyFont="1" applyFill="1" applyBorder="1" applyAlignment="1">
      <alignment horizontal="center" vertical="center"/>
    </xf>
    <xf numFmtId="4" fontId="4" fillId="7" borderId="33" xfId="1" applyNumberFormat="1" applyFont="1" applyFill="1" applyBorder="1"/>
    <xf numFmtId="4" fontId="4" fillId="4" borderId="33" xfId="1" applyNumberFormat="1" applyFont="1" applyFill="1" applyBorder="1"/>
    <xf numFmtId="4" fontId="4" fillId="7" borderId="37" xfId="1" applyNumberFormat="1" applyFont="1" applyFill="1" applyBorder="1"/>
    <xf numFmtId="0" fontId="6" fillId="7" borderId="52" xfId="1" applyFont="1" applyFill="1" applyBorder="1" applyAlignment="1">
      <alignment vertical="center" wrapText="1"/>
    </xf>
    <xf numFmtId="0" fontId="4" fillId="7" borderId="52" xfId="1" applyFont="1" applyFill="1" applyBorder="1" applyAlignment="1">
      <alignment horizontal="center" vertical="center"/>
    </xf>
    <xf numFmtId="4" fontId="4" fillId="7" borderId="52" xfId="1" applyNumberFormat="1" applyFont="1" applyFill="1" applyBorder="1"/>
    <xf numFmtId="4" fontId="4" fillId="4" borderId="52" xfId="1" applyNumberFormat="1" applyFont="1" applyFill="1" applyBorder="1"/>
    <xf numFmtId="4" fontId="4" fillId="7" borderId="55" xfId="1" applyNumberFormat="1" applyFont="1" applyFill="1" applyBorder="1"/>
    <xf numFmtId="49" fontId="4" fillId="0" borderId="18" xfId="1" applyNumberFormat="1" applyFont="1" applyFill="1" applyBorder="1"/>
    <xf numFmtId="0" fontId="4" fillId="10" borderId="19" xfId="1" applyFont="1" applyFill="1" applyBorder="1" applyAlignment="1">
      <alignment horizontal="center"/>
    </xf>
    <xf numFmtId="0" fontId="4" fillId="0" borderId="19" xfId="1" applyFont="1" applyFill="1" applyBorder="1" applyAlignment="1">
      <alignment horizontal="center" vertical="center"/>
    </xf>
    <xf numFmtId="4" fontId="4" fillId="0" borderId="19" xfId="1" applyNumberFormat="1" applyFont="1" applyFill="1" applyBorder="1"/>
    <xf numFmtId="4" fontId="4" fillId="4" borderId="19" xfId="1" applyNumberFormat="1" applyFont="1" applyFill="1" applyBorder="1"/>
    <xf numFmtId="4" fontId="4" fillId="0" borderId="22" xfId="1" applyNumberFormat="1" applyFont="1" applyFill="1" applyBorder="1"/>
    <xf numFmtId="49" fontId="4" fillId="0" borderId="31" xfId="1" applyNumberFormat="1" applyFont="1" applyFill="1" applyBorder="1"/>
    <xf numFmtId="0" fontId="4" fillId="11" borderId="13" xfId="1" applyFont="1" applyFill="1" applyBorder="1" applyAlignment="1">
      <alignment horizontal="center"/>
    </xf>
    <xf numFmtId="4" fontId="4" fillId="0" borderId="14" xfId="1" applyNumberFormat="1" applyFont="1" applyFill="1" applyBorder="1"/>
    <xf numFmtId="4" fontId="4" fillId="4" borderId="14" xfId="1" applyNumberFormat="1" applyFont="1" applyFill="1" applyBorder="1"/>
    <xf numFmtId="4" fontId="4" fillId="0" borderId="16" xfId="1" applyNumberFormat="1" applyFont="1" applyFill="1" applyBorder="1"/>
    <xf numFmtId="49" fontId="4" fillId="0" borderId="63" xfId="1" applyNumberFormat="1" applyFont="1" applyFill="1" applyBorder="1"/>
    <xf numFmtId="0" fontId="1" fillId="0" borderId="19" xfId="1" applyFont="1" applyFill="1" applyBorder="1" applyAlignment="1">
      <alignment horizontal="center" vertical="center"/>
    </xf>
    <xf numFmtId="4" fontId="4" fillId="0" borderId="33" xfId="1" applyNumberFormat="1" applyFont="1" applyFill="1" applyBorder="1"/>
    <xf numFmtId="4" fontId="4" fillId="0" borderId="37" xfId="1" applyNumberFormat="1" applyFont="1" applyFill="1" applyBorder="1"/>
    <xf numFmtId="49" fontId="4" fillId="0" borderId="61" xfId="1" applyNumberFormat="1" applyFont="1" applyFill="1" applyBorder="1"/>
    <xf numFmtId="0" fontId="1" fillId="0" borderId="14" xfId="1" applyFont="1" applyFill="1" applyBorder="1" applyAlignment="1">
      <alignment horizontal="center" vertical="center"/>
    </xf>
    <xf numFmtId="4" fontId="4" fillId="0" borderId="52" xfId="1" applyNumberFormat="1" applyFont="1" applyFill="1" applyBorder="1"/>
    <xf numFmtId="4" fontId="4" fillId="0" borderId="55" xfId="1" applyNumberFormat="1" applyFont="1" applyFill="1" applyBorder="1"/>
    <xf numFmtId="0" fontId="14" fillId="7" borderId="19" xfId="1" applyFont="1" applyFill="1" applyBorder="1" applyAlignment="1">
      <alignment horizontal="center" vertical="center" wrapText="1"/>
    </xf>
    <xf numFmtId="49" fontId="4" fillId="0" borderId="84" xfId="1" applyNumberFormat="1" applyFont="1" applyFill="1" applyBorder="1"/>
    <xf numFmtId="0" fontId="4" fillId="0" borderId="85" xfId="1" applyFont="1" applyFill="1" applyBorder="1" applyAlignment="1">
      <alignment horizontal="center"/>
    </xf>
    <xf numFmtId="0" fontId="4" fillId="0" borderId="85" xfId="1" applyFont="1" applyFill="1" applyBorder="1" applyAlignment="1">
      <alignment horizontal="center" vertical="center"/>
    </xf>
    <xf numFmtId="4" fontId="4" fillId="0" borderId="85" xfId="1" applyNumberFormat="1" applyFont="1" applyFill="1" applyBorder="1"/>
    <xf numFmtId="4" fontId="4" fillId="4" borderId="85" xfId="1" applyNumberFormat="1" applyFont="1" applyFill="1" applyBorder="1"/>
    <xf numFmtId="165" fontId="4" fillId="4" borderId="85" xfId="1" applyNumberFormat="1" applyFont="1" applyFill="1" applyBorder="1"/>
    <xf numFmtId="4" fontId="4" fillId="0" borderId="86" xfId="1" applyNumberFormat="1" applyFont="1" applyFill="1" applyBorder="1"/>
    <xf numFmtId="0" fontId="1" fillId="0" borderId="87" xfId="1" applyBorder="1" applyAlignment="1">
      <alignment horizontal="right"/>
    </xf>
    <xf numFmtId="0" fontId="4" fillId="0" borderId="33" xfId="1" applyFont="1" applyFill="1" applyBorder="1" applyAlignment="1">
      <alignment horizontal="left"/>
    </xf>
    <xf numFmtId="0" fontId="4" fillId="0" borderId="33" xfId="1" applyFont="1" applyFill="1" applyBorder="1" applyAlignment="1">
      <alignment horizontal="center" vertical="center"/>
    </xf>
    <xf numFmtId="4" fontId="1" fillId="0" borderId="33" xfId="1" applyNumberFormat="1" applyFill="1" applyBorder="1"/>
    <xf numFmtId="4" fontId="1" fillId="4" borderId="33" xfId="1" applyNumberFormat="1" applyFill="1" applyBorder="1"/>
    <xf numFmtId="165" fontId="1" fillId="4" borderId="33" xfId="1" applyNumberFormat="1" applyFill="1" applyBorder="1"/>
    <xf numFmtId="0" fontId="1" fillId="0" borderId="33" xfId="1" applyBorder="1"/>
    <xf numFmtId="4" fontId="1" fillId="0" borderId="33" xfId="1" applyNumberFormat="1" applyBorder="1"/>
    <xf numFmtId="4" fontId="1" fillId="0" borderId="37" xfId="1" applyNumberFormat="1" applyBorder="1"/>
    <xf numFmtId="4" fontId="1" fillId="0" borderId="87" xfId="1" applyNumberFormat="1" applyBorder="1"/>
    <xf numFmtId="0" fontId="4" fillId="0" borderId="88" xfId="1" applyFont="1" applyBorder="1"/>
    <xf numFmtId="0" fontId="4" fillId="0" borderId="89" xfId="1" applyFont="1" applyBorder="1"/>
    <xf numFmtId="4" fontId="4" fillId="0" borderId="89" xfId="1" applyNumberFormat="1" applyFont="1" applyBorder="1"/>
    <xf numFmtId="4" fontId="4" fillId="4" borderId="89" xfId="1" applyNumberFormat="1" applyFont="1" applyFill="1" applyBorder="1"/>
    <xf numFmtId="4" fontId="4" fillId="0" borderId="90" xfId="1" applyNumberFormat="1" applyFont="1" applyBorder="1"/>
    <xf numFmtId="2" fontId="1" fillId="0" borderId="87" xfId="1" applyNumberFormat="1" applyBorder="1"/>
    <xf numFmtId="0" fontId="1" fillId="0" borderId="18" xfId="1" applyBorder="1"/>
    <xf numFmtId="0" fontId="4" fillId="0" borderId="19" xfId="1" applyFont="1" applyBorder="1"/>
    <xf numFmtId="0" fontId="1" fillId="0" borderId="19" xfId="1" applyBorder="1" applyAlignment="1">
      <alignment horizontal="center"/>
    </xf>
    <xf numFmtId="4" fontId="1" fillId="0" borderId="19" xfId="1" applyNumberFormat="1" applyBorder="1"/>
    <xf numFmtId="4" fontId="1" fillId="4" borderId="19" xfId="1" applyNumberFormat="1" applyFill="1" applyBorder="1"/>
    <xf numFmtId="0" fontId="1" fillId="0" borderId="19" xfId="1" applyBorder="1"/>
    <xf numFmtId="10" fontId="1" fillId="0" borderId="22" xfId="1" applyNumberFormat="1" applyBorder="1"/>
    <xf numFmtId="0" fontId="4" fillId="0" borderId="0" xfId="1" applyFont="1" applyBorder="1"/>
    <xf numFmtId="0" fontId="1" fillId="0" borderId="0" xfId="1" applyBorder="1" applyAlignment="1">
      <alignment horizontal="center"/>
    </xf>
    <xf numFmtId="10" fontId="1" fillId="0" borderId="0" xfId="1" applyNumberFormat="1" applyBorder="1"/>
    <xf numFmtId="10" fontId="12" fillId="0" borderId="0" xfId="1" applyNumberFormat="1" applyFont="1" applyBorder="1"/>
    <xf numFmtId="4" fontId="1" fillId="0" borderId="70" xfId="1" applyNumberFormat="1" applyBorder="1"/>
    <xf numFmtId="2" fontId="1" fillId="0" borderId="0" xfId="1" applyNumberFormat="1" applyBorder="1"/>
    <xf numFmtId="0" fontId="7" fillId="0" borderId="33" xfId="1" applyFont="1" applyBorder="1" applyAlignment="1">
      <alignment horizontal="right" vertical="center" wrapText="1"/>
    </xf>
    <xf numFmtId="0" fontId="15" fillId="0" borderId="33" xfId="1" applyFont="1" applyBorder="1" applyAlignment="1">
      <alignment horizontal="right" wrapText="1"/>
    </xf>
    <xf numFmtId="4" fontId="1" fillId="0" borderId="0" xfId="1" applyNumberFormat="1" applyFill="1"/>
    <xf numFmtId="0" fontId="1" fillId="0" borderId="0" xfId="1" applyFill="1"/>
    <xf numFmtId="4" fontId="4" fillId="0" borderId="0" xfId="1" applyNumberFormat="1" applyFont="1" applyFill="1" applyBorder="1"/>
    <xf numFmtId="0" fontId="7" fillId="0" borderId="33" xfId="1" applyFont="1" applyBorder="1" applyAlignment="1">
      <alignment horizontal="right" wrapText="1"/>
    </xf>
    <xf numFmtId="164" fontId="1" fillId="0" borderId="33" xfId="1" applyNumberFormat="1" applyBorder="1" applyAlignment="1">
      <alignment horizontal="right"/>
    </xf>
    <xf numFmtId="164" fontId="1" fillId="0" borderId="33" xfId="1" applyNumberFormat="1" applyBorder="1"/>
    <xf numFmtId="4" fontId="1" fillId="0" borderId="0" xfId="1" applyNumberFormat="1" applyFill="1" applyBorder="1"/>
    <xf numFmtId="0" fontId="1" fillId="0" borderId="33" xfId="1" applyBorder="1" applyAlignment="1">
      <alignment horizontal="center"/>
    </xf>
    <xf numFmtId="2" fontId="1" fillId="0" borderId="33" xfId="1" applyNumberFormat="1" applyBorder="1" applyAlignment="1">
      <alignment horizontal="center"/>
    </xf>
    <xf numFmtId="166" fontId="0" fillId="0" borderId="33" xfId="3" applyNumberFormat="1" applyFont="1" applyBorder="1"/>
    <xf numFmtId="167" fontId="1" fillId="0" borderId="33" xfId="1" applyNumberFormat="1" applyBorder="1" applyAlignment="1">
      <alignment horizontal="right"/>
    </xf>
    <xf numFmtId="4" fontId="15" fillId="0" borderId="33" xfId="1" applyNumberFormat="1" applyFont="1" applyBorder="1" applyAlignment="1">
      <alignment horizontal="right" wrapText="1"/>
    </xf>
    <xf numFmtId="168" fontId="1" fillId="0" borderId="0" xfId="1" applyNumberFormat="1"/>
    <xf numFmtId="0" fontId="16" fillId="0" borderId="0" xfId="1" applyFont="1" applyBorder="1"/>
    <xf numFmtId="164" fontId="1" fillId="0" borderId="0" xfId="1" applyNumberFormat="1"/>
    <xf numFmtId="0" fontId="17" fillId="0" borderId="0" xfId="1" applyFont="1" applyBorder="1" applyAlignment="1">
      <alignment horizontal="right" vertical="center" wrapText="1"/>
    </xf>
    <xf numFmtId="0" fontId="18" fillId="0" borderId="0" xfId="1" applyFont="1" applyBorder="1" applyAlignment="1">
      <alignment horizontal="right" wrapText="1"/>
    </xf>
    <xf numFmtId="0" fontId="17" fillId="0" borderId="0" xfId="1" applyFont="1" applyBorder="1" applyAlignment="1">
      <alignment horizontal="right" wrapText="1"/>
    </xf>
    <xf numFmtId="164" fontId="10" fillId="0" borderId="0" xfId="1" applyNumberFormat="1" applyFont="1" applyBorder="1" applyAlignment="1">
      <alignment horizontal="right"/>
    </xf>
    <xf numFmtId="164" fontId="10" fillId="0" borderId="0" xfId="1" applyNumberFormat="1" applyFont="1" applyBorder="1"/>
    <xf numFmtId="0" fontId="10" fillId="0" borderId="0" xfId="1" applyFont="1" applyBorder="1"/>
    <xf numFmtId="0" fontId="10" fillId="0" borderId="0" xfId="1" applyFont="1" applyBorder="1" applyAlignment="1">
      <alignment horizontal="center"/>
    </xf>
    <xf numFmtId="2" fontId="10" fillId="0" borderId="0" xfId="1" applyNumberFormat="1" applyFont="1" applyBorder="1" applyAlignment="1">
      <alignment horizontal="center"/>
    </xf>
    <xf numFmtId="166" fontId="10" fillId="0" borderId="0" xfId="3" applyNumberFormat="1" applyFont="1" applyBorder="1"/>
    <xf numFmtId="167" fontId="10" fillId="0" borderId="0" xfId="1" applyNumberFormat="1" applyFont="1" applyBorder="1" applyAlignment="1">
      <alignment horizontal="right"/>
    </xf>
    <xf numFmtId="0" fontId="17" fillId="0" borderId="0" xfId="1" applyFont="1" applyFill="1" applyBorder="1" applyAlignment="1">
      <alignment horizontal="right" wrapText="1"/>
    </xf>
    <xf numFmtId="10" fontId="10" fillId="5" borderId="0" xfId="1" applyNumberFormat="1" applyFont="1" applyFill="1" applyBorder="1"/>
    <xf numFmtId="0" fontId="10" fillId="0" borderId="0" xfId="1" applyFont="1"/>
  </cellXfs>
  <cellStyles count="35">
    <cellStyle name="Dziesiętny 2" xfId="4"/>
    <cellStyle name="Normalny 2" xfId="5"/>
    <cellStyle name="Normalny 3" xfId="6"/>
    <cellStyle name="Normalny 4" xfId="7"/>
    <cellStyle name="Normalny 5" xfId="8"/>
    <cellStyle name="Normalny 6" xfId="9"/>
    <cellStyle name="Normalny 7" xfId="10"/>
    <cellStyle name="Обычный" xfId="0" builtinId="0"/>
    <cellStyle name="Обычный 2" xfId="1"/>
    <cellStyle name="Обычный 2 2" xfId="11"/>
    <cellStyle name="Обычный 2 3" xfId="12"/>
    <cellStyle name="Обычный 3" xfId="13"/>
    <cellStyle name="Обычный 3 2" xfId="14"/>
    <cellStyle name="Обычный 3 2 2" xfId="15"/>
    <cellStyle name="Обычный 4" xfId="16"/>
    <cellStyle name="Обычный 4 2" xfId="17"/>
    <cellStyle name="Обычный 5" xfId="18"/>
    <cellStyle name="Обычный 6" xfId="19"/>
    <cellStyle name="Обычный 7" xfId="20"/>
    <cellStyle name="Обычный 7 2" xfId="21"/>
    <cellStyle name="Обычный 8" xfId="22"/>
    <cellStyle name="Процентный 2" xfId="3"/>
    <cellStyle name="Процентный 2 2" xfId="23"/>
    <cellStyle name="Процентный 2 3" xfId="24"/>
    <cellStyle name="Процентный 3" xfId="25"/>
    <cellStyle name="Процентный 4" xfId="26"/>
    <cellStyle name="Процентный 5" xfId="27"/>
    <cellStyle name="Процентный 5 2" xfId="28"/>
    <cellStyle name="Процентный 6" xfId="29"/>
    <cellStyle name="Процентный 7" xfId="30"/>
    <cellStyle name="Процентный 8" xfId="31"/>
    <cellStyle name="Процентный 9" xfId="32"/>
    <cellStyle name="Финансовый 2" xfId="2"/>
    <cellStyle name="Финансовый 2 2" xfId="33"/>
    <cellStyle name="Финансовый 3" xfId="3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o-03.VK39/Desktop/&#1055;&#1056;&#1054;&#1045;&#1050;&#1058;%20&#1057;&#1051;&#1059;&#1046;&#1041;&#1067;%202016_%20&#1040;&#1085;&#1072;&#1083;&#1080;&#10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o-03.VK39\Desktop\&#1055;&#1088;&#1080;&#1082;&#1072;&#1079;&#1099;%20&#1086;%20&#1090;&#1072;&#1088;&#1080;&#1092;&#1072;&#1093;\&#1055;&#1088;&#1080;&#1082;&#1072;&#1079;&#1099;%20&#1086;&#1090;%2020%20&#1076;&#1077;&#1082;&#1072;&#1073;&#1088;&#1103;%202016%20&#1082;&#1086;&#1088;&#1088;&#1077;&#1082;&#1090;&#1080;&#1088;&#1086;&#1074;&#1082;&#1072;%20&#1090;&#1072;&#1088;&#1080;&#1092;&#1072;%20&#1085;&#1072;%202017\&#1050;&#1086;&#1087;&#1080;&#1103;%20&#1044;&#1045;&#1050;&#1040;&#1041;&#1056;&#1068;%20&#1052;&#1055;%20&#1050;&#1061;%20&#1042;&#1086;&#1076;&#1086;&#1082;&#1072;&#1085;&#1072;&#1083;%20&#1090;&#1072;&#1088;&#1080;&#1092;%202016%20-2018%20&#1058;&#1072;&#1088;&#1080;&#1092;&#1085;&#1099;&#1077;%20&#1089;&#1084;&#1077;&#1090;&#1099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40;&#1050;&#1058;%202016%20&#1042;&#1086;&#1076;&#1086;&#1082;&#1072;&#1085;&#1072;&#1083;_&#1050;&#1054;&#1056;&#1056;&#1045;&#1050;&#1058;&#1048;&#1056;&#1054;&#1042;&#1050;&#1040;_&#1085;&#1072;%20&#1090;&#1072;&#1088;&#1080;&#1092;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5;&#1083;&#1072;&#1085;\&#1057;&#1077;&#1073;&#1077;&#1089;&#1090;&#1086;&#1080;&#1084;&#1086;&#1089;&#1090;&#1100;.&#1055;&#1083;&#1072;&#1085;%20%202009%20&#1075;\&#1063;&#1077;&#1088;&#1085;&#1086;&#1074;&#1080;&#1082;%20.&#1055;&#1083;&#1072;&#1085;&#1086;&#1074;&#1072;&#1103;%20&#1089;&#1077;&#1073;&#1077;&#1089;&#1090;&#1086;&#1080;&#1084;&#1086;&#1089;&#1090;&#1100;%20%20&#1085;&#1072;%202009%20&#10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5;&#1083;&#1072;&#1085;\&#1057;&#1077;&#1073;&#1077;&#1089;&#1090;&#1086;&#1080;&#1084;&#1086;&#1089;&#1090;&#1100;.&#1055;&#1083;&#1072;&#1085;%20%202009%20&#1075;\&#1063;&#1077;&#1088;&#1085;&#1086;&#1074;&#1080;&#1082;%20.&#1055;&#1083;&#1072;&#1085;&#1086;&#1074;&#1072;&#1103;%20&#1089;&#1077;&#1073;&#1077;&#1089;&#1090;&#1086;&#1080;&#1084;&#1086;&#1089;&#1090;&#1100;%20%20&#1085;&#1072;%202009%20&#107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5;&#1088;&#1086;&#1077;&#1082;&#1090;%202009\&#1052;&#1101;&#1088;&#1080;&#1103;%20&#1087;&#1088;&#1086;&#1077;&#1082;&#1090;\&#1090;&#1072;&#1088;&#1080;&#1092;%20&#1085;&#1072;%202009%20&#1075;%20&#1076;&#1083;&#1103;%20&#1052;&#1101;&#1088;&#1080;&#1080;\&#1056;&#1072;&#1089;&#1095;&#1077;&#1090;%20&#1090;&#1072;&#1088;&#1080;&#1092;&#1086;&#1074;%20%20%20&#1085;&#1072;%202009%20&#1075;%20(version%20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5;&#1088;&#1086;&#1077;&#1082;&#1090;%202009\&#1052;&#1101;&#1088;&#1080;&#1103;%20&#1087;&#1088;&#1086;&#1077;&#1082;&#1090;\&#1090;&#1072;&#1088;&#1080;&#1092;%20&#1085;&#1072;%202009%20&#1075;%20&#1076;&#1083;&#1103;%20&#1052;&#1101;&#1088;&#1080;&#1080;\&#1056;&#1072;&#1089;&#1095;&#1077;&#1090;%20&#1090;&#1072;&#1088;&#1080;&#1092;&#1086;&#1074;%20%20%20&#1085;&#1072;%202009%20&#1075;%20(version%2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ёт ВС методом индексации"/>
      <sheetName val="Неподконтрольные расходы ВС"/>
      <sheetName val="Базовый уровень опер.расх.ВС "/>
      <sheetName val="Смета ВС_2016 (анализ)"/>
      <sheetName val="Смета ВС_2016"/>
      <sheetName val="расшифровки ВС_2016"/>
      <sheetName val="Цеховые расходы "/>
      <sheetName val="Зар.плата осн.персонала"/>
      <sheetName val="Баланс ВС_2016 (2)"/>
      <sheetName val="Баланс ВО 2016"/>
      <sheetName val="Баланс ВС_2016"/>
      <sheetName val="Админ. расх. (2)"/>
      <sheetName val="Кап.вложения"/>
      <sheetName val="ИПЦ"/>
      <sheetName val="Прилож1.1 по-новому"/>
      <sheetName val="Смета ВО_2016"/>
      <sheetName val="Смета ВО_2016 _анализ"/>
      <sheetName val="Экспертиза ВО"/>
      <sheetName val="расшифровки ВО_2016"/>
      <sheetName val="эксплуат. затр. по очистным"/>
      <sheetName val="затраты на ремонт  _6 мес.2015"/>
      <sheetName val="по объемам_2013"/>
      <sheetName val="по объемам_2014 (2)"/>
      <sheetName val="сбытовые расходы"/>
      <sheetName val="расшифровка кредитов"/>
      <sheetName val="охрана озер"/>
      <sheetName val="налоги"/>
      <sheetName val="материалы- ВС,ВО"/>
      <sheetName val="ФОТ по тек. и капит. ремонту"/>
      <sheetName val="Неподконтрольные расходы В0"/>
      <sheetName val="Базовый уровень опер.расх.ВО"/>
      <sheetName val="Расчёт ВО методом индексаци "/>
      <sheetName val="опер. расх. всего_версия май"/>
      <sheetName val="индекс изменения активоа"/>
      <sheetName val="Экспертиза ВС"/>
      <sheetName val="анализ ФОТ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64">
          <cell r="J64">
            <v>7553.5507701500637</v>
          </cell>
          <cell r="K64">
            <v>15023.671320300129</v>
          </cell>
          <cell r="L64">
            <v>15762.784213813629</v>
          </cell>
          <cell r="M64">
            <v>16494.768785727618</v>
          </cell>
          <cell r="N64">
            <v>17167.731179493905</v>
          </cell>
        </row>
      </sheetData>
      <sheetData sheetId="7">
        <row r="191">
          <cell r="D191">
            <v>58245.100000000006</v>
          </cell>
          <cell r="E191">
            <v>114654.86963512802</v>
          </cell>
          <cell r="F191">
            <v>121574.42284090909</v>
          </cell>
          <cell r="G191">
            <v>124180.611084</v>
          </cell>
          <cell r="H191">
            <v>57211.78944</v>
          </cell>
          <cell r="I191">
            <v>119750.592</v>
          </cell>
          <cell r="J191">
            <v>114655.77275952</v>
          </cell>
          <cell r="K191">
            <v>117648.95978337935</v>
          </cell>
          <cell r="L191">
            <v>122707.86505406466</v>
          </cell>
          <cell r="M191">
            <v>114655.77275952</v>
          </cell>
          <cell r="N191">
            <v>0</v>
          </cell>
          <cell r="O191">
            <v>0</v>
          </cell>
        </row>
        <row r="193">
          <cell r="D193">
            <v>17590</v>
          </cell>
          <cell r="E193">
            <v>34625.770629808663</v>
          </cell>
          <cell r="F193">
            <v>36715.475697954542</v>
          </cell>
          <cell r="G193">
            <v>37502.544547368001</v>
          </cell>
          <cell r="H193">
            <v>17277.960410879998</v>
          </cell>
          <cell r="I193">
            <v>36164.678783999996</v>
          </cell>
          <cell r="J193">
            <v>34626.04337337504</v>
          </cell>
          <cell r="K193">
            <v>35529.985854580562</v>
          </cell>
          <cell r="L193">
            <v>37057.775246327532</v>
          </cell>
          <cell r="M193">
            <v>34626.04337337504</v>
          </cell>
          <cell r="N193">
            <v>0</v>
          </cell>
          <cell r="O193">
            <v>0</v>
          </cell>
        </row>
        <row r="265">
          <cell r="E265">
            <v>3658.4855999999995</v>
          </cell>
          <cell r="F265">
            <v>4041.9002400000004</v>
          </cell>
          <cell r="G265">
            <v>3956.8872000000001</v>
          </cell>
          <cell r="H265">
            <v>2011.52</v>
          </cell>
          <cell r="I265">
            <v>3978.38</v>
          </cell>
          <cell r="J265">
            <v>4137.3360000000002</v>
          </cell>
          <cell r="K265">
            <v>4315.2414479999998</v>
          </cell>
          <cell r="L265">
            <v>4500.7968302639993</v>
          </cell>
        </row>
        <row r="267">
          <cell r="E267">
            <v>1104.8626511999998</v>
          </cell>
          <cell r="F267">
            <v>1220.6538724800002</v>
          </cell>
          <cell r="H267">
            <v>607.47903999999994</v>
          </cell>
          <cell r="I267">
            <v>1201.4707599999999</v>
          </cell>
          <cell r="J267">
            <v>1249.4754720000001</v>
          </cell>
          <cell r="K267">
            <v>1303.2029172959999</v>
          </cell>
          <cell r="L267">
            <v>1359.2406427397277</v>
          </cell>
        </row>
      </sheetData>
      <sheetData sheetId="8"/>
      <sheetData sheetId="9"/>
      <sheetData sheetId="10"/>
      <sheetData sheetId="11">
        <row r="11">
          <cell r="O11">
            <v>880.67701</v>
          </cell>
          <cell r="P11">
            <v>1761.35402</v>
          </cell>
          <cell r="Q11">
            <v>1840.6149508999999</v>
          </cell>
          <cell r="R11">
            <v>0</v>
          </cell>
          <cell r="S11">
            <v>0</v>
          </cell>
        </row>
        <row r="12">
          <cell r="O12">
            <v>215.07177999999999</v>
          </cell>
          <cell r="P12">
            <v>430.14355999999998</v>
          </cell>
          <cell r="Q12">
            <v>449.50002019999994</v>
          </cell>
          <cell r="R12">
            <v>0</v>
          </cell>
          <cell r="S12">
            <v>0</v>
          </cell>
        </row>
        <row r="13">
          <cell r="O13">
            <v>0</v>
          </cell>
          <cell r="P13">
            <v>1475</v>
          </cell>
          <cell r="Q13">
            <v>1541.375</v>
          </cell>
          <cell r="R13">
            <v>0</v>
          </cell>
          <cell r="S13">
            <v>0</v>
          </cell>
        </row>
        <row r="14">
          <cell r="O14">
            <v>263.36713000000003</v>
          </cell>
          <cell r="P14">
            <v>526.73426000000006</v>
          </cell>
          <cell r="Q14">
            <v>550.43730170000003</v>
          </cell>
          <cell r="R14">
            <v>0</v>
          </cell>
          <cell r="S14">
            <v>0</v>
          </cell>
        </row>
        <row r="15">
          <cell r="S15">
            <v>0</v>
          </cell>
          <cell r="V15">
            <v>0</v>
          </cell>
          <cell r="Y15">
            <v>0</v>
          </cell>
          <cell r="AB15">
            <v>0</v>
          </cell>
        </row>
        <row r="16">
          <cell r="O16">
            <v>724.02088000000003</v>
          </cell>
          <cell r="P16">
            <v>1448.0417600000001</v>
          </cell>
          <cell r="S16">
            <v>0</v>
          </cell>
          <cell r="V16">
            <v>0</v>
          </cell>
          <cell r="Y16">
            <v>0</v>
          </cell>
        </row>
        <row r="22">
          <cell r="O22">
            <v>9034.8245000000006</v>
          </cell>
          <cell r="P22">
            <v>18884.917225000001</v>
          </cell>
          <cell r="S22">
            <v>20718.079800125</v>
          </cell>
          <cell r="V22">
            <v>21682.094705030373</v>
          </cell>
          <cell r="X22">
            <v>22614.424777346681</v>
          </cell>
        </row>
        <row r="40">
          <cell r="O40">
            <v>2728.5169989999999</v>
          </cell>
          <cell r="P40">
            <v>5703.2450019499993</v>
          </cell>
          <cell r="S40">
            <v>6256.8600996377509</v>
          </cell>
          <cell r="V40">
            <v>6547.9926009191722</v>
          </cell>
          <cell r="Y40">
            <v>6829.5562827586973</v>
          </cell>
        </row>
        <row r="43">
          <cell r="O43">
            <v>5.76</v>
          </cell>
          <cell r="P43">
            <v>11.52</v>
          </cell>
          <cell r="S43">
            <v>0</v>
          </cell>
          <cell r="V43">
            <v>0</v>
          </cell>
          <cell r="X43">
            <v>0</v>
          </cell>
        </row>
        <row r="44">
          <cell r="O44">
            <v>336.33708000000001</v>
          </cell>
          <cell r="P44">
            <v>672.67416000000003</v>
          </cell>
          <cell r="S44">
            <v>0</v>
          </cell>
          <cell r="V44">
            <v>0</v>
          </cell>
          <cell r="X44">
            <v>0</v>
          </cell>
        </row>
        <row r="45">
          <cell r="O45">
            <v>607.92999999999995</v>
          </cell>
          <cell r="P45">
            <v>1215.8599999999999</v>
          </cell>
          <cell r="S45">
            <v>0</v>
          </cell>
          <cell r="V45">
            <v>0</v>
          </cell>
          <cell r="Y45">
            <v>0</v>
          </cell>
        </row>
        <row r="46">
          <cell r="O46">
            <v>49.803320000000006</v>
          </cell>
          <cell r="P46">
            <v>99.606640000000013</v>
          </cell>
          <cell r="S46">
            <v>0</v>
          </cell>
          <cell r="V46">
            <v>0</v>
          </cell>
          <cell r="Y46">
            <v>0</v>
          </cell>
        </row>
        <row r="53">
          <cell r="O53">
            <v>6624.68</v>
          </cell>
          <cell r="P53">
            <v>13249.36</v>
          </cell>
          <cell r="S53">
            <v>0</v>
          </cell>
          <cell r="V53">
            <v>0</v>
          </cell>
          <cell r="Y53">
            <v>0</v>
          </cell>
        </row>
      </sheetData>
      <sheetData sheetId="12">
        <row r="25">
          <cell r="J25">
            <v>0</v>
          </cell>
          <cell r="K25">
            <v>0</v>
          </cell>
        </row>
      </sheetData>
      <sheetData sheetId="13"/>
      <sheetData sheetId="14"/>
      <sheetData sheetId="15"/>
      <sheetData sheetId="16"/>
      <sheetData sheetId="17"/>
      <sheetData sheetId="18">
        <row r="32">
          <cell r="D32">
            <v>300.38600000000002</v>
          </cell>
          <cell r="E32">
            <v>201.41520000000003</v>
          </cell>
          <cell r="F32">
            <v>269.23088639999997</v>
          </cell>
          <cell r="G32">
            <v>187.6224</v>
          </cell>
          <cell r="H32">
            <v>107.08320000000001</v>
          </cell>
          <cell r="I32">
            <v>232.61280000000002</v>
          </cell>
          <cell r="J32">
            <v>258.49454400000002</v>
          </cell>
          <cell r="K32">
            <v>269.60980939200005</v>
          </cell>
          <cell r="L32">
            <v>282.90277720099999</v>
          </cell>
        </row>
        <row r="46">
          <cell r="D46">
            <v>5052.7230490000011</v>
          </cell>
          <cell r="E46">
            <v>5196.7401605920886</v>
          </cell>
          <cell r="F46">
            <v>5203.360887402132</v>
          </cell>
          <cell r="G46">
            <v>5465.2921246259993</v>
          </cell>
          <cell r="H46">
            <v>3145.1639770405436</v>
          </cell>
          <cell r="I46">
            <v>6353.2312336218984</v>
          </cell>
          <cell r="J46">
            <v>5711.2302702341694</v>
          </cell>
          <cell r="K46">
            <v>5956.8131718542381</v>
          </cell>
          <cell r="L46">
            <v>6212.9561382439706</v>
          </cell>
        </row>
        <row r="57">
          <cell r="D57">
            <v>2517.4899999999998</v>
          </cell>
          <cell r="E57">
            <v>3546.1425731519994</v>
          </cell>
          <cell r="G57">
            <v>3652.5268503465595</v>
          </cell>
        </row>
        <row r="62">
          <cell r="F62">
            <v>4040.4162143674002</v>
          </cell>
        </row>
        <row r="63">
          <cell r="H63">
            <v>6013.0073678405433</v>
          </cell>
          <cell r="I63">
            <v>11906.465165221896</v>
          </cell>
          <cell r="J63">
            <v>11529.707016756169</v>
          </cell>
          <cell r="K63">
            <v>12025.484418476683</v>
          </cell>
          <cell r="L63">
            <v>12544.279994476325</v>
          </cell>
        </row>
        <row r="119">
          <cell r="H119">
            <v>12039.8</v>
          </cell>
          <cell r="I119">
            <v>26094.1</v>
          </cell>
          <cell r="J119">
            <v>27974.404999999999</v>
          </cell>
          <cell r="K119">
            <v>29457.047999999999</v>
          </cell>
          <cell r="L119">
            <v>31028.27</v>
          </cell>
          <cell r="M119">
            <v>24559.579336105988</v>
          </cell>
          <cell r="N119">
            <v>26180.511572288982</v>
          </cell>
          <cell r="O119">
            <v>27934.605847632338</v>
          </cell>
        </row>
        <row r="168">
          <cell r="F168">
            <v>22882.459800547746</v>
          </cell>
        </row>
        <row r="173">
          <cell r="D173">
            <v>19458.548000000003</v>
          </cell>
          <cell r="E173">
            <v>20358.698700000001</v>
          </cell>
          <cell r="G173">
            <v>21048.319950000001</v>
          </cell>
        </row>
        <row r="196">
          <cell r="D196">
            <v>2885.0891940000001</v>
          </cell>
          <cell r="E196">
            <v>1409.3519550000001</v>
          </cell>
          <cell r="F196">
            <v>1815.6193880000003</v>
          </cell>
          <cell r="G196">
            <v>1587.7639999999999</v>
          </cell>
          <cell r="H196">
            <v>1046.3900000000001</v>
          </cell>
          <cell r="I196">
            <v>1705.8299999999997</v>
          </cell>
          <cell r="J196">
            <v>1779.77</v>
          </cell>
          <cell r="K196">
            <v>1856.3400751565762</v>
          </cell>
          <cell r="L196">
            <v>1936.1226983883089</v>
          </cell>
          <cell r="M196">
            <v>1853.4306249999997</v>
          </cell>
          <cell r="N196">
            <v>1909.03354375</v>
          </cell>
          <cell r="O196">
            <v>1966.3045500624999</v>
          </cell>
        </row>
        <row r="238">
          <cell r="D238">
            <v>727.63925489999997</v>
          </cell>
          <cell r="E238">
            <v>173.491952</v>
          </cell>
          <cell r="F238">
            <v>554.00929214613507</v>
          </cell>
          <cell r="G238">
            <v>675.1235999999999</v>
          </cell>
          <cell r="H238">
            <v>542.21104032000005</v>
          </cell>
          <cell r="I238">
            <v>1084.4220806400001</v>
          </cell>
          <cell r="J238">
            <v>1157.2784026082397</v>
          </cell>
          <cell r="K238">
            <v>1207.0413739203941</v>
          </cell>
          <cell r="L238">
            <v>1258.9441529989713</v>
          </cell>
          <cell r="M238">
            <v>525.21953887987195</v>
          </cell>
          <cell r="N238">
            <v>562.33353594258324</v>
          </cell>
          <cell r="O238">
            <v>594.48754541103983</v>
          </cell>
        </row>
        <row r="293">
          <cell r="H293">
            <v>548.04178999999999</v>
          </cell>
          <cell r="I293">
            <v>1277.0371400000001</v>
          </cell>
          <cell r="J293">
            <v>1324.1685731999999</v>
          </cell>
          <cell r="K293">
            <v>1344.7450520549498</v>
          </cell>
          <cell r="L293">
            <v>1366.7454023058515</v>
          </cell>
        </row>
        <row r="294">
          <cell r="I294">
            <v>50000</v>
          </cell>
          <cell r="K294">
            <v>0</v>
          </cell>
          <cell r="L294">
            <v>0</v>
          </cell>
        </row>
        <row r="296">
          <cell r="F296">
            <v>58804.290899999993</v>
          </cell>
          <cell r="G296">
            <v>52160.806530000002</v>
          </cell>
          <cell r="J296">
            <v>151794.69949534995</v>
          </cell>
          <cell r="P296">
            <v>0</v>
          </cell>
        </row>
        <row r="311">
          <cell r="D311">
            <v>4756.0175440640005</v>
          </cell>
          <cell r="G311">
            <v>13109.711537338982</v>
          </cell>
          <cell r="H311">
            <v>5417.9869123729995</v>
          </cell>
          <cell r="I311">
            <v>9884.824734877162</v>
          </cell>
          <cell r="J311">
            <v>17046.227650000001</v>
          </cell>
          <cell r="K311">
            <v>7702.916512499999</v>
          </cell>
          <cell r="L311">
            <v>3851.4582562499995</v>
          </cell>
          <cell r="P311">
            <v>0</v>
          </cell>
        </row>
        <row r="321">
          <cell r="D321">
            <v>2100</v>
          </cell>
          <cell r="F321">
            <v>3104</v>
          </cell>
          <cell r="G321">
            <v>6765.3193600000004</v>
          </cell>
          <cell r="P321" t="str">
            <v>в амортизации</v>
          </cell>
        </row>
        <row r="325">
          <cell r="D325">
            <v>1360</v>
          </cell>
          <cell r="E325">
            <v>2291.2130326193937</v>
          </cell>
          <cell r="F325">
            <v>1001</v>
          </cell>
          <cell r="G325">
            <v>2291.2130326193937</v>
          </cell>
          <cell r="H325">
            <v>730.68573120000008</v>
          </cell>
          <cell r="I325">
            <v>1461.3714624000002</v>
          </cell>
          <cell r="J325">
            <v>2392.0264060546469</v>
          </cell>
          <cell r="K325">
            <v>2494.8835415149965</v>
          </cell>
          <cell r="L325">
            <v>2594.6788831755966</v>
          </cell>
        </row>
        <row r="326">
          <cell r="E326">
            <v>0</v>
          </cell>
          <cell r="O326">
            <v>0</v>
          </cell>
          <cell r="P326">
            <v>0</v>
          </cell>
        </row>
        <row r="343">
          <cell r="D343">
            <v>8359.7999999999993</v>
          </cell>
          <cell r="E343">
            <v>6490.6</v>
          </cell>
          <cell r="F343">
            <v>8632.2999999999993</v>
          </cell>
          <cell r="G343">
            <v>8947.9</v>
          </cell>
          <cell r="H343">
            <v>3863.4332639999993</v>
          </cell>
          <cell r="I343">
            <v>8497</v>
          </cell>
          <cell r="J343">
            <v>10862.6</v>
          </cell>
          <cell r="K343">
            <v>11329.69</v>
          </cell>
          <cell r="L343">
            <v>11816.86</v>
          </cell>
          <cell r="P343">
            <v>0</v>
          </cell>
        </row>
        <row r="351">
          <cell r="D351">
            <v>49684.4</v>
          </cell>
          <cell r="E351">
            <v>7893.1359999999986</v>
          </cell>
          <cell r="F351">
            <v>10011.700000000001</v>
          </cell>
          <cell r="G351">
            <v>13841.9</v>
          </cell>
          <cell r="H351">
            <v>10933.263360000001</v>
          </cell>
          <cell r="I351">
            <v>13841.9</v>
          </cell>
          <cell r="J351">
            <v>24359.378000000001</v>
          </cell>
          <cell r="K351">
            <v>10312.923000000001</v>
          </cell>
          <cell r="P351" t="str">
            <v xml:space="preserve"> за счёт амортизации</v>
          </cell>
        </row>
        <row r="359">
          <cell r="O359">
            <v>0</v>
          </cell>
          <cell r="P359">
            <v>0</v>
          </cell>
        </row>
        <row r="360">
          <cell r="G360">
            <v>1194.9799344</v>
          </cell>
          <cell r="P360">
            <v>0</v>
          </cell>
        </row>
        <row r="413">
          <cell r="E413">
            <v>4603.3630000000003</v>
          </cell>
          <cell r="G413">
            <v>7143.7919499999998</v>
          </cell>
          <cell r="H413">
            <v>2105.86</v>
          </cell>
          <cell r="I413">
            <v>4232.7785999999996</v>
          </cell>
          <cell r="J413">
            <v>4333.9692899999991</v>
          </cell>
          <cell r="K413">
            <v>6919.3454399999991</v>
          </cell>
          <cell r="L413">
            <v>29121.632399999999</v>
          </cell>
        </row>
        <row r="414">
          <cell r="E414">
            <v>27205.152999999998</v>
          </cell>
          <cell r="G414">
            <v>48225.869159999995</v>
          </cell>
          <cell r="H414">
            <v>10958.62</v>
          </cell>
          <cell r="I414">
            <v>22026.826200000003</v>
          </cell>
          <cell r="J414">
            <v>34379.128304999998</v>
          </cell>
          <cell r="K414">
            <v>60458.280564999994</v>
          </cell>
          <cell r="L414">
            <v>87572.98076999998</v>
          </cell>
        </row>
        <row r="415">
          <cell r="E415">
            <v>1975.489</v>
          </cell>
          <cell r="G415">
            <v>4904.0620699999999</v>
          </cell>
          <cell r="H415">
            <v>2463.09</v>
          </cell>
          <cell r="I415">
            <v>4950.8109000000004</v>
          </cell>
          <cell r="J415">
            <v>2413.7662499999997</v>
          </cell>
          <cell r="K415">
            <v>2437.9030199999997</v>
          </cell>
          <cell r="L415">
            <v>2462.2825499999999</v>
          </cell>
        </row>
        <row r="416">
          <cell r="E416">
            <v>3763.8710000000001</v>
          </cell>
          <cell r="H416">
            <v>5483.97</v>
          </cell>
          <cell r="I416">
            <v>9322.7489999999998</v>
          </cell>
          <cell r="J416">
            <v>5313.4737599999999</v>
          </cell>
          <cell r="K416">
            <v>5366.6060699999998</v>
          </cell>
          <cell r="L416">
            <v>5420.2738799999997</v>
          </cell>
        </row>
        <row r="417">
          <cell r="G417">
            <v>66.646869999999993</v>
          </cell>
        </row>
        <row r="436">
          <cell r="E436">
            <v>0</v>
          </cell>
        </row>
        <row r="437"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60">
          <cell r="D460">
            <v>10000</v>
          </cell>
          <cell r="F460">
            <v>10000</v>
          </cell>
          <cell r="G460">
            <v>9752.1875639999998</v>
          </cell>
          <cell r="H460">
            <v>4381.9133759999995</v>
          </cell>
          <cell r="I460">
            <v>15721.854557666666</v>
          </cell>
          <cell r="J460">
            <v>45072.691396975999</v>
          </cell>
          <cell r="K460">
            <v>45552.499025124802</v>
          </cell>
          <cell r="L460">
            <v>46056.29703468104</v>
          </cell>
        </row>
        <row r="461">
          <cell r="D461">
            <v>417.88</v>
          </cell>
          <cell r="F461">
            <v>1475.41</v>
          </cell>
          <cell r="G461">
            <v>0</v>
          </cell>
          <cell r="H461">
            <v>0</v>
          </cell>
          <cell r="I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D462">
            <v>2310.1759999999999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5">
          <cell r="D465">
            <v>1893.318912</v>
          </cell>
          <cell r="F465">
            <v>5326</v>
          </cell>
          <cell r="G465">
            <v>3977.5001999999995</v>
          </cell>
          <cell r="H465">
            <v>3151.2009599999997</v>
          </cell>
          <cell r="I465">
            <v>6302.4019199999993</v>
          </cell>
          <cell r="J465">
            <v>6365.4259391999994</v>
          </cell>
          <cell r="K465">
            <v>6429.0801985919998</v>
          </cell>
          <cell r="L465">
            <v>6493.3710005779203</v>
          </cell>
        </row>
        <row r="466">
          <cell r="D466">
            <v>188.16</v>
          </cell>
          <cell r="F466">
            <v>217</v>
          </cell>
          <cell r="G466">
            <v>284.56049999999999</v>
          </cell>
          <cell r="H466">
            <v>155.98643519999999</v>
          </cell>
          <cell r="I466">
            <v>311.97287039999998</v>
          </cell>
          <cell r="J466">
            <v>315.09259910399999</v>
          </cell>
          <cell r="K466">
            <v>318.24352509504001</v>
          </cell>
          <cell r="L466">
            <v>321.42596034599035</v>
          </cell>
        </row>
        <row r="467">
          <cell r="E467">
            <v>271.01</v>
          </cell>
        </row>
        <row r="471">
          <cell r="D471">
            <v>0</v>
          </cell>
          <cell r="E471">
            <v>0</v>
          </cell>
          <cell r="G471">
            <v>0</v>
          </cell>
          <cell r="L471">
            <v>0</v>
          </cell>
          <cell r="M471">
            <v>0</v>
          </cell>
          <cell r="N471">
            <v>0</v>
          </cell>
        </row>
        <row r="497">
          <cell r="G497">
            <v>3307.2536199999995</v>
          </cell>
          <cell r="J497">
            <v>3449.4655256599995</v>
          </cell>
          <cell r="K497">
            <v>3597.7925432633792</v>
          </cell>
          <cell r="L497">
            <v>3597.7925432633792</v>
          </cell>
          <cell r="M497">
            <v>3449.4655256599995</v>
          </cell>
          <cell r="N497">
            <v>3597.7925432633792</v>
          </cell>
          <cell r="O497">
            <v>3597.7925432633792</v>
          </cell>
        </row>
      </sheetData>
      <sheetData sheetId="19">
        <row r="10">
          <cell r="B10">
            <v>157000.92379424002</v>
          </cell>
        </row>
      </sheetData>
      <sheetData sheetId="20"/>
      <sheetData sheetId="21"/>
      <sheetData sheetId="22"/>
      <sheetData sheetId="23">
        <row r="13">
          <cell r="G13">
            <v>3164836</v>
          </cell>
          <cell r="H13">
            <v>3307253.6199999996</v>
          </cell>
        </row>
      </sheetData>
      <sheetData sheetId="24">
        <row r="106">
          <cell r="C106">
            <v>4581.8544556098004</v>
          </cell>
        </row>
      </sheetData>
      <sheetData sheetId="25"/>
      <sheetData sheetId="26">
        <row r="112">
          <cell r="C112">
            <v>9287.7976799999997</v>
          </cell>
        </row>
        <row r="120">
          <cell r="C120">
            <v>3977.5001999999995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ёт ВС методом индексации"/>
      <sheetName val="Расчёт ВС на правление по суду"/>
      <sheetName val="Неподконтрольные расходы ВС"/>
      <sheetName val="Базовый уровень опер.расх.ВС "/>
      <sheetName val="Смета ВС_2016"/>
      <sheetName val="расшифровки ВС_2016"/>
      <sheetName val="Цеховые расходы "/>
      <sheetName val="Зар.плата осн.персонала"/>
      <sheetName val="Баланс ВС_2016 (2)"/>
      <sheetName val="Баланс ВО 2016"/>
      <sheetName val="Баланс ВС_2016"/>
      <sheetName val="Админ. расх. (2)"/>
      <sheetName val="Кап.вложения"/>
      <sheetName val="ИПЦ"/>
      <sheetName val="Прилож1.1 по-новому"/>
      <sheetName val="Смета ВО_2016"/>
      <sheetName val="Смета ВО_2016 (2)"/>
      <sheetName val="Экспертиза ВО"/>
      <sheetName val="эксплуат. затр. по очистным"/>
      <sheetName val="затраты на ремонт  _6 мес.2015"/>
      <sheetName val="по объемам_2013"/>
      <sheetName val="по объемам_2014 (2)"/>
      <sheetName val="сбытовые расходы"/>
      <sheetName val="расшифровка кредитов"/>
      <sheetName val="охрана озер"/>
      <sheetName val="налоги"/>
      <sheetName val="материалы- ВС,ВО"/>
      <sheetName val="ФОТ по тек. и капит. ремонту"/>
      <sheetName val="расшифровки ВО_2016"/>
      <sheetName val="Неподконтрольные расходы В0"/>
      <sheetName val="Базовый уровень опер.расх.ВО"/>
      <sheetName val="Расчёт ВО методом индексаци "/>
      <sheetName val="Расчёт ВО на правлен по суду"/>
      <sheetName val="опер. расх. всего_версия май"/>
      <sheetName val="индекс изменения активоа"/>
      <sheetName val="Экспертиза ВС"/>
      <sheetName val="Лист3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2">
          <cell r="Q32">
            <v>7047.5696431999995</v>
          </cell>
        </row>
        <row r="46">
          <cell r="Q46">
            <v>5704.4620190852011</v>
          </cell>
        </row>
        <row r="62">
          <cell r="Q62">
            <v>2911.977900288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2"/>
      <sheetName val="Лист11"/>
      <sheetName val="Лист10"/>
      <sheetName val="Расчёт ВС методом индексации"/>
      <sheetName val="Неподконтрольные расходы ВС"/>
      <sheetName val="Базовый уровень опер.расх.ВС "/>
      <sheetName val="Смета ВС_2016 (анализ_верная)"/>
      <sheetName val="Смета ВС_2016"/>
      <sheetName val="расшифровки ВС_2016"/>
      <sheetName val="Цеховые расходы  (окт.2017)"/>
      <sheetName val="Цеховые расходы "/>
      <sheetName val="Зар.плата осн.персонала (2)"/>
      <sheetName val="Зар.плата осн.персонала"/>
      <sheetName val="Баланс ВС_2016 (2)"/>
      <sheetName val="Баланс ВО 2016"/>
      <sheetName val="Баланс ВС_2016"/>
      <sheetName val="Админ. расх. (окт.2017)"/>
      <sheetName val="Админ. расх. (2)"/>
      <sheetName val="Кап.вложения"/>
      <sheetName val="ИПЦ"/>
      <sheetName val="Прилож1.1 по-новому"/>
      <sheetName val="Смета ВО_2018 (2)"/>
      <sheetName val="Смета ВО_2018"/>
      <sheetName val="Смета ВО_2016"/>
      <sheetName val="Смета ВО_2016 верная"/>
      <sheetName val="Смета ВО_2016 (2)"/>
      <sheetName val="Экспертиза ВО"/>
      <sheetName val="эксплуат. затр. по очистным"/>
      <sheetName val="затраты на ремонт  _6 мес.2015"/>
      <sheetName val="по объемам_2013"/>
      <sheetName val="по объемам_2014 (2)"/>
      <sheetName val="сбытовые расходы (2)"/>
      <sheetName val="расшифровка кредитов "/>
      <sheetName val="расшифровка кредитов"/>
      <sheetName val="охрана озер"/>
      <sheetName val="налоги"/>
      <sheetName val="материалы- ВС,ВО"/>
      <sheetName val="ФОТ по тек. и капит. ремонту"/>
      <sheetName val="расшифровки ВО_2016"/>
      <sheetName val="Неподконтрольные расходы В0"/>
      <sheetName val="Базовый уровень опер.расх.ВО"/>
      <sheetName val="Расчёт ВО методом индексаци "/>
      <sheetName val="опер. расх. всего_версия май"/>
      <sheetName val="индекс изменения активоа"/>
      <sheetName val="Экспертиза ВС"/>
      <sheetName val="расшифров. для Службы окт20 (2"/>
      <sheetName val="расшиф. для Службы 2016бу"/>
      <sheetName val="расшифров для Службы 2016 факт"/>
      <sheetName val="Лист9"/>
      <sheetName val="Лист8"/>
      <sheetName val="Лист7"/>
      <sheetName val="Лист6"/>
      <sheetName val="Лист2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1">
          <cell r="R71">
            <v>17409.92916</v>
          </cell>
          <cell r="S71">
            <v>18939.374026776833</v>
          </cell>
        </row>
      </sheetData>
      <sheetData sheetId="11">
        <row r="155">
          <cell r="N155">
            <v>137202.61050000001</v>
          </cell>
        </row>
        <row r="191">
          <cell r="Q191">
            <v>149255.7226298145</v>
          </cell>
        </row>
        <row r="193">
          <cell r="N193">
            <v>41435.188371000004</v>
          </cell>
          <cell r="Q193">
            <v>37057.775246327532</v>
          </cell>
        </row>
        <row r="264">
          <cell r="N264">
            <v>4714.87</v>
          </cell>
          <cell r="Q264">
            <v>5129.0666146299991</v>
          </cell>
        </row>
        <row r="266">
          <cell r="N266">
            <v>1423.8907399999998</v>
          </cell>
          <cell r="Q266">
            <v>1548.9781176182596</v>
          </cell>
        </row>
      </sheetData>
      <sheetData sheetId="12"/>
      <sheetData sheetId="13"/>
      <sheetData sheetId="14"/>
      <sheetData sheetId="15"/>
      <sheetData sheetId="16"/>
      <sheetData sheetId="17">
        <row r="11">
          <cell r="AE11">
            <v>691.35600000000011</v>
          </cell>
          <cell r="AH11">
            <v>752.09093324399998</v>
          </cell>
        </row>
        <row r="12">
          <cell r="AE12">
            <v>9.5308800000000016</v>
          </cell>
          <cell r="AH12">
            <v>10.368158277119999</v>
          </cell>
        </row>
        <row r="13">
          <cell r="AE13">
            <v>459.00000000000006</v>
          </cell>
          <cell r="AH13">
            <v>499.32269099999996</v>
          </cell>
        </row>
        <row r="14">
          <cell r="AE14">
            <v>303.33746000000002</v>
          </cell>
          <cell r="AH14">
            <v>329.98535252353997</v>
          </cell>
        </row>
        <row r="16">
          <cell r="AE16">
            <v>663.91800000000001</v>
          </cell>
          <cell r="AH16">
            <v>722.24253238200004</v>
          </cell>
        </row>
        <row r="18">
          <cell r="AE18">
            <v>509.86060000000003</v>
          </cell>
          <cell r="AH18">
            <v>554.65134384939995</v>
          </cell>
        </row>
        <row r="22">
          <cell r="AE22">
            <v>13081.493139267843</v>
          </cell>
          <cell r="AH22">
            <v>15428.680925447032</v>
          </cell>
        </row>
        <row r="40">
          <cell r="AE40">
            <v>3950.6109280588885</v>
          </cell>
          <cell r="AH40">
            <v>4659.4616394850036</v>
          </cell>
        </row>
        <row r="43">
          <cell r="AE43">
            <v>10.444800000000001</v>
          </cell>
          <cell r="AH43">
            <v>11.362365235199999</v>
          </cell>
        </row>
        <row r="44">
          <cell r="AE44">
            <v>497.14800000000002</v>
          </cell>
          <cell r="AH44">
            <v>540.82195465200004</v>
          </cell>
        </row>
        <row r="45">
          <cell r="AE45">
            <v>529.76080000000002</v>
          </cell>
          <cell r="AH45">
            <v>576.29975651919995</v>
          </cell>
        </row>
        <row r="46">
          <cell r="AE46">
            <v>56.511400000000009</v>
          </cell>
          <cell r="AH46">
            <v>61.475869978600002</v>
          </cell>
        </row>
        <row r="47">
          <cell r="AE47">
            <v>2193.4624000000003</v>
          </cell>
          <cell r="AH47">
            <v>2386.1558783775999</v>
          </cell>
        </row>
        <row r="53">
          <cell r="AE53">
            <v>6592.3416000000007</v>
          </cell>
          <cell r="AH53">
            <v>7171.4722172184001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3">
          <cell r="L13">
            <v>4295.9220000000005</v>
          </cell>
          <cell r="M13">
            <v>4295.9220000000005</v>
          </cell>
        </row>
      </sheetData>
      <sheetData sheetId="32"/>
      <sheetData sheetId="33"/>
      <sheetData sheetId="34"/>
      <sheetData sheetId="35"/>
      <sheetData sheetId="36"/>
      <sheetData sheetId="37"/>
      <sheetData sheetId="38">
        <row r="19">
          <cell r="U19">
            <v>205.269204</v>
          </cell>
          <cell r="V19">
            <v>260.33827240400001</v>
          </cell>
        </row>
        <row r="64">
          <cell r="U64">
            <v>8576.359637399999</v>
          </cell>
          <cell r="V64">
            <v>8945.1431018082003</v>
          </cell>
        </row>
        <row r="80">
          <cell r="U80">
            <v>4012.5</v>
          </cell>
          <cell r="V80">
            <v>4012.5</v>
          </cell>
        </row>
        <row r="145">
          <cell r="U145">
            <v>33956.950016179995</v>
          </cell>
          <cell r="V145">
            <v>43467.863781499989</v>
          </cell>
        </row>
        <row r="171">
          <cell r="U171">
            <v>1836.6792001500003</v>
          </cell>
          <cell r="V171">
            <v>2045.2690724999998</v>
          </cell>
        </row>
        <row r="213">
          <cell r="U213">
            <v>150.8937454</v>
          </cell>
          <cell r="V213">
            <v>190.1582727</v>
          </cell>
        </row>
        <row r="261">
          <cell r="W261">
            <v>176.65915999999999</v>
          </cell>
          <cell r="X261">
            <v>184.25550387999999</v>
          </cell>
        </row>
        <row r="269">
          <cell r="W269">
            <v>691.05000000000007</v>
          </cell>
        </row>
        <row r="274">
          <cell r="W274">
            <v>897.99800000000005</v>
          </cell>
          <cell r="X274">
            <v>936.61191399999996</v>
          </cell>
        </row>
        <row r="275">
          <cell r="Q275">
            <v>107552.63999999996</v>
          </cell>
          <cell r="V275">
            <v>6978.1930000000002</v>
          </cell>
          <cell r="W275">
            <v>142890.17322457</v>
          </cell>
          <cell r="X275">
            <v>411316.75119954412</v>
          </cell>
        </row>
        <row r="277">
          <cell r="W277">
            <v>13322.320499999998</v>
          </cell>
        </row>
        <row r="278">
          <cell r="W278">
            <v>20800.128536820001</v>
          </cell>
        </row>
        <row r="282">
          <cell r="W282">
            <v>11062.326999999999</v>
          </cell>
        </row>
        <row r="283">
          <cell r="W283">
            <v>3365.6</v>
          </cell>
        </row>
        <row r="284">
          <cell r="W284">
            <v>2020.8305200000002</v>
          </cell>
        </row>
        <row r="306">
          <cell r="W306">
            <v>20417.872145580001</v>
          </cell>
          <cell r="X306">
            <v>22148.126</v>
          </cell>
        </row>
        <row r="315">
          <cell r="W315">
            <v>2736.84</v>
          </cell>
          <cell r="X315">
            <v>2854.52412</v>
          </cell>
        </row>
        <row r="320">
          <cell r="W320">
            <v>1646.4378400000003</v>
          </cell>
          <cell r="X320">
            <v>1717.2346671200003</v>
          </cell>
        </row>
        <row r="338">
          <cell r="W338">
            <v>13313.012000000001</v>
          </cell>
          <cell r="X338">
            <v>8034.32</v>
          </cell>
        </row>
        <row r="346">
          <cell r="W346">
            <v>29507.439999999999</v>
          </cell>
          <cell r="X346">
            <v>21889.55</v>
          </cell>
        </row>
        <row r="407">
          <cell r="W407">
            <v>191399.99999999997</v>
          </cell>
        </row>
        <row r="419">
          <cell r="V419">
            <v>112283.94</v>
          </cell>
        </row>
        <row r="420">
          <cell r="V420">
            <v>36326.86</v>
          </cell>
          <cell r="W420">
            <v>79919.092000000004</v>
          </cell>
        </row>
        <row r="455">
          <cell r="V455">
            <v>42418.763099999996</v>
          </cell>
          <cell r="W455">
            <v>74711.100000000006</v>
          </cell>
        </row>
        <row r="456">
          <cell r="V456">
            <v>27671.946667750002</v>
          </cell>
          <cell r="W456">
            <v>55833.04</v>
          </cell>
        </row>
        <row r="461">
          <cell r="V461">
            <v>1306.5</v>
          </cell>
          <cell r="W461">
            <v>1306.5</v>
          </cell>
        </row>
        <row r="462">
          <cell r="V462">
            <v>319.14999999999998</v>
          </cell>
          <cell r="W462">
            <v>319.14999999999998</v>
          </cell>
        </row>
      </sheetData>
      <sheetData sheetId="39"/>
      <sheetData sheetId="40"/>
      <sheetData sheetId="41">
        <row r="20">
          <cell r="S20">
            <v>1800</v>
          </cell>
          <cell r="T20">
            <v>1800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тариф  канал"/>
      <sheetName val=" тариф  вода"/>
      <sheetName val="затраты по статьям"/>
      <sheetName val="кальк вода "/>
      <sheetName val="кальк вода  ЧК"/>
      <sheetName val="калькул  стоки"/>
      <sheetName val="калькул стоки Чкал ЛОС.КНС"/>
      <sheetName val="Пр_прогр_вода__1"/>
      <sheetName val="пр_ прогр_канал_ _ 2"/>
      <sheetName val="электр _5"/>
      <sheetName val="Реагенты _6 "/>
      <sheetName val="Амортиз__7"/>
      <sheetName val="Амортиз доп"/>
      <sheetName val="В-К"/>
      <sheetName val="Ремонт__8 _тек _рем_"/>
      <sheetName val="_план _стад пр_ва 2009"/>
      <sheetName val="Ремонт__8 _кап_рем_"/>
      <sheetName val="проект плана-2009"/>
      <sheetName val="опл труда 9"/>
      <sheetName val="опл труда 9 ЧК"/>
      <sheetName val=" прямые"/>
      <sheetName val="Покуп вода _11"/>
      <sheetName val="Перед и покуп сточ вод__11 "/>
      <sheetName val="Проч прям__жэу_ симп_ сберк _12"/>
      <sheetName val="Цехов__10"/>
      <sheetName val="Цехов_доп"/>
      <sheetName val="цех"/>
      <sheetName val="Общеэкспл__13"/>
      <sheetName val=" общеэксплуат"/>
      <sheetName val="свод Налоги"/>
      <sheetName val="Налоги_выплаты из приб_14"/>
      <sheetName val="Налоги_выплаты из приб_принят"/>
      <sheetName val="Прил__15"/>
      <sheetName val="распределе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тариф  канал"/>
      <sheetName val=" тариф  вода"/>
      <sheetName val="затраты по статьям"/>
      <sheetName val="кальк вода "/>
      <sheetName val="кальк вода  ЧК"/>
      <sheetName val="калькул  стоки"/>
      <sheetName val="калькул стоки Чкал ЛОС.КНС"/>
      <sheetName val="Пр_прогр_вода__1"/>
      <sheetName val="пр_ прогр_канал_ _ 2"/>
      <sheetName val="электр _5"/>
      <sheetName val="Реагенты _6 "/>
      <sheetName val="Амортиз__7"/>
      <sheetName val="Амортиз доп"/>
      <sheetName val="В-К"/>
      <sheetName val="Ремонт__8 _тек _рем_"/>
      <sheetName val="_план _стад пр_ва 2009"/>
      <sheetName val="Ремонт__8 _кап_рем_"/>
      <sheetName val="проект плана-2009"/>
      <sheetName val="опл труда 9"/>
      <sheetName val="опл труда 9 ЧК"/>
      <sheetName val=" прямые"/>
      <sheetName val="Покуп вода _11"/>
      <sheetName val="Перед и покуп сточ вод__11 "/>
      <sheetName val="Проч прям__жэу_ симп_ сберк _12"/>
      <sheetName val="Цехов__10"/>
      <sheetName val="Цехов_доп"/>
      <sheetName val="цех"/>
      <sheetName val="Общеэкспл__13"/>
      <sheetName val=" общеэксплуат"/>
      <sheetName val="свод Налоги"/>
      <sheetName val="Налоги_выплаты из приб_14"/>
      <sheetName val="Налоги_выплаты из приб_принят"/>
      <sheetName val="Прил__15"/>
      <sheetName val="распределе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тариф  канал"/>
      <sheetName val=" тариф  вода"/>
      <sheetName val="затраты по статьям"/>
      <sheetName val="кальк вода "/>
      <sheetName val="кальк вода  ЧК"/>
      <sheetName val="калькул  стоки"/>
      <sheetName val="калькул стоки Чкал ЛОС.КНС"/>
      <sheetName val="Пр_прогр_вода__1"/>
      <sheetName val="пр_ прогр_канал_ _ 2"/>
      <sheetName val="электр _5"/>
      <sheetName val="Реагенты _6 "/>
      <sheetName val="Амортиз__7"/>
      <sheetName val="Амортиз доп"/>
      <sheetName val="В-К"/>
      <sheetName val="Ремонт__8 _тек _рем_"/>
      <sheetName val="_план _стад пр_ва 2009"/>
      <sheetName val="Ремонт__8 _кап_рем_"/>
      <sheetName val="проект плана-2009"/>
      <sheetName val="опл труда 9"/>
      <sheetName val="опл труда 9 ЧК"/>
      <sheetName val=" прямые"/>
      <sheetName val="Покуп вода _11"/>
      <sheetName val="Перед и покуп сточ вод__11 "/>
      <sheetName val="Проч прям__жэу_ симп_ сберк _12"/>
      <sheetName val="Цехов__10"/>
      <sheetName val="Цехов_доп"/>
      <sheetName val="цех"/>
      <sheetName val="Общеэкспл__13"/>
      <sheetName val=" общеэксплуат"/>
      <sheetName val="свод Налоги"/>
      <sheetName val="Налоги_выплаты из приб_14"/>
      <sheetName val="Налоги_выплаты из приб_принят"/>
      <sheetName val="Прил__15"/>
      <sheetName val="распределение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тариф  канал"/>
      <sheetName val=" тариф  вода"/>
      <sheetName val="затраты по статьям"/>
      <sheetName val="кальк вода "/>
      <sheetName val="кальк вода  ЧК"/>
      <sheetName val="калькул  стоки"/>
      <sheetName val="калькул стоки Чкал ЛОС.КНС"/>
      <sheetName val="Пр_прогр_вода__1"/>
      <sheetName val="пр_ прогр_канал_ _ 2"/>
      <sheetName val="электр _5"/>
      <sheetName val="Реагенты _6 "/>
      <sheetName val="Амортиз__7"/>
      <sheetName val="Амортиз доп"/>
      <sheetName val="В-К"/>
      <sheetName val="Ремонт__8 _тек _рем_"/>
      <sheetName val="_план _стад пр_ва 2009"/>
      <sheetName val="Ремонт__8 _кап_рем_"/>
      <sheetName val="проект плана-2009"/>
      <sheetName val="опл труда 9"/>
      <sheetName val="опл труда 9 ЧК"/>
      <sheetName val=" прямые"/>
      <sheetName val="Покуп вода _11"/>
      <sheetName val="Перед и покуп сточ вод__11 "/>
      <sheetName val="Проч прям__жэу_ симп_ сберк _12"/>
      <sheetName val="Цехов__10"/>
      <sheetName val="Цехов_доп"/>
      <sheetName val="цех"/>
      <sheetName val="Общеэкспл__13"/>
      <sheetName val=" общеэксплуат"/>
      <sheetName val="свод Налоги"/>
      <sheetName val="Налоги_выплаты из приб_14"/>
      <sheetName val="Налоги_выплаты из приб_принят"/>
      <sheetName val="Прил__15"/>
      <sheetName val="распределение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C122"/>
  <sheetViews>
    <sheetView tabSelected="1" topLeftCell="A99" zoomScale="80" zoomScaleNormal="80" zoomScaleSheetLayoutView="80" workbookViewId="0">
      <selection activeCell="Z130" sqref="Z130"/>
    </sheetView>
  </sheetViews>
  <sheetFormatPr defaultRowHeight="15" outlineLevelCol="1"/>
  <cols>
    <col min="1" max="1" width="7.28515625" style="1" customWidth="1"/>
    <col min="2" max="2" width="37.5703125" style="1" customWidth="1"/>
    <col min="3" max="3" width="13.42578125" style="1" hidden="1" customWidth="1" outlineLevel="1"/>
    <col min="4" max="4" width="15.140625" style="1" hidden="1" customWidth="1" outlineLevel="1"/>
    <col min="5" max="5" width="14.7109375" style="1" hidden="1" customWidth="1" outlineLevel="1"/>
    <col min="6" max="6" width="12.85546875" style="1" hidden="1" customWidth="1" outlineLevel="1"/>
    <col min="7" max="7" width="11.7109375" style="1" hidden="1" customWidth="1" outlineLevel="1"/>
    <col min="8" max="8" width="14.5703125" style="1" hidden="1" customWidth="1" outlineLevel="1"/>
    <col min="9" max="9" width="14.140625" style="1" hidden="1" customWidth="1" outlineLevel="1"/>
    <col min="10" max="10" width="17" style="1" hidden="1" customWidth="1" outlineLevel="1"/>
    <col min="11" max="11" width="12" style="1" hidden="1" customWidth="1" outlineLevel="1"/>
    <col min="12" max="12" width="14.140625" style="1" hidden="1" customWidth="1" outlineLevel="1"/>
    <col min="13" max="13" width="13.7109375" style="1" hidden="1" customWidth="1" outlineLevel="1"/>
    <col min="14" max="14" width="14.42578125" style="1" hidden="1" customWidth="1" outlineLevel="1"/>
    <col min="15" max="15" width="0.140625" style="1" customWidth="1" outlineLevel="1"/>
    <col min="16" max="16" width="18.5703125" style="1" customWidth="1"/>
    <col min="17" max="17" width="16.140625" style="1" hidden="1" customWidth="1" outlineLevel="1"/>
    <col min="18" max="18" width="18.85546875" style="1" hidden="1" customWidth="1" outlineLevel="1"/>
    <col min="19" max="19" width="14.5703125" style="1" hidden="1" customWidth="1" outlineLevel="1"/>
    <col min="20" max="20" width="16.85546875" style="1" hidden="1" customWidth="1" outlineLevel="1"/>
    <col min="21" max="21" width="16.7109375" style="1" customWidth="1" collapsed="1"/>
    <col min="22" max="22" width="18.85546875" style="1" customWidth="1"/>
    <col min="23" max="23" width="20.28515625" style="1" customWidth="1"/>
    <col min="24" max="24" width="21" style="1" customWidth="1"/>
    <col min="25" max="25" width="35.42578125" style="1" customWidth="1"/>
    <col min="26" max="26" width="27" style="1" customWidth="1"/>
    <col min="27" max="27" width="13.28515625" style="1" customWidth="1"/>
    <col min="28" max="28" width="12.7109375" style="1" customWidth="1"/>
    <col min="29" max="29" width="14" style="1" customWidth="1"/>
    <col min="30" max="16384" width="9.140625" style="1"/>
  </cols>
  <sheetData>
    <row r="1" spans="1:27">
      <c r="H1" s="2" t="e">
        <f>H78*0.2</f>
        <v>#REF!</v>
      </c>
      <c r="I1" s="2" t="e">
        <f t="shared" ref="I1:L1" si="0">I78*0.2</f>
        <v>#REF!</v>
      </c>
      <c r="J1" s="2">
        <f t="shared" si="0"/>
        <v>5044.7347848607678</v>
      </c>
      <c r="K1" s="2" t="e">
        <f t="shared" si="0"/>
        <v>#REF!</v>
      </c>
      <c r="L1" s="2" t="e">
        <f t="shared" si="0"/>
        <v>#REF!</v>
      </c>
    </row>
    <row r="2" spans="1:27">
      <c r="B2" s="3" t="s">
        <v>0</v>
      </c>
      <c r="C2" s="4"/>
      <c r="D2" s="4"/>
      <c r="E2" s="4"/>
    </row>
    <row r="3" spans="1:27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6"/>
      <c r="L3" s="6"/>
    </row>
    <row r="4" spans="1:27" ht="15.75" thickBot="1">
      <c r="A4" s="6"/>
      <c r="B4" s="7"/>
      <c r="C4" s="8" t="s">
        <v>2</v>
      </c>
      <c r="D4" s="8"/>
      <c r="E4" s="8"/>
      <c r="F4" s="8"/>
      <c r="G4" s="6"/>
      <c r="H4" s="6"/>
      <c r="I4" s="6"/>
      <c r="J4" s="6"/>
      <c r="K4" s="6"/>
      <c r="L4" s="6"/>
    </row>
    <row r="5" spans="1:27" ht="15.75" customHeight="1" thickBot="1">
      <c r="A5" s="9" t="s">
        <v>3</v>
      </c>
      <c r="B5" s="9" t="s">
        <v>4</v>
      </c>
      <c r="C5" s="9" t="s">
        <v>5</v>
      </c>
      <c r="D5" s="10" t="s">
        <v>6</v>
      </c>
      <c r="E5" s="11"/>
      <c r="F5" s="11"/>
      <c r="G5" s="11"/>
      <c r="H5" s="11"/>
      <c r="I5" s="11"/>
      <c r="J5" s="11"/>
      <c r="K5" s="11"/>
      <c r="L5" s="12"/>
      <c r="M5" s="10" t="s">
        <v>7</v>
      </c>
      <c r="N5" s="11"/>
      <c r="O5" s="12"/>
      <c r="P5" s="13" t="s">
        <v>8</v>
      </c>
      <c r="Q5" s="14"/>
      <c r="R5" s="14"/>
      <c r="S5" s="14"/>
      <c r="T5" s="14"/>
      <c r="U5" s="15" t="s">
        <v>9</v>
      </c>
      <c r="V5" s="16" t="s">
        <v>10</v>
      </c>
      <c r="W5" s="16" t="s">
        <v>11</v>
      </c>
    </row>
    <row r="6" spans="1:27" ht="15.75" customHeight="1" thickBot="1">
      <c r="A6" s="17"/>
      <c r="B6" s="17"/>
      <c r="C6" s="17"/>
      <c r="D6" s="18">
        <v>2014</v>
      </c>
      <c r="E6" s="18"/>
      <c r="F6" s="19">
        <v>2015</v>
      </c>
      <c r="G6" s="20"/>
      <c r="H6" s="21" t="s">
        <v>12</v>
      </c>
      <c r="I6" s="21" t="s">
        <v>13</v>
      </c>
      <c r="J6" s="9" t="s">
        <v>14</v>
      </c>
      <c r="K6" s="22" t="s">
        <v>15</v>
      </c>
      <c r="L6" s="9" t="s">
        <v>16</v>
      </c>
      <c r="M6" s="23" t="s">
        <v>14</v>
      </c>
      <c r="N6" s="24" t="s">
        <v>15</v>
      </c>
      <c r="O6" s="9" t="s">
        <v>16</v>
      </c>
      <c r="P6" s="25"/>
      <c r="Q6" s="26" t="s">
        <v>17</v>
      </c>
      <c r="R6" s="27" t="s">
        <v>18</v>
      </c>
      <c r="S6" s="9" t="s">
        <v>19</v>
      </c>
      <c r="T6" s="28" t="s">
        <v>20</v>
      </c>
      <c r="U6" s="29"/>
      <c r="V6" s="30"/>
      <c r="W6" s="30"/>
    </row>
    <row r="7" spans="1:27" ht="34.5" customHeight="1" thickBot="1">
      <c r="A7" s="31"/>
      <c r="B7" s="31"/>
      <c r="C7" s="31"/>
      <c r="D7" s="32" t="s">
        <v>21</v>
      </c>
      <c r="E7" s="33" t="s">
        <v>22</v>
      </c>
      <c r="F7" s="32" t="s">
        <v>21</v>
      </c>
      <c r="G7" s="34" t="s">
        <v>23</v>
      </c>
      <c r="H7" s="35"/>
      <c r="I7" s="35"/>
      <c r="J7" s="31"/>
      <c r="K7" s="36"/>
      <c r="L7" s="31"/>
      <c r="M7" s="37"/>
      <c r="N7" s="38"/>
      <c r="O7" s="31"/>
      <c r="P7" s="39"/>
      <c r="Q7" s="40"/>
      <c r="R7" s="41"/>
      <c r="S7" s="31"/>
      <c r="T7" s="38"/>
      <c r="U7" s="42"/>
      <c r="V7" s="43">
        <v>2016</v>
      </c>
      <c r="W7" s="43">
        <v>2018</v>
      </c>
    </row>
    <row r="8" spans="1:27" ht="15.75" thickBot="1">
      <c r="A8" s="44">
        <v>1</v>
      </c>
      <c r="B8" s="45">
        <v>2</v>
      </c>
      <c r="C8" s="45">
        <v>3</v>
      </c>
      <c r="D8" s="45">
        <v>4</v>
      </c>
      <c r="E8" s="45">
        <v>5</v>
      </c>
      <c r="F8" s="46">
        <v>6</v>
      </c>
      <c r="G8" s="47">
        <v>7</v>
      </c>
      <c r="H8" s="48">
        <v>8</v>
      </c>
      <c r="I8" s="47">
        <v>7</v>
      </c>
      <c r="J8" s="45">
        <v>8</v>
      </c>
      <c r="K8" s="45">
        <v>9</v>
      </c>
      <c r="L8" s="45">
        <v>10</v>
      </c>
      <c r="M8" s="45">
        <v>11</v>
      </c>
      <c r="N8" s="45">
        <v>12</v>
      </c>
      <c r="O8" s="45">
        <v>13</v>
      </c>
      <c r="P8" s="45">
        <v>9</v>
      </c>
      <c r="Q8" s="45">
        <v>10</v>
      </c>
      <c r="R8" s="45">
        <v>11</v>
      </c>
      <c r="S8" s="45">
        <v>12</v>
      </c>
      <c r="T8" s="49">
        <v>13</v>
      </c>
      <c r="U8" s="50"/>
      <c r="V8" s="50"/>
      <c r="W8" s="51"/>
    </row>
    <row r="9" spans="1:27" ht="15.75" hidden="1" customHeight="1" thickBot="1">
      <c r="A9" s="52"/>
      <c r="B9" s="53"/>
      <c r="C9" s="53"/>
      <c r="D9" s="53"/>
      <c r="E9" s="53"/>
      <c r="F9" s="54"/>
      <c r="G9" s="55"/>
      <c r="H9" s="56"/>
      <c r="I9" s="56"/>
      <c r="J9" s="57"/>
      <c r="K9" s="58"/>
      <c r="L9" s="55"/>
      <c r="M9" s="59"/>
      <c r="N9" s="60"/>
      <c r="O9" s="61"/>
      <c r="P9" s="50"/>
      <c r="Q9" s="50"/>
      <c r="R9" s="50"/>
      <c r="S9" s="50"/>
      <c r="T9" s="51"/>
      <c r="U9" s="50"/>
      <c r="V9" s="50"/>
      <c r="W9" s="51"/>
    </row>
    <row r="10" spans="1:27" ht="15.75" thickBot="1">
      <c r="A10" s="62">
        <v>1</v>
      </c>
      <c r="B10" s="63" t="s">
        <v>24</v>
      </c>
      <c r="C10" s="63"/>
      <c r="D10" s="64">
        <f>D11+D15+D21+D23+D26+D27+D28+0.8</f>
        <v>163318.763041964</v>
      </c>
      <c r="E10" s="64">
        <f t="shared" ref="E10:I10" si="1">E11+E15+E21+E23+E26+E27+E28</f>
        <v>205244.78929391</v>
      </c>
      <c r="F10" s="65">
        <f>F11+F15+F21+F23+F26+F27+F28-0.01</f>
        <v>296662.075907727</v>
      </c>
      <c r="G10" s="66">
        <f t="shared" si="1"/>
        <v>283635.82501629891</v>
      </c>
      <c r="H10" s="66">
        <f t="shared" si="1"/>
        <v>117117.64063980414</v>
      </c>
      <c r="I10" s="66">
        <f t="shared" si="1"/>
        <v>290261.5857210611</v>
      </c>
      <c r="J10" s="66">
        <f>J11+J15+J21++J22+J23+J26+J27+J28</f>
        <v>430576.31241347181</v>
      </c>
      <c r="K10" s="66">
        <f t="shared" ref="K10:O10" si="2">K11+K15+K21++K22+K23+K26+K27+K28</f>
        <v>394356.12624279736</v>
      </c>
      <c r="L10" s="66">
        <f t="shared" si="2"/>
        <v>407181.96718031849</v>
      </c>
      <c r="M10" s="66">
        <f t="shared" si="2"/>
        <v>176220.04563288091</v>
      </c>
      <c r="N10" s="66" t="e">
        <f t="shared" si="2"/>
        <v>#VALUE!</v>
      </c>
      <c r="O10" s="66">
        <f t="shared" si="2"/>
        <v>30495.39794310588</v>
      </c>
      <c r="P10" s="66">
        <f>P11+P15+P21+P22+P23+P26+P27+P28</f>
        <v>337269.47613289504</v>
      </c>
      <c r="Q10" s="66">
        <f t="shared" ref="Q10:W10" si="3">Q11+Q15+Q21+Q22+Q23+Q26+Q27+Q28</f>
        <v>328253.43613289506</v>
      </c>
      <c r="R10" s="66">
        <f t="shared" si="3"/>
        <v>328253.43613289506</v>
      </c>
      <c r="S10" s="66">
        <f t="shared" si="3"/>
        <v>328253.43613289506</v>
      </c>
      <c r="T10" s="66">
        <f t="shared" si="3"/>
        <v>328253.43613289506</v>
      </c>
      <c r="U10" s="66">
        <f t="shared" si="3"/>
        <v>565727.97569546825</v>
      </c>
      <c r="V10" s="66">
        <f t="shared" si="3"/>
        <v>420530.55320428003</v>
      </c>
      <c r="W10" s="67">
        <f t="shared" si="3"/>
        <v>703331.6478083753</v>
      </c>
    </row>
    <row r="11" spans="1:27" ht="26.25" thickBot="1">
      <c r="A11" s="68" t="s">
        <v>25</v>
      </c>
      <c r="B11" s="69" t="s">
        <v>26</v>
      </c>
      <c r="C11" s="70" t="s">
        <v>27</v>
      </c>
      <c r="D11" s="71">
        <f>D12+D13+D14-0.1</f>
        <v>7870.4990490000009</v>
      </c>
      <c r="E11" s="71">
        <f t="shared" ref="E11:W11" si="4">E12+E13+E14</f>
        <v>8944.2979337440884</v>
      </c>
      <c r="F11" s="72">
        <f t="shared" si="4"/>
        <v>9513.007988169531</v>
      </c>
      <c r="G11" s="73">
        <f t="shared" si="4"/>
        <v>9305.4413749725591</v>
      </c>
      <c r="H11" s="73">
        <f t="shared" si="4"/>
        <v>9265.254544881087</v>
      </c>
      <c r="I11" s="73">
        <f t="shared" si="4"/>
        <v>18492.309198843795</v>
      </c>
      <c r="J11" s="73">
        <f t="shared" si="4"/>
        <v>17499.431830990339</v>
      </c>
      <c r="K11" s="73">
        <f t="shared" si="4"/>
        <v>18251.907399722921</v>
      </c>
      <c r="L11" s="73">
        <f t="shared" si="4"/>
        <v>19040.138909921297</v>
      </c>
      <c r="M11" s="73">
        <f t="shared" si="4"/>
        <v>0</v>
      </c>
      <c r="N11" s="73">
        <f t="shared" si="4"/>
        <v>0</v>
      </c>
      <c r="O11" s="73">
        <f t="shared" si="4"/>
        <v>0</v>
      </c>
      <c r="P11" s="73">
        <f t="shared" si="4"/>
        <v>14828.48</v>
      </c>
      <c r="Q11" s="73">
        <f t="shared" si="4"/>
        <v>14828.48</v>
      </c>
      <c r="R11" s="73">
        <f t="shared" si="4"/>
        <v>14828.48</v>
      </c>
      <c r="S11" s="73">
        <f t="shared" si="4"/>
        <v>14828.48</v>
      </c>
      <c r="T11" s="73">
        <f t="shared" si="4"/>
        <v>14828.48</v>
      </c>
      <c r="U11" s="73">
        <f t="shared" si="4"/>
        <v>15664.009562573201</v>
      </c>
      <c r="V11" s="73">
        <f t="shared" si="4"/>
        <v>12794.128841399999</v>
      </c>
      <c r="W11" s="74">
        <f t="shared" si="4"/>
        <v>13217.981374212201</v>
      </c>
    </row>
    <row r="12" spans="1:27" ht="15.75" thickTop="1">
      <c r="A12" s="75" t="s">
        <v>28</v>
      </c>
      <c r="B12" s="76" t="s">
        <v>29</v>
      </c>
      <c r="C12" s="77" t="s">
        <v>27</v>
      </c>
      <c r="D12" s="78">
        <f>'[1]расшифровки ВО_2016'!D32</f>
        <v>300.38600000000002</v>
      </c>
      <c r="E12" s="78">
        <f>'[1]расшифровки ВО_2016'!E32</f>
        <v>201.41520000000003</v>
      </c>
      <c r="F12" s="78">
        <f>'[1]расшифровки ВО_2016'!F32</f>
        <v>269.23088639999997</v>
      </c>
      <c r="G12" s="78">
        <f>'[1]расшифровки ВО_2016'!G32</f>
        <v>187.6224</v>
      </c>
      <c r="H12" s="78">
        <f>'[1]расшифровки ВО_2016'!H32</f>
        <v>107.08320000000001</v>
      </c>
      <c r="I12" s="78">
        <f>'[1]расшифровки ВО_2016'!I32</f>
        <v>232.61280000000002</v>
      </c>
      <c r="J12" s="78">
        <f>'[1]расшифровки ВО_2016'!J32</f>
        <v>258.49454400000002</v>
      </c>
      <c r="K12" s="78">
        <f>'[1]расшифровки ВО_2016'!K32</f>
        <v>269.60980939200005</v>
      </c>
      <c r="L12" s="78">
        <f>'[1]расшифровки ВО_2016'!L32</f>
        <v>282.90277720099999</v>
      </c>
      <c r="M12" s="79">
        <f>'[1]расшифровки ВО_2016'!R32</f>
        <v>0</v>
      </c>
      <c r="N12" s="80">
        <f>'[1]расшифровки ВО_2016'!P32</f>
        <v>0</v>
      </c>
      <c r="O12" s="81">
        <f>'[1]расшифровки ВО_2016'!Q32</f>
        <v>0</v>
      </c>
      <c r="P12" s="78">
        <v>253.79</v>
      </c>
      <c r="Q12" s="78">
        <v>253.79</v>
      </c>
      <c r="R12" s="78">
        <v>253.79</v>
      </c>
      <c r="S12" s="78">
        <v>253.79</v>
      </c>
      <c r="T12" s="78">
        <v>253.79</v>
      </c>
      <c r="U12" s="78">
        <f>'[2]расшифровки ВО_2016'!$Q$32</f>
        <v>7047.5696431999995</v>
      </c>
      <c r="V12" s="78">
        <f>'[3]расшифровки ВО_2016'!U19</f>
        <v>205.269204</v>
      </c>
      <c r="W12" s="82">
        <f>'[3]расшифровки ВО_2016'!V19</f>
        <v>260.33827240400001</v>
      </c>
      <c r="X12" s="1" t="s">
        <v>30</v>
      </c>
      <c r="AA12" s="83">
        <f>U12+U13+U14+U23+U27+U34+U40+110711</f>
        <v>345913.03716746822</v>
      </c>
    </row>
    <row r="13" spans="1:27">
      <c r="A13" s="75" t="s">
        <v>31</v>
      </c>
      <c r="B13" s="84" t="s">
        <v>32</v>
      </c>
      <c r="C13" s="77" t="s">
        <v>27</v>
      </c>
      <c r="D13" s="85">
        <f>'[1]расшифровки ВО_2016'!D46</f>
        <v>5052.7230490000011</v>
      </c>
      <c r="E13" s="85">
        <f>'[1]расшифровки ВО_2016'!E46</f>
        <v>5196.7401605920886</v>
      </c>
      <c r="F13" s="85">
        <f>'[1]расшифровки ВО_2016'!F46</f>
        <v>5203.360887402132</v>
      </c>
      <c r="G13" s="85">
        <f>'[1]расшифровки ВО_2016'!G46</f>
        <v>5465.2921246259993</v>
      </c>
      <c r="H13" s="85">
        <f>'[1]расшифровки ВО_2016'!H46</f>
        <v>3145.1639770405436</v>
      </c>
      <c r="I13" s="85">
        <f>'[1]расшифровки ВО_2016'!I46</f>
        <v>6353.2312336218984</v>
      </c>
      <c r="J13" s="85">
        <f>'[1]расшифровки ВО_2016'!J46</f>
        <v>5711.2302702341694</v>
      </c>
      <c r="K13" s="85">
        <f>'[1]расшифровки ВО_2016'!K46</f>
        <v>5956.8131718542381</v>
      </c>
      <c r="L13" s="85">
        <f>'[1]расшифровки ВО_2016'!L46</f>
        <v>6212.9561382439706</v>
      </c>
      <c r="M13" s="86">
        <f>'[1]расшифровки ВО_2016'!R46</f>
        <v>0</v>
      </c>
      <c r="N13" s="87">
        <f>'[1]расшифровки ВО_2016'!P46</f>
        <v>0</v>
      </c>
      <c r="O13" s="88">
        <f>'[1]расшифровки ВО_2016'!Q46</f>
        <v>0</v>
      </c>
      <c r="P13" s="85">
        <v>5704.46</v>
      </c>
      <c r="Q13" s="85">
        <v>5704.46</v>
      </c>
      <c r="R13" s="85">
        <v>5704.46</v>
      </c>
      <c r="S13" s="85">
        <v>5704.46</v>
      </c>
      <c r="T13" s="85">
        <v>5704.46</v>
      </c>
      <c r="U13" s="85">
        <f>'[2]расшифровки ВО_2016'!$Q$46</f>
        <v>5704.4620190852011</v>
      </c>
      <c r="V13" s="85">
        <f>'[3]расшифровки ВО_2016'!U64</f>
        <v>8576.359637399999</v>
      </c>
      <c r="W13" s="89">
        <f>'[3]расшифровки ВО_2016'!V64</f>
        <v>8945.1431018082003</v>
      </c>
    </row>
    <row r="14" spans="1:27" ht="26.25" thickBot="1">
      <c r="A14" s="90" t="s">
        <v>33</v>
      </c>
      <c r="B14" s="91" t="s">
        <v>34</v>
      </c>
      <c r="C14" s="92" t="s">
        <v>27</v>
      </c>
      <c r="D14" s="93">
        <f>'[1]расшифровки ВО_2016'!D57</f>
        <v>2517.4899999999998</v>
      </c>
      <c r="E14" s="93">
        <f>'[1]расшифровки ВО_2016'!E57</f>
        <v>3546.1425731519994</v>
      </c>
      <c r="F14" s="93">
        <f>'[1]расшифровки ВО_2016'!F62</f>
        <v>4040.4162143674002</v>
      </c>
      <c r="G14" s="93">
        <f>'[1]расшифровки ВО_2016'!G57</f>
        <v>3652.5268503465595</v>
      </c>
      <c r="H14" s="93">
        <f>'[1]расшифровки ВО_2016'!H63</f>
        <v>6013.0073678405433</v>
      </c>
      <c r="I14" s="93">
        <f>'[1]расшифровки ВО_2016'!I63</f>
        <v>11906.465165221896</v>
      </c>
      <c r="J14" s="93">
        <f>'[1]расшифровки ВО_2016'!J63</f>
        <v>11529.707016756169</v>
      </c>
      <c r="K14" s="93">
        <f>'[1]расшифровки ВО_2016'!K63</f>
        <v>12025.484418476683</v>
      </c>
      <c r="L14" s="93">
        <f>'[1]расшифровки ВО_2016'!L63</f>
        <v>12544.279994476325</v>
      </c>
      <c r="M14" s="94">
        <f>'[1]расшифровки ВО_2016'!R62</f>
        <v>0</v>
      </c>
      <c r="N14" s="95">
        <f>'[1]расшифровки ВО_2016'!P56</f>
        <v>0</v>
      </c>
      <c r="O14" s="96">
        <f>'[1]расшифровки ВО_2016'!Q56</f>
        <v>0</v>
      </c>
      <c r="P14" s="93">
        <v>8870.23</v>
      </c>
      <c r="Q14" s="93">
        <v>8870.23</v>
      </c>
      <c r="R14" s="93">
        <v>8870.23</v>
      </c>
      <c r="S14" s="93">
        <v>8870.23</v>
      </c>
      <c r="T14" s="93">
        <v>8870.23</v>
      </c>
      <c r="U14" s="93">
        <f>'[2]расшифровки ВО_2016'!$Q$62</f>
        <v>2911.977900288</v>
      </c>
      <c r="V14" s="93">
        <f>'[3]расшифровки ВО_2016'!U80</f>
        <v>4012.5</v>
      </c>
      <c r="W14" s="97">
        <f>'[3]расшифровки ВО_2016'!V80</f>
        <v>4012.5</v>
      </c>
      <c r="AA14" s="83">
        <f>U17+U19+U21+81706+U68+U80+U59+U26</f>
        <v>209629.95</v>
      </c>
    </row>
    <row r="15" spans="1:27" ht="27" thickTop="1" thickBot="1">
      <c r="A15" s="68" t="s">
        <v>35</v>
      </c>
      <c r="B15" s="69" t="s">
        <v>36</v>
      </c>
      <c r="C15" s="70" t="s">
        <v>27</v>
      </c>
      <c r="D15" s="71">
        <f>D16+D17+D18+D19+D20</f>
        <v>23071.226448900004</v>
      </c>
      <c r="E15" s="71">
        <f t="shared" ref="E15:W15" si="5">E16+E17+E18+E19+E20</f>
        <v>21941.542606999999</v>
      </c>
      <c r="F15" s="72">
        <f t="shared" si="5"/>
        <v>25252.088480693881</v>
      </c>
      <c r="G15" s="73">
        <f t="shared" si="5"/>
        <v>23311.207549999999</v>
      </c>
      <c r="H15" s="73">
        <f t="shared" si="5"/>
        <v>13628.401040319999</v>
      </c>
      <c r="I15" s="73">
        <f t="shared" si="5"/>
        <v>28884.352080639997</v>
      </c>
      <c r="J15" s="73">
        <f t="shared" si="5"/>
        <v>30911.45340260824</v>
      </c>
      <c r="K15" s="73">
        <f t="shared" si="5"/>
        <v>32520.429449076968</v>
      </c>
      <c r="L15" s="73">
        <f t="shared" si="5"/>
        <v>34223.336851387277</v>
      </c>
      <c r="M15" s="73">
        <f t="shared" si="5"/>
        <v>26938.22949998586</v>
      </c>
      <c r="N15" s="73">
        <f t="shared" si="5"/>
        <v>28651.878651981566</v>
      </c>
      <c r="O15" s="73">
        <f t="shared" si="5"/>
        <v>30495.39794310588</v>
      </c>
      <c r="P15" s="73">
        <f t="shared" si="5"/>
        <v>26938.230000000003</v>
      </c>
      <c r="Q15" s="73">
        <f t="shared" si="5"/>
        <v>26938.230000000003</v>
      </c>
      <c r="R15" s="73">
        <f t="shared" si="5"/>
        <v>26938.230000000003</v>
      </c>
      <c r="S15" s="73">
        <f t="shared" si="5"/>
        <v>26938.230000000003</v>
      </c>
      <c r="T15" s="73">
        <f t="shared" si="5"/>
        <v>26938.230000000003</v>
      </c>
      <c r="U15" s="73">
        <f t="shared" si="5"/>
        <v>144024.93</v>
      </c>
      <c r="V15" s="73">
        <f t="shared" si="5"/>
        <v>35944.522961729992</v>
      </c>
      <c r="W15" s="74">
        <f t="shared" si="5"/>
        <v>45703.291126699987</v>
      </c>
    </row>
    <row r="16" spans="1:27" ht="15.75" thickTop="1">
      <c r="A16" s="75" t="s">
        <v>37</v>
      </c>
      <c r="B16" s="76" t="s">
        <v>38</v>
      </c>
      <c r="C16" s="77" t="s">
        <v>27</v>
      </c>
      <c r="D16" s="78">
        <f>'[1]расшифровки ВО_2016'!D173-0.05</f>
        <v>19458.498000000003</v>
      </c>
      <c r="E16" s="78">
        <f>'[1]расшифровки ВО_2016'!E173</f>
        <v>20358.698700000001</v>
      </c>
      <c r="F16" s="78">
        <f>'[1]расшифровки ВО_2016'!F168</f>
        <v>22882.459800547746</v>
      </c>
      <c r="G16" s="78">
        <f>'[1]расшифровки ВО_2016'!G173</f>
        <v>21048.319950000001</v>
      </c>
      <c r="H16" s="78">
        <f>'[1]расшифровки ВО_2016'!H119</f>
        <v>12039.8</v>
      </c>
      <c r="I16" s="78">
        <f>'[1]расшифровки ВО_2016'!I119</f>
        <v>26094.1</v>
      </c>
      <c r="J16" s="78">
        <f>'[1]расшифровки ВО_2016'!J119</f>
        <v>27974.404999999999</v>
      </c>
      <c r="K16" s="78">
        <f>'[1]расшифровки ВО_2016'!K119</f>
        <v>29457.047999999999</v>
      </c>
      <c r="L16" s="78">
        <f>'[1]расшифровки ВО_2016'!L119</f>
        <v>31028.27</v>
      </c>
      <c r="M16" s="78">
        <f>'[1]расшифровки ВО_2016'!M119</f>
        <v>24559.579336105988</v>
      </c>
      <c r="N16" s="78">
        <f>'[1]расшифровки ВО_2016'!N119</f>
        <v>26180.511572288982</v>
      </c>
      <c r="O16" s="78">
        <f>'[1]расшифровки ВО_2016'!O119</f>
        <v>27934.605847632338</v>
      </c>
      <c r="P16" s="78">
        <v>24559.58</v>
      </c>
      <c r="Q16" s="78">
        <v>24559.58</v>
      </c>
      <c r="R16" s="78">
        <v>24559.58</v>
      </c>
      <c r="S16" s="78">
        <v>24559.58</v>
      </c>
      <c r="T16" s="78">
        <v>24559.58</v>
      </c>
      <c r="U16" s="78">
        <v>133903.09</v>
      </c>
      <c r="V16" s="78">
        <f>'[3]расшифровки ВО_2016'!U145</f>
        <v>33956.950016179995</v>
      </c>
      <c r="W16" s="82">
        <f>'[3]расшифровки ВО_2016'!V145</f>
        <v>43467.863781499989</v>
      </c>
      <c r="X16" s="1" t="s">
        <v>30</v>
      </c>
    </row>
    <row r="17" spans="1:28">
      <c r="A17" s="75" t="s">
        <v>39</v>
      </c>
      <c r="B17" s="84" t="s">
        <v>40</v>
      </c>
      <c r="C17" s="77" t="s">
        <v>27</v>
      </c>
      <c r="D17" s="85">
        <f>'[1]расшифровки ВО_2016'!D196</f>
        <v>2885.0891940000001</v>
      </c>
      <c r="E17" s="85">
        <f>'[1]расшифровки ВО_2016'!E196</f>
        <v>1409.3519550000001</v>
      </c>
      <c r="F17" s="85">
        <f>'[1]расшифровки ВО_2016'!F196</f>
        <v>1815.6193880000003</v>
      </c>
      <c r="G17" s="85">
        <f>'[1]расшифровки ВО_2016'!G196</f>
        <v>1587.7639999999999</v>
      </c>
      <c r="H17" s="85">
        <f>'[1]расшифровки ВО_2016'!H196</f>
        <v>1046.3900000000001</v>
      </c>
      <c r="I17" s="85">
        <f>'[1]расшифровки ВО_2016'!I196</f>
        <v>1705.8299999999997</v>
      </c>
      <c r="J17" s="85">
        <f>'[1]расшифровки ВО_2016'!J196</f>
        <v>1779.77</v>
      </c>
      <c r="K17" s="85">
        <f>'[1]расшифровки ВО_2016'!K196</f>
        <v>1856.3400751565762</v>
      </c>
      <c r="L17" s="85">
        <f>'[1]расшифровки ВО_2016'!L196</f>
        <v>1936.1226983883089</v>
      </c>
      <c r="M17" s="85">
        <f>'[1]расшифровки ВО_2016'!M196</f>
        <v>1853.4306249999997</v>
      </c>
      <c r="N17" s="85">
        <f>'[1]расшифровки ВО_2016'!N196</f>
        <v>1909.03354375</v>
      </c>
      <c r="O17" s="85">
        <f>'[1]расшифровки ВО_2016'!O196</f>
        <v>1966.3045500624999</v>
      </c>
      <c r="P17" s="85">
        <v>1853.43</v>
      </c>
      <c r="Q17" s="85">
        <v>1853.43</v>
      </c>
      <c r="R17" s="85">
        <v>1853.43</v>
      </c>
      <c r="S17" s="85">
        <v>1853.43</v>
      </c>
      <c r="T17" s="85">
        <v>1853.43</v>
      </c>
      <c r="U17" s="85">
        <v>1899.72</v>
      </c>
      <c r="V17" s="85">
        <f>'[3]расшифровки ВО_2016'!U171</f>
        <v>1836.6792001500003</v>
      </c>
      <c r="W17" s="89">
        <f>'[3]расшифровки ВО_2016'!V171</f>
        <v>2045.2690724999998</v>
      </c>
    </row>
    <row r="18" spans="1:28">
      <c r="A18" s="75" t="s">
        <v>41</v>
      </c>
      <c r="B18" s="84" t="s">
        <v>42</v>
      </c>
      <c r="C18" s="77" t="s">
        <v>27</v>
      </c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9"/>
    </row>
    <row r="19" spans="1:28">
      <c r="A19" s="75" t="s">
        <v>43</v>
      </c>
      <c r="B19" s="84" t="s">
        <v>44</v>
      </c>
      <c r="C19" s="77" t="s">
        <v>27</v>
      </c>
      <c r="D19" s="85">
        <f>'[1]расшифровки ВО_2016'!D238</f>
        <v>727.63925489999997</v>
      </c>
      <c r="E19" s="85">
        <f>'[1]расшифровки ВО_2016'!E238</f>
        <v>173.491952</v>
      </c>
      <c r="F19" s="85">
        <f>'[1]расшифровки ВО_2016'!F238</f>
        <v>554.00929214613507</v>
      </c>
      <c r="G19" s="85">
        <f>'[1]расшифровки ВО_2016'!G238</f>
        <v>675.1235999999999</v>
      </c>
      <c r="H19" s="85">
        <f>'[1]расшифровки ВО_2016'!H238</f>
        <v>542.21104032000005</v>
      </c>
      <c r="I19" s="85">
        <f>'[1]расшифровки ВО_2016'!I238</f>
        <v>1084.4220806400001</v>
      </c>
      <c r="J19" s="85">
        <f>'[1]расшифровки ВО_2016'!J238</f>
        <v>1157.2784026082397</v>
      </c>
      <c r="K19" s="85">
        <f>'[1]расшифровки ВО_2016'!K238</f>
        <v>1207.0413739203941</v>
      </c>
      <c r="L19" s="85">
        <f>'[1]расшифровки ВО_2016'!L238</f>
        <v>1258.9441529989713</v>
      </c>
      <c r="M19" s="85">
        <f>'[1]расшифровки ВО_2016'!M238</f>
        <v>525.21953887987195</v>
      </c>
      <c r="N19" s="85">
        <f>'[1]расшифровки ВО_2016'!N238</f>
        <v>562.33353594258324</v>
      </c>
      <c r="O19" s="85">
        <f>'[1]расшифровки ВО_2016'!O238</f>
        <v>594.48754541103983</v>
      </c>
      <c r="P19" s="85">
        <v>525.22</v>
      </c>
      <c r="Q19" s="85">
        <v>525.22</v>
      </c>
      <c r="R19" s="85">
        <v>525.22</v>
      </c>
      <c r="S19" s="85">
        <v>525.22</v>
      </c>
      <c r="T19" s="85">
        <v>525.22</v>
      </c>
      <c r="U19" s="85">
        <v>8222.1200000000008</v>
      </c>
      <c r="V19" s="85">
        <f>'[3]расшифровки ВО_2016'!U213</f>
        <v>150.8937454</v>
      </c>
      <c r="W19" s="89">
        <f>'[3]расшифровки ВО_2016'!V213</f>
        <v>190.1582727</v>
      </c>
      <c r="X19" s="1" t="s">
        <v>30</v>
      </c>
    </row>
    <row r="20" spans="1:28" ht="15.75" thickBot="1">
      <c r="A20" s="90" t="s">
        <v>45</v>
      </c>
      <c r="B20" s="91" t="s">
        <v>46</v>
      </c>
      <c r="C20" s="92" t="s">
        <v>27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7"/>
    </row>
    <row r="21" spans="1:28" ht="66.75" customHeight="1" thickTop="1" thickBot="1">
      <c r="A21" s="68" t="s">
        <v>47</v>
      </c>
      <c r="B21" s="98" t="s">
        <v>48</v>
      </c>
      <c r="C21" s="70" t="s">
        <v>49</v>
      </c>
      <c r="D21" s="71">
        <v>2400</v>
      </c>
      <c r="E21" s="71"/>
      <c r="F21" s="71">
        <f>'[1]расшифровки ВО_2016'!F296</f>
        <v>58804.290899999993</v>
      </c>
      <c r="G21" s="71">
        <f>'[1]расшифровки ВО_2016'!G296</f>
        <v>52160.806530000002</v>
      </c>
      <c r="H21" s="71">
        <v>0</v>
      </c>
      <c r="I21" s="71">
        <f>'[1]расшифровки ВО_2016'!I294</f>
        <v>50000</v>
      </c>
      <c r="J21" s="71">
        <f>'[1]расшифровки ВО_2016'!J296</f>
        <v>151794.69949534995</v>
      </c>
      <c r="K21" s="71">
        <f>'[1]расшифровки ВО_2016'!K294</f>
        <v>0</v>
      </c>
      <c r="L21" s="71">
        <f>'[1]расшифровки ВО_2016'!L294</f>
        <v>0</v>
      </c>
      <c r="M21" s="99">
        <f>'[1]расшифровки ВО_2016'!R296</f>
        <v>0</v>
      </c>
      <c r="N21" s="100">
        <f>'[1]расшифровки ВО_2016'!P296</f>
        <v>0</v>
      </c>
      <c r="O21" s="101">
        <f>'[1]расшифровки ВО_2016'!Q296</f>
        <v>0</v>
      </c>
      <c r="P21" s="71">
        <f>116999.9-P22</f>
        <v>9447.2600000000384</v>
      </c>
      <c r="Q21" s="71">
        <v>116999.9</v>
      </c>
      <c r="R21" s="71">
        <v>116999.9</v>
      </c>
      <c r="S21" s="71">
        <v>116999.9</v>
      </c>
      <c r="T21" s="71">
        <v>116999.9</v>
      </c>
      <c r="U21" s="71">
        <f>1205.85+8586.37</f>
        <v>9792.2200000000012</v>
      </c>
      <c r="V21" s="71">
        <f>'[3]расшифровки ВО_2016'!W261+'[3]расшифровки ВО_2016'!W274</f>
        <v>1074.65716</v>
      </c>
      <c r="W21" s="74">
        <f>'[3]расшифровки ВО_2016'!X261+'[3]расшифровки ВО_2016'!X274</f>
        <v>1120.8674178799999</v>
      </c>
    </row>
    <row r="22" spans="1:28" ht="58.5" customHeight="1" thickTop="1" thickBot="1">
      <c r="A22" s="68" t="s">
        <v>50</v>
      </c>
      <c r="B22" s="69" t="s">
        <v>51</v>
      </c>
      <c r="C22" s="70"/>
      <c r="D22" s="71"/>
      <c r="E22" s="71"/>
      <c r="F22" s="71"/>
      <c r="G22" s="73"/>
      <c r="H22" s="73"/>
      <c r="I22" s="73"/>
      <c r="J22" s="73">
        <f>'[1]эксплуат. затр. по очистным'!B10/4</f>
        <v>39250.230948560005</v>
      </c>
      <c r="K22" s="73">
        <f>'[1]эксплуат. затр. по очистным'!B10</f>
        <v>157000.92379424002</v>
      </c>
      <c r="L22" s="73">
        <f>K22*1.043</f>
        <v>163751.96351739235</v>
      </c>
      <c r="M22" s="99"/>
      <c r="N22" s="100"/>
      <c r="O22" s="101"/>
      <c r="P22" s="71">
        <f>'[3]расшифровки ВО_2016'!Q275</f>
        <v>107552.63999999996</v>
      </c>
      <c r="Q22" s="73">
        <v>0</v>
      </c>
      <c r="R22" s="73">
        <v>0</v>
      </c>
      <c r="S22" s="73">
        <v>0</v>
      </c>
      <c r="T22" s="73">
        <v>0</v>
      </c>
      <c r="U22" s="73">
        <f>107552.64+81706.25</f>
        <v>189258.89</v>
      </c>
      <c r="V22" s="73">
        <f>'[3]расшифровки ВО_2016'!W275+'[3]расшифровки ВО_2016'!V275</f>
        <v>149868.36622457</v>
      </c>
      <c r="W22" s="74">
        <f>'[3]расшифровки ВО_2016'!X275</f>
        <v>411316.75119954412</v>
      </c>
      <c r="X22" s="102" t="s">
        <v>52</v>
      </c>
      <c r="Y22" s="102"/>
      <c r="Z22" s="102"/>
    </row>
    <row r="23" spans="1:28" ht="52.5" thickTop="1" thickBot="1">
      <c r="A23" s="103" t="s">
        <v>53</v>
      </c>
      <c r="B23" s="104" t="s">
        <v>54</v>
      </c>
      <c r="C23" s="105" t="s">
        <v>27</v>
      </c>
      <c r="D23" s="106">
        <f>D24+D25</f>
        <v>75835.100000000006</v>
      </c>
      <c r="E23" s="106">
        <f t="shared" ref="E23:W23" si="6">E24+E25</f>
        <v>149280.64026493669</v>
      </c>
      <c r="F23" s="107">
        <f t="shared" si="6"/>
        <v>158289.89853886364</v>
      </c>
      <c r="G23" s="108">
        <f t="shared" si="6"/>
        <v>161683.15563136799</v>
      </c>
      <c r="H23" s="108">
        <f t="shared" si="6"/>
        <v>74489.749850880005</v>
      </c>
      <c r="I23" s="108">
        <f t="shared" si="6"/>
        <v>155915.27078399999</v>
      </c>
      <c r="J23" s="108">
        <f t="shared" si="6"/>
        <v>149281.81613289504</v>
      </c>
      <c r="K23" s="108">
        <f t="shared" si="6"/>
        <v>153178.94563795993</v>
      </c>
      <c r="L23" s="108">
        <f t="shared" si="6"/>
        <v>159765.6403003922</v>
      </c>
      <c r="M23" s="108">
        <f t="shared" si="6"/>
        <v>149281.81613289504</v>
      </c>
      <c r="N23" s="108">
        <f t="shared" si="6"/>
        <v>0</v>
      </c>
      <c r="O23" s="108">
        <f t="shared" si="6"/>
        <v>0</v>
      </c>
      <c r="P23" s="108">
        <f t="shared" si="6"/>
        <v>149281.81613289504</v>
      </c>
      <c r="Q23" s="108">
        <f t="shared" si="6"/>
        <v>149281.81613289504</v>
      </c>
      <c r="R23" s="108">
        <f t="shared" si="6"/>
        <v>149281.81613289504</v>
      </c>
      <c r="S23" s="108">
        <f t="shared" si="6"/>
        <v>149281.81613289504</v>
      </c>
      <c r="T23" s="108">
        <f t="shared" si="6"/>
        <v>149281.81613289504</v>
      </c>
      <c r="U23" s="108">
        <f t="shared" si="6"/>
        <v>149281.81613289504</v>
      </c>
      <c r="V23" s="108">
        <f t="shared" si="6"/>
        <v>178637.79887100001</v>
      </c>
      <c r="W23" s="109">
        <f t="shared" si="6"/>
        <v>186313.49787614204</v>
      </c>
      <c r="Y23" s="102"/>
      <c r="Z23" s="102"/>
    </row>
    <row r="24" spans="1:28" ht="27" thickTop="1" thickBot="1">
      <c r="A24" s="75" t="s">
        <v>55</v>
      </c>
      <c r="B24" s="76" t="s">
        <v>56</v>
      </c>
      <c r="C24" s="77" t="s">
        <v>27</v>
      </c>
      <c r="D24" s="71">
        <f>'[1]Зар.плата осн.персонала'!D191</f>
        <v>58245.100000000006</v>
      </c>
      <c r="E24" s="110">
        <f>'[1]Зар.плата осн.персонала'!E191</f>
        <v>114654.86963512802</v>
      </c>
      <c r="F24" s="110">
        <f>'[1]Зар.плата осн.персонала'!F191</f>
        <v>121574.42284090909</v>
      </c>
      <c r="G24" s="110">
        <f>'[1]Зар.плата осн.персонала'!G191</f>
        <v>124180.611084</v>
      </c>
      <c r="H24" s="110">
        <f>'[1]Зар.плата осн.персонала'!H191</f>
        <v>57211.78944</v>
      </c>
      <c r="I24" s="110">
        <f>'[1]Зар.плата осн.персонала'!I191</f>
        <v>119750.592</v>
      </c>
      <c r="J24" s="110">
        <f>'[1]Зар.плата осн.персонала'!J191</f>
        <v>114655.77275952</v>
      </c>
      <c r="K24" s="110">
        <f>'[1]Зар.плата осн.персонала'!K191</f>
        <v>117648.95978337935</v>
      </c>
      <c r="L24" s="110">
        <f>'[1]Зар.плата осн.персонала'!L191</f>
        <v>122707.86505406466</v>
      </c>
      <c r="M24" s="111">
        <f>'[1]Зар.плата осн.персонала'!M191</f>
        <v>114655.77275952</v>
      </c>
      <c r="N24" s="112">
        <f>'[1]Зар.плата осн.персонала'!N191</f>
        <v>0</v>
      </c>
      <c r="O24" s="113">
        <f>'[1]Зар.плата осн.персонала'!O191</f>
        <v>0</v>
      </c>
      <c r="P24" s="110">
        <v>114655.77275952</v>
      </c>
      <c r="Q24" s="110">
        <v>114655.77275952</v>
      </c>
      <c r="R24" s="110">
        <v>114655.77275952</v>
      </c>
      <c r="S24" s="110">
        <v>114655.77275952</v>
      </c>
      <c r="T24" s="110">
        <v>114655.77275952</v>
      </c>
      <c r="U24" s="110">
        <v>114655.77275952</v>
      </c>
      <c r="V24" s="110">
        <f>'[3]Зар.плата осн.персонала (2)'!N155</f>
        <v>137202.61050000001</v>
      </c>
      <c r="W24" s="114">
        <f>'[3]Зар.плата осн.персонала (2)'!Q191</f>
        <v>149255.7226298145</v>
      </c>
    </row>
    <row r="25" spans="1:28" ht="39.75" thickTop="1" thickBot="1">
      <c r="A25" s="90" t="s">
        <v>57</v>
      </c>
      <c r="B25" s="91" t="s">
        <v>58</v>
      </c>
      <c r="C25" s="92" t="s">
        <v>27</v>
      </c>
      <c r="D25" s="106">
        <f>'[1]Зар.плата осн.персонала'!D193</f>
        <v>17590</v>
      </c>
      <c r="E25" s="93">
        <f>'[1]Зар.плата осн.персонала'!E193</f>
        <v>34625.770629808663</v>
      </c>
      <c r="F25" s="93">
        <f>'[1]Зар.плата осн.персонала'!F193</f>
        <v>36715.475697954542</v>
      </c>
      <c r="G25" s="93">
        <f>'[1]Зар.плата осн.персонала'!G193</f>
        <v>37502.544547368001</v>
      </c>
      <c r="H25" s="93">
        <f>'[1]Зар.плата осн.персонала'!H193</f>
        <v>17277.960410879998</v>
      </c>
      <c r="I25" s="93">
        <f>'[1]Зар.плата осн.персонала'!I193</f>
        <v>36164.678783999996</v>
      </c>
      <c r="J25" s="93">
        <f>'[1]Зар.плата осн.персонала'!J193</f>
        <v>34626.04337337504</v>
      </c>
      <c r="K25" s="93">
        <f>'[1]Зар.плата осн.персонала'!K193</f>
        <v>35529.985854580562</v>
      </c>
      <c r="L25" s="93">
        <f>'[1]Зар.плата осн.персонала'!L193</f>
        <v>37057.775246327532</v>
      </c>
      <c r="M25" s="94">
        <f>'[1]Зар.плата осн.персонала'!M193</f>
        <v>34626.04337337504</v>
      </c>
      <c r="N25" s="95">
        <f>'[1]Зар.плата осн.персонала'!N193</f>
        <v>0</v>
      </c>
      <c r="O25" s="115">
        <f>'[1]Зар.плата осн.персонала'!O193</f>
        <v>0</v>
      </c>
      <c r="P25" s="93">
        <v>34626.04337337504</v>
      </c>
      <c r="Q25" s="93">
        <v>34626.04337337504</v>
      </c>
      <c r="R25" s="93">
        <v>34626.04337337504</v>
      </c>
      <c r="S25" s="93">
        <v>34626.04337337504</v>
      </c>
      <c r="T25" s="93">
        <v>34626.04337337504</v>
      </c>
      <c r="U25" s="93">
        <v>34626.04337337504</v>
      </c>
      <c r="V25" s="93">
        <f>'[3]Зар.плата осн.персонала (2)'!N193</f>
        <v>41435.188371000004</v>
      </c>
      <c r="W25" s="97">
        <f>'[3]Зар.плата осн.персонала (2)'!Q193</f>
        <v>37057.775246327532</v>
      </c>
    </row>
    <row r="26" spans="1:28" ht="27" thickTop="1" thickBot="1">
      <c r="A26" s="68" t="s">
        <v>59</v>
      </c>
      <c r="B26" s="69" t="s">
        <v>60</v>
      </c>
      <c r="C26" s="70" t="s">
        <v>27</v>
      </c>
      <c r="D26" s="71">
        <f>'[1]расшифровки ВО_2016'!D311-0.02</f>
        <v>4755.9975440640001</v>
      </c>
      <c r="E26" s="71">
        <f>'[1]расшифровка кредитов'!C106</f>
        <v>4581.8544556098004</v>
      </c>
      <c r="F26" s="71">
        <v>10180.370000000001</v>
      </c>
      <c r="G26" s="71">
        <f>'[1]расшифровки ВО_2016'!G311</f>
        <v>13109.711537338982</v>
      </c>
      <c r="H26" s="71">
        <f>'[1]расшифровки ВО_2016'!H311</f>
        <v>5417.9869123729995</v>
      </c>
      <c r="I26" s="71">
        <f>'[1]расшифровки ВО_2016'!I311</f>
        <v>9884.824734877162</v>
      </c>
      <c r="J26" s="71">
        <f>'[1]расшифровки ВО_2016'!J311</f>
        <v>17046.227650000001</v>
      </c>
      <c r="K26" s="71">
        <f>'[1]расшифровки ВО_2016'!K311</f>
        <v>7702.916512499999</v>
      </c>
      <c r="L26" s="71">
        <f>'[1]расшифровки ВО_2016'!L311</f>
        <v>3851.4582562499995</v>
      </c>
      <c r="M26" s="116">
        <f>'[1]расшифровки ВО_2016'!R311</f>
        <v>0</v>
      </c>
      <c r="N26" s="100">
        <f>'[1]расшифровки ВО_2016'!P311</f>
        <v>0</v>
      </c>
      <c r="O26" s="117">
        <f>'[1]расшифровки ВО_2016'!Q311</f>
        <v>0</v>
      </c>
      <c r="P26" s="71">
        <v>17046.23</v>
      </c>
      <c r="Q26" s="71">
        <v>17046.23</v>
      </c>
      <c r="R26" s="71">
        <v>17046.23</v>
      </c>
      <c r="S26" s="71">
        <v>17046.23</v>
      </c>
      <c r="T26" s="71">
        <v>17046.23</v>
      </c>
      <c r="U26" s="71">
        <v>26541</v>
      </c>
      <c r="V26" s="71">
        <f>'[3]расшифровки ВО_2016'!W306</f>
        <v>20417.872145580001</v>
      </c>
      <c r="W26" s="74">
        <f>'[3]расшифровки ВО_2016'!X306</f>
        <v>22148.126</v>
      </c>
    </row>
    <row r="27" spans="1:28" ht="16.5" thickTop="1" thickBot="1">
      <c r="A27" s="118" t="s">
        <v>61</v>
      </c>
      <c r="B27" s="104" t="s">
        <v>62</v>
      </c>
      <c r="C27" s="105" t="s">
        <v>27</v>
      </c>
      <c r="D27" s="119">
        <f>36041+6210-3430.97-7105.11+14210.22</f>
        <v>45925.14</v>
      </c>
      <c r="E27" s="119">
        <v>14441.37</v>
      </c>
      <c r="F27" s="119">
        <v>30517.43</v>
      </c>
      <c r="G27" s="119">
        <v>15008.97</v>
      </c>
      <c r="H27" s="119">
        <f>'[1]Цеховые расходы '!J64</f>
        <v>7553.5507701500637</v>
      </c>
      <c r="I27" s="119">
        <f>'[1]Цеховые расходы '!K64</f>
        <v>15023.671320300129</v>
      </c>
      <c r="J27" s="119">
        <f>'[1]Цеховые расходы '!L64</f>
        <v>15762.784213813629</v>
      </c>
      <c r="K27" s="119">
        <f>'[1]Цеховые расходы '!M64</f>
        <v>16494.768785727618</v>
      </c>
      <c r="L27" s="119">
        <f>'[1]Цеховые расходы '!N64</f>
        <v>17167.731179493905</v>
      </c>
      <c r="M27" s="120"/>
      <c r="N27" s="121"/>
      <c r="O27" s="122"/>
      <c r="P27" s="119">
        <v>9016.0400000000009</v>
      </c>
      <c r="Q27" s="119">
        <f>'[1]Цеховые расходы '!P64</f>
        <v>0</v>
      </c>
      <c r="R27" s="119">
        <f>'[1]Цеховые расходы '!Q64</f>
        <v>0</v>
      </c>
      <c r="S27" s="119">
        <f>'[1]Цеховые расходы '!R64</f>
        <v>0</v>
      </c>
      <c r="T27" s="119">
        <f>'[1]Цеховые расходы '!S64</f>
        <v>0</v>
      </c>
      <c r="U27" s="119">
        <v>28006.33</v>
      </c>
      <c r="V27" s="119">
        <f>'[3]Цеховые расходы '!R71</f>
        <v>17409.92916</v>
      </c>
      <c r="W27" s="123">
        <f>'[3]Цеховые расходы '!S71</f>
        <v>18939.374026776833</v>
      </c>
    </row>
    <row r="28" spans="1:28" ht="16.5" thickTop="1" thickBot="1">
      <c r="A28" s="118" t="s">
        <v>63</v>
      </c>
      <c r="B28" s="104" t="s">
        <v>64</v>
      </c>
      <c r="C28" s="105" t="s">
        <v>27</v>
      </c>
      <c r="D28" s="106">
        <f>D29+D30+D31+D32+D33</f>
        <v>3460</v>
      </c>
      <c r="E28" s="106">
        <f t="shared" ref="E28:W28" si="7">E29+E30+E31+E32</f>
        <v>6055.0840326193938</v>
      </c>
      <c r="F28" s="107">
        <f t="shared" si="7"/>
        <v>4105</v>
      </c>
      <c r="G28" s="108">
        <f t="shared" si="7"/>
        <v>9056.5323926193942</v>
      </c>
      <c r="H28" s="108">
        <f t="shared" si="7"/>
        <v>6762.6975212000007</v>
      </c>
      <c r="I28" s="108">
        <f t="shared" si="7"/>
        <v>12061.157602400001</v>
      </c>
      <c r="J28" s="108">
        <f t="shared" si="7"/>
        <v>9029.6687392546464</v>
      </c>
      <c r="K28" s="108">
        <f t="shared" si="7"/>
        <v>9206.2346635699469</v>
      </c>
      <c r="L28" s="108">
        <f t="shared" si="7"/>
        <v>9381.6981654814481</v>
      </c>
      <c r="M28" s="108">
        <f t="shared" si="7"/>
        <v>0</v>
      </c>
      <c r="N28" s="108" t="e">
        <f t="shared" si="7"/>
        <v>#VALUE!</v>
      </c>
      <c r="O28" s="108">
        <f t="shared" si="7"/>
        <v>0</v>
      </c>
      <c r="P28" s="108">
        <f t="shared" si="7"/>
        <v>3158.7799999999997</v>
      </c>
      <c r="Q28" s="108">
        <f t="shared" si="7"/>
        <v>3158.7799999999997</v>
      </c>
      <c r="R28" s="108">
        <f t="shared" si="7"/>
        <v>3158.7799999999997</v>
      </c>
      <c r="S28" s="108">
        <f t="shared" si="7"/>
        <v>3158.7799999999997</v>
      </c>
      <c r="T28" s="108">
        <f t="shared" si="7"/>
        <v>3158.7799999999997</v>
      </c>
      <c r="U28" s="108">
        <f t="shared" si="7"/>
        <v>3158.7799999999997</v>
      </c>
      <c r="V28" s="108">
        <f t="shared" si="7"/>
        <v>4383.2778400000007</v>
      </c>
      <c r="W28" s="109">
        <f t="shared" si="7"/>
        <v>4571.7587871200003</v>
      </c>
      <c r="AB28" s="83">
        <f>V28+'[3]расшифровки ВО_2016'!W277+'[3]расшифровки ВО_2016'!W278+'[3]расшифровки ВО_2016'!W282+'[3]расшифровки ВО_2016'!W283+'[3]расшифровки ВО_2016'!W284+'[3]расшифровки ВО_2016'!W269+'[3]расшифровки ВО_2016'!W274</f>
        <v>56543.532396820003</v>
      </c>
    </row>
    <row r="29" spans="1:28" ht="26.25" thickTop="1">
      <c r="A29" s="75" t="s">
        <v>65</v>
      </c>
      <c r="B29" s="76" t="s">
        <v>66</v>
      </c>
      <c r="C29" s="77" t="s">
        <v>27</v>
      </c>
      <c r="D29" s="78">
        <v>0</v>
      </c>
      <c r="E29" s="78">
        <f>'[1]расшифровки ВО_2016'!E320</f>
        <v>0</v>
      </c>
      <c r="F29" s="78">
        <v>0</v>
      </c>
      <c r="G29" s="78">
        <f>'[1]расшифровки ВО_2016'!G320</f>
        <v>0</v>
      </c>
      <c r="H29" s="78">
        <f>'[1]расшифровки ВО_2016'!H293</f>
        <v>548.04178999999999</v>
      </c>
      <c r="I29" s="78">
        <f>'[1]расшифровки ВО_2016'!I293</f>
        <v>1277.0371400000001</v>
      </c>
      <c r="J29" s="78">
        <f>'[1]расшифровки ВО_2016'!J293</f>
        <v>1324.1685731999999</v>
      </c>
      <c r="K29" s="78">
        <f>'[1]расшифровки ВО_2016'!K293</f>
        <v>1344.7450520549498</v>
      </c>
      <c r="L29" s="78">
        <f>'[1]расшифровки ВО_2016'!L293</f>
        <v>1366.7454023058515</v>
      </c>
      <c r="M29" s="79">
        <v>0</v>
      </c>
      <c r="N29" s="80">
        <f>'[1]расшифровки ВО_2016'!P320</f>
        <v>0</v>
      </c>
      <c r="O29" s="124">
        <f>'[1]расшифровки ВО_2016'!Q320</f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82">
        <v>0</v>
      </c>
    </row>
    <row r="30" spans="1:28" ht="33" hidden="1" customHeight="1">
      <c r="A30" s="75" t="s">
        <v>67</v>
      </c>
      <c r="B30" s="84" t="s">
        <v>68</v>
      </c>
      <c r="C30" s="125" t="s">
        <v>27</v>
      </c>
      <c r="D30" s="85">
        <f>'[1]расшифровки ВО_2016'!D321</f>
        <v>2100</v>
      </c>
      <c r="E30" s="85">
        <f>'[1]расшифровки ВО_2016'!E416</f>
        <v>3763.8710000000001</v>
      </c>
      <c r="F30" s="85">
        <f>'[1]расшифровки ВО_2016'!F321</f>
        <v>3104</v>
      </c>
      <c r="G30" s="85">
        <f>'[1]расшифровки ВО_2016'!G321</f>
        <v>6765.3193600000004</v>
      </c>
      <c r="H30" s="85">
        <f>'[1]расшифровки ВО_2016'!H416</f>
        <v>5483.97</v>
      </c>
      <c r="I30" s="85">
        <f>'[1]расшифровки ВО_2016'!I416</f>
        <v>9322.7489999999998</v>
      </c>
      <c r="J30" s="85">
        <f>'[1]расшифровки ВО_2016'!J416</f>
        <v>5313.4737599999999</v>
      </c>
      <c r="K30" s="85">
        <f>'[1]расшифровки ВО_2016'!K416</f>
        <v>5366.6060699999998</v>
      </c>
      <c r="L30" s="85">
        <f>'[1]расшифровки ВО_2016'!L416</f>
        <v>5420.2738799999997</v>
      </c>
      <c r="M30" s="86">
        <f>'[1]расшифровки ВО_2016'!R321</f>
        <v>0</v>
      </c>
      <c r="N30" s="87" t="str">
        <f>'[1]расшифровки ВО_2016'!P321</f>
        <v>в амортизации</v>
      </c>
      <c r="O30" s="126">
        <f>'[1]расшифровки ВО_2016'!Q321</f>
        <v>0</v>
      </c>
      <c r="P30" s="85">
        <v>0</v>
      </c>
      <c r="Q30" s="85">
        <v>0</v>
      </c>
      <c r="R30" s="85">
        <v>0</v>
      </c>
      <c r="S30" s="85">
        <v>0</v>
      </c>
      <c r="T30" s="85">
        <v>0</v>
      </c>
      <c r="U30" s="85">
        <v>0</v>
      </c>
      <c r="V30" s="85">
        <v>0</v>
      </c>
      <c r="W30" s="89">
        <v>0</v>
      </c>
    </row>
    <row r="31" spans="1:28">
      <c r="A31" s="75" t="s">
        <v>69</v>
      </c>
      <c r="B31" s="84" t="s">
        <v>70</v>
      </c>
      <c r="C31" s="125" t="s">
        <v>27</v>
      </c>
      <c r="D31" s="85">
        <f>'[1]расшифровки ВО_2016'!D325</f>
        <v>1360</v>
      </c>
      <c r="E31" s="85">
        <f>'[1]расшифровки ВО_2016'!E325</f>
        <v>2291.2130326193937</v>
      </c>
      <c r="F31" s="85">
        <f>'[1]расшифровки ВО_2016'!F325</f>
        <v>1001</v>
      </c>
      <c r="G31" s="85">
        <f>'[1]расшифровки ВО_2016'!G325</f>
        <v>2291.2130326193937</v>
      </c>
      <c r="H31" s="85">
        <f>'[1]расшифровки ВО_2016'!H325</f>
        <v>730.68573120000008</v>
      </c>
      <c r="I31" s="85">
        <f>'[1]расшифровки ВО_2016'!I325</f>
        <v>1461.3714624000002</v>
      </c>
      <c r="J31" s="85">
        <f>'[1]расшифровки ВО_2016'!J325</f>
        <v>2392.0264060546469</v>
      </c>
      <c r="K31" s="85">
        <f>'[1]расшифровки ВО_2016'!K325</f>
        <v>2494.8835415149965</v>
      </c>
      <c r="L31" s="85">
        <f>'[1]расшифровки ВО_2016'!L325</f>
        <v>2594.6788831755966</v>
      </c>
      <c r="M31" s="86">
        <f>'[1]расшифровки ВО_2016'!R325</f>
        <v>0</v>
      </c>
      <c r="N31" s="87">
        <f>'[1]расшифровки ВО_2016'!P325</f>
        <v>0</v>
      </c>
      <c r="O31" s="126">
        <f>'[1]расшифровки ВО_2016'!Q325</f>
        <v>0</v>
      </c>
      <c r="P31" s="85">
        <v>1505.21</v>
      </c>
      <c r="Q31" s="85">
        <v>1505.21</v>
      </c>
      <c r="R31" s="85">
        <v>1505.21</v>
      </c>
      <c r="S31" s="85">
        <v>1505.21</v>
      </c>
      <c r="T31" s="85">
        <v>1505.21</v>
      </c>
      <c r="U31" s="85">
        <v>1505.21</v>
      </c>
      <c r="V31" s="85">
        <f>'[3]расшифровки ВО_2016'!W320</f>
        <v>1646.4378400000003</v>
      </c>
      <c r="W31" s="89">
        <f>'[3]расшифровки ВО_2016'!X320</f>
        <v>1717.2346671200003</v>
      </c>
    </row>
    <row r="32" spans="1:28" ht="26.25" thickBot="1">
      <c r="A32" s="75" t="s">
        <v>71</v>
      </c>
      <c r="B32" s="127" t="s">
        <v>72</v>
      </c>
      <c r="C32" s="128" t="s">
        <v>27</v>
      </c>
      <c r="D32" s="129">
        <v>0</v>
      </c>
      <c r="E32" s="129">
        <f>'[1]расшифровки ВО_2016'!E326</f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30">
        <f>'[1]расшифровки ВО_2016'!O326</f>
        <v>0</v>
      </c>
      <c r="N32" s="131">
        <f>'[1]расшифровки ВО_2016'!P326</f>
        <v>0</v>
      </c>
      <c r="O32" s="132">
        <f>'[1]расшифровки ВО_2016'!Q326</f>
        <v>0</v>
      </c>
      <c r="P32" s="129">
        <v>1653.57</v>
      </c>
      <c r="Q32" s="129">
        <v>1653.57</v>
      </c>
      <c r="R32" s="129">
        <v>1653.57</v>
      </c>
      <c r="S32" s="129">
        <v>1653.57</v>
      </c>
      <c r="T32" s="129">
        <v>1653.57</v>
      </c>
      <c r="U32" s="129">
        <v>1653.57</v>
      </c>
      <c r="V32" s="129">
        <f>'[3]расшифровки ВО_2016'!W315</f>
        <v>2736.84</v>
      </c>
      <c r="W32" s="133">
        <f>'[3]расшифровки ВО_2016'!X315</f>
        <v>2854.52412</v>
      </c>
    </row>
    <row r="33" spans="1:23" ht="15.75" hidden="1" thickBot="1">
      <c r="A33" s="134"/>
      <c r="B33" s="135" t="s">
        <v>73</v>
      </c>
      <c r="C33" s="136"/>
      <c r="D33" s="137">
        <v>0</v>
      </c>
      <c r="E33" s="137"/>
      <c r="F33" s="137"/>
      <c r="G33" s="137"/>
      <c r="H33" s="137"/>
      <c r="I33" s="137"/>
      <c r="J33" s="137"/>
      <c r="K33" s="137"/>
      <c r="L33" s="137"/>
      <c r="M33" s="138"/>
      <c r="N33" s="139"/>
      <c r="O33" s="138"/>
      <c r="P33" s="137">
        <v>0</v>
      </c>
      <c r="Q33" s="137">
        <v>0</v>
      </c>
      <c r="R33" s="137">
        <v>0</v>
      </c>
      <c r="S33" s="137">
        <v>0</v>
      </c>
      <c r="T33" s="137">
        <v>0</v>
      </c>
      <c r="U33" s="137">
        <v>0</v>
      </c>
      <c r="V33" s="137">
        <v>0</v>
      </c>
      <c r="W33" s="140">
        <v>0</v>
      </c>
    </row>
    <row r="34" spans="1:23" ht="15.75" thickBot="1">
      <c r="A34" s="141" t="s">
        <v>74</v>
      </c>
      <c r="B34" s="63" t="s">
        <v>75</v>
      </c>
      <c r="C34" s="142" t="s">
        <v>27</v>
      </c>
      <c r="D34" s="143">
        <f>D35+D36+D37</f>
        <v>60659.203448275861</v>
      </c>
      <c r="E34" s="143">
        <f t="shared" ref="E34:W34" si="8">E35+E36+E37</f>
        <v>19147.084251199998</v>
      </c>
      <c r="F34" s="143">
        <f t="shared" si="8"/>
        <v>23906.55411248</v>
      </c>
      <c r="G34" s="143">
        <f t="shared" si="8"/>
        <v>27941.667134399999</v>
      </c>
      <c r="H34" s="143">
        <f t="shared" si="8"/>
        <v>10345.865567999997</v>
      </c>
      <c r="I34" s="143">
        <f t="shared" si="8"/>
        <v>24610.114120000002</v>
      </c>
      <c r="J34" s="143">
        <f t="shared" si="8"/>
        <v>30091.311472000001</v>
      </c>
      <c r="K34" s="143">
        <f t="shared" si="8"/>
        <v>41307.512365296003</v>
      </c>
      <c r="L34" s="143">
        <f t="shared" si="8"/>
        <v>27989.820473003732</v>
      </c>
      <c r="M34" s="143">
        <f t="shared" si="8"/>
        <v>0</v>
      </c>
      <c r="N34" s="143" t="e">
        <f t="shared" si="8"/>
        <v>#VALUE!</v>
      </c>
      <c r="O34" s="143">
        <f t="shared" si="8"/>
        <v>0</v>
      </c>
      <c r="P34" s="143">
        <f t="shared" si="8"/>
        <v>14243.555472</v>
      </c>
      <c r="Q34" s="143">
        <f t="shared" si="8"/>
        <v>14243.551471999999</v>
      </c>
      <c r="R34" s="143">
        <f t="shared" si="8"/>
        <v>14243.551471999999</v>
      </c>
      <c r="S34" s="143">
        <f t="shared" si="8"/>
        <v>14243.551471999999</v>
      </c>
      <c r="T34" s="143">
        <f t="shared" si="8"/>
        <v>14243.551471999999</v>
      </c>
      <c r="U34" s="143">
        <f t="shared" si="8"/>
        <v>14243.551471999999</v>
      </c>
      <c r="V34" s="143">
        <f t="shared" si="8"/>
        <v>48959.212739999995</v>
      </c>
      <c r="W34" s="144">
        <f t="shared" si="8"/>
        <v>36601.91473224826</v>
      </c>
    </row>
    <row r="35" spans="1:23" ht="51.75" thickBot="1">
      <c r="A35" s="145" t="s">
        <v>76</v>
      </c>
      <c r="B35" s="146" t="s">
        <v>77</v>
      </c>
      <c r="C35" s="147" t="s">
        <v>27</v>
      </c>
      <c r="D35" s="148">
        <f>'[1]расшифровки ВО_2016'!D343</f>
        <v>8359.7999999999993</v>
      </c>
      <c r="E35" s="148">
        <f>'[1]расшифровки ВО_2016'!E343</f>
        <v>6490.6</v>
      </c>
      <c r="F35" s="148">
        <f>'[1]расшифровки ВО_2016'!F343</f>
        <v>8632.2999999999993</v>
      </c>
      <c r="G35" s="148">
        <f>'[1]расшифровки ВО_2016'!G343</f>
        <v>8947.9</v>
      </c>
      <c r="H35" s="148">
        <f>'[1]расшифровки ВО_2016'!H343</f>
        <v>3863.4332639999993</v>
      </c>
      <c r="I35" s="148">
        <f>'[1]расшифровки ВО_2016'!I343</f>
        <v>8497</v>
      </c>
      <c r="J35" s="148">
        <f>'[1]расшифровки ВО_2016'!J343</f>
        <v>10862.6</v>
      </c>
      <c r="K35" s="148">
        <f>'[1]расшифровки ВО_2016'!K343</f>
        <v>11329.69</v>
      </c>
      <c r="L35" s="148">
        <f>'[1]расшифровки ВО_2016'!L343</f>
        <v>11816.86</v>
      </c>
      <c r="M35" s="149">
        <f>'[1]расшифровки ВО_2016'!R343</f>
        <v>0</v>
      </c>
      <c r="N35" s="150">
        <f>'[1]расшифровки ВО_2016'!P343</f>
        <v>0</v>
      </c>
      <c r="O35" s="151">
        <f>'[1]расшифровки ВО_2016'!Q343</f>
        <v>0</v>
      </c>
      <c r="P35" s="148">
        <v>8856.74</v>
      </c>
      <c r="Q35" s="148">
        <v>8856.74</v>
      </c>
      <c r="R35" s="148">
        <v>8856.74</v>
      </c>
      <c r="S35" s="148">
        <v>8856.74</v>
      </c>
      <c r="T35" s="148">
        <v>8856.74</v>
      </c>
      <c r="U35" s="148">
        <v>8856.74</v>
      </c>
      <c r="V35" s="148">
        <f>'[3]расшифровки ВО_2016'!W338</f>
        <v>13313.012000000001</v>
      </c>
      <c r="W35" s="152">
        <f>'[3]расшифровки ВО_2016'!X338</f>
        <v>8034.32</v>
      </c>
    </row>
    <row r="36" spans="1:23" ht="52.5" thickTop="1" thickBot="1">
      <c r="A36" s="118" t="s">
        <v>78</v>
      </c>
      <c r="B36" s="104" t="s">
        <v>79</v>
      </c>
      <c r="C36" s="105" t="s">
        <v>27</v>
      </c>
      <c r="D36" s="106">
        <f>'[1]расшифровки ВО_2016'!D351</f>
        <v>49684.4</v>
      </c>
      <c r="E36" s="106">
        <f>'[1]расшифровки ВО_2016'!E351</f>
        <v>7893.1359999999986</v>
      </c>
      <c r="F36" s="106">
        <f>'[1]расшифровки ВО_2016'!F351</f>
        <v>10011.700000000001</v>
      </c>
      <c r="G36" s="106">
        <f>'[1]расшифровки ВО_2016'!G351</f>
        <v>13841.9</v>
      </c>
      <c r="H36" s="106">
        <f>'[1]расшифровки ВО_2016'!H343</f>
        <v>3863.4332639999993</v>
      </c>
      <c r="I36" s="106">
        <f>'[1]расшифровки ВО_2016'!H351</f>
        <v>10933.263360000001</v>
      </c>
      <c r="J36" s="106">
        <f>'[1]расшифровки ВО_2016'!I351</f>
        <v>13841.9</v>
      </c>
      <c r="K36" s="106">
        <f>'[1]расшифровки ВО_2016'!J351</f>
        <v>24359.378000000001</v>
      </c>
      <c r="L36" s="106">
        <f>'[1]расшифровки ВО_2016'!K351</f>
        <v>10312.923000000001</v>
      </c>
      <c r="M36" s="116">
        <f>'[1]расшифровки ВО_2016'!R351</f>
        <v>0</v>
      </c>
      <c r="N36" s="153" t="str">
        <f>'[1]расшифровки ВО_2016'!P351</f>
        <v xml:space="preserve"> за счёт амортизации</v>
      </c>
      <c r="O36" s="117">
        <f>'[1]расшифровки ВО_2016'!Q351</f>
        <v>0</v>
      </c>
      <c r="P36" s="106">
        <v>0</v>
      </c>
      <c r="Q36" s="106">
        <v>0</v>
      </c>
      <c r="R36" s="106">
        <v>0</v>
      </c>
      <c r="S36" s="106">
        <v>0</v>
      </c>
      <c r="T36" s="106">
        <v>0</v>
      </c>
      <c r="U36" s="106">
        <v>0</v>
      </c>
      <c r="V36" s="106">
        <f>'[3]расшифровки ВО_2016'!W346</f>
        <v>29507.439999999999</v>
      </c>
      <c r="W36" s="109">
        <f>'[3]расшифровки ВО_2016'!X346</f>
        <v>21889.55</v>
      </c>
    </row>
    <row r="37" spans="1:23" ht="39.75" thickTop="1" thickBot="1">
      <c r="A37" s="118" t="s">
        <v>80</v>
      </c>
      <c r="B37" s="104" t="s">
        <v>81</v>
      </c>
      <c r="C37" s="105" t="s">
        <v>27</v>
      </c>
      <c r="D37" s="106">
        <f>D38+D39</f>
        <v>2615.0034482758624</v>
      </c>
      <c r="E37" s="106">
        <f t="shared" ref="E37:W37" si="9">E38+E39</f>
        <v>4763.3482511999991</v>
      </c>
      <c r="F37" s="106">
        <f t="shared" si="9"/>
        <v>5262.5541124800002</v>
      </c>
      <c r="G37" s="108">
        <f t="shared" si="9"/>
        <v>5151.8671344000004</v>
      </c>
      <c r="H37" s="108">
        <f t="shared" si="9"/>
        <v>2618.9990399999997</v>
      </c>
      <c r="I37" s="108">
        <f t="shared" si="9"/>
        <v>5179.8507600000003</v>
      </c>
      <c r="J37" s="108">
        <f t="shared" si="9"/>
        <v>5386.8114720000003</v>
      </c>
      <c r="K37" s="108">
        <f t="shared" si="9"/>
        <v>5618.4443652959999</v>
      </c>
      <c r="L37" s="108">
        <f t="shared" si="9"/>
        <v>5860.0374730037274</v>
      </c>
      <c r="M37" s="108">
        <f t="shared" si="9"/>
        <v>0</v>
      </c>
      <c r="N37" s="108">
        <f t="shared" si="9"/>
        <v>0</v>
      </c>
      <c r="O37" s="108">
        <f t="shared" si="9"/>
        <v>0</v>
      </c>
      <c r="P37" s="108">
        <f t="shared" si="9"/>
        <v>5386.8154720000002</v>
      </c>
      <c r="Q37" s="108">
        <f t="shared" si="9"/>
        <v>5386.8114720000003</v>
      </c>
      <c r="R37" s="108">
        <f t="shared" si="9"/>
        <v>5386.8114720000003</v>
      </c>
      <c r="S37" s="108">
        <f t="shared" si="9"/>
        <v>5386.8114720000003</v>
      </c>
      <c r="T37" s="108">
        <f t="shared" si="9"/>
        <v>5386.8114720000003</v>
      </c>
      <c r="U37" s="108">
        <f t="shared" si="9"/>
        <v>5386.8114720000003</v>
      </c>
      <c r="V37" s="108">
        <f t="shared" si="9"/>
        <v>6138.7607399999997</v>
      </c>
      <c r="W37" s="109">
        <f t="shared" si="9"/>
        <v>6678.0447322482587</v>
      </c>
    </row>
    <row r="38" spans="1:23" ht="30.75" customHeight="1" thickTop="1">
      <c r="A38" s="75" t="s">
        <v>82</v>
      </c>
      <c r="B38" s="76" t="s">
        <v>83</v>
      </c>
      <c r="C38" s="77" t="s">
        <v>27</v>
      </c>
      <c r="D38" s="78">
        <f>D24/87*3</f>
        <v>2008.4517241379313</v>
      </c>
      <c r="E38" s="78">
        <f>'[1]Зар.плата осн.персонала'!E265</f>
        <v>3658.4855999999995</v>
      </c>
      <c r="F38" s="78">
        <f>'[1]Зар.плата осн.персонала'!F265</f>
        <v>4041.9002400000004</v>
      </c>
      <c r="G38" s="78">
        <f>'[1]Зар.плата осн.персонала'!G265</f>
        <v>3956.8872000000001</v>
      </c>
      <c r="H38" s="78">
        <f>'[1]Зар.плата осн.персонала'!H265</f>
        <v>2011.52</v>
      </c>
      <c r="I38" s="78">
        <f>'[1]Зар.плата осн.персонала'!I265</f>
        <v>3978.38</v>
      </c>
      <c r="J38" s="78">
        <f>'[1]Зар.плата осн.персонала'!J265</f>
        <v>4137.3360000000002</v>
      </c>
      <c r="K38" s="78">
        <f>'[1]Зар.плата осн.персонала'!K265</f>
        <v>4315.2414479999998</v>
      </c>
      <c r="L38" s="78">
        <f>'[1]Зар.плата осн.персонала'!L265</f>
        <v>4500.7968302639993</v>
      </c>
      <c r="M38" s="79">
        <f>'[1]расшифровки ВО_2016'!O359</f>
        <v>0</v>
      </c>
      <c r="N38" s="80">
        <f>'[1]расшифровки ВО_2016'!P359</f>
        <v>0</v>
      </c>
      <c r="O38" s="124">
        <f>'[1]расшифровки ВО_2016'!Q359</f>
        <v>0</v>
      </c>
      <c r="P38" s="78">
        <v>4137.34</v>
      </c>
      <c r="Q38" s="78">
        <v>4137.3360000000002</v>
      </c>
      <c r="R38" s="78">
        <v>4137.3360000000002</v>
      </c>
      <c r="S38" s="78">
        <v>4137.3360000000002</v>
      </c>
      <c r="T38" s="78">
        <v>4137.3360000000002</v>
      </c>
      <c r="U38" s="78">
        <v>4137.3360000000002</v>
      </c>
      <c r="V38" s="78">
        <f>'[3]Зар.плата осн.персонала (2)'!N264</f>
        <v>4714.87</v>
      </c>
      <c r="W38" s="82">
        <f>'[3]Зар.плата осн.персонала (2)'!Q264</f>
        <v>5129.0666146299991</v>
      </c>
    </row>
    <row r="39" spans="1:23" ht="39" thickBot="1">
      <c r="A39" s="154" t="s">
        <v>84</v>
      </c>
      <c r="B39" s="127" t="s">
        <v>85</v>
      </c>
      <c r="C39" s="128" t="s">
        <v>27</v>
      </c>
      <c r="D39" s="129">
        <f>D25/87*3</f>
        <v>606.55172413793105</v>
      </c>
      <c r="E39" s="129">
        <f>'[1]Зар.плата осн.персонала'!E267</f>
        <v>1104.8626511999998</v>
      </c>
      <c r="F39" s="129">
        <f>'[1]Зар.плата осн.персонала'!F267</f>
        <v>1220.6538724800002</v>
      </c>
      <c r="G39" s="129">
        <f>'[1]расшифровки ВО_2016'!G360</f>
        <v>1194.9799344</v>
      </c>
      <c r="H39" s="129">
        <f>'[1]Зар.плата осн.персонала'!H267</f>
        <v>607.47903999999994</v>
      </c>
      <c r="I39" s="129">
        <f>'[1]Зар.плата осн.персонала'!I267</f>
        <v>1201.4707599999999</v>
      </c>
      <c r="J39" s="129">
        <f>'[1]Зар.плата осн.персонала'!J267</f>
        <v>1249.4754720000001</v>
      </c>
      <c r="K39" s="129">
        <f>'[1]Зар.плата осн.персонала'!K267</f>
        <v>1303.2029172959999</v>
      </c>
      <c r="L39" s="129">
        <f>'[1]Зар.плата осн.персонала'!L267</f>
        <v>1359.2406427397277</v>
      </c>
      <c r="M39" s="155">
        <f>'[1]расшифровки ВО_2016'!O360</f>
        <v>0</v>
      </c>
      <c r="N39" s="131">
        <f>'[1]расшифровки ВО_2016'!P360</f>
        <v>0</v>
      </c>
      <c r="O39" s="156">
        <f>'[1]расшифровки ВО_2016'!Q360</f>
        <v>0</v>
      </c>
      <c r="P39" s="129">
        <v>1249.4754720000001</v>
      </c>
      <c r="Q39" s="129">
        <v>1249.4754720000001</v>
      </c>
      <c r="R39" s="129">
        <v>1249.4754720000001</v>
      </c>
      <c r="S39" s="129">
        <v>1249.4754720000001</v>
      </c>
      <c r="T39" s="129">
        <v>1249.4754720000001</v>
      </c>
      <c r="U39" s="129">
        <v>1249.4754720000001</v>
      </c>
      <c r="V39" s="129">
        <f>'[3]Зар.плата осн.персонала (2)'!N266</f>
        <v>1423.8907399999998</v>
      </c>
      <c r="W39" s="133">
        <f>'[3]Зар.плата осн.персонала (2)'!Q266</f>
        <v>1548.9781176182596</v>
      </c>
    </row>
    <row r="40" spans="1:23" ht="15.75" thickBot="1">
      <c r="A40" s="157" t="s">
        <v>86</v>
      </c>
      <c r="B40" s="63" t="s">
        <v>87</v>
      </c>
      <c r="C40" s="63" t="s">
        <v>27</v>
      </c>
      <c r="D40" s="158" t="e">
        <f>D41+D49+D52+D53+D54+D55+D56</f>
        <v>#REF!</v>
      </c>
      <c r="E40" s="158" t="e">
        <f>E41+E49+E52+E53+E54+E55+E56</f>
        <v>#REF!</v>
      </c>
      <c r="F40" s="158" t="e">
        <f>F41+F49+F52+F53+F54+F55+F56</f>
        <v>#REF!</v>
      </c>
      <c r="G40" s="158">
        <f t="shared" ref="G40:T40" si="10">G41+G49+G52+G53+G54+G55+G56</f>
        <v>31336.77</v>
      </c>
      <c r="H40" s="158" t="e">
        <f t="shared" si="10"/>
        <v>#REF!</v>
      </c>
      <c r="I40" s="158" t="e">
        <f t="shared" si="10"/>
        <v>#REF!</v>
      </c>
      <c r="J40" s="158">
        <f t="shared" si="10"/>
        <v>31356.86717256275</v>
      </c>
      <c r="K40" s="158" t="e">
        <f t="shared" si="10"/>
        <v>#REF!</v>
      </c>
      <c r="L40" s="158" t="e">
        <f t="shared" si="10"/>
        <v>#REF!</v>
      </c>
      <c r="M40" s="158">
        <f t="shared" si="10"/>
        <v>0</v>
      </c>
      <c r="N40" s="158">
        <f t="shared" si="10"/>
        <v>0</v>
      </c>
      <c r="O40" s="158">
        <f t="shared" si="10"/>
        <v>0</v>
      </c>
      <c r="P40" s="158">
        <f t="shared" si="10"/>
        <v>23559.190000000002</v>
      </c>
      <c r="Q40" s="158">
        <f t="shared" si="10"/>
        <v>0</v>
      </c>
      <c r="R40" s="158">
        <f t="shared" si="10"/>
        <v>0</v>
      </c>
      <c r="S40" s="158">
        <f t="shared" si="10"/>
        <v>0</v>
      </c>
      <c r="T40" s="158">
        <f t="shared" si="10"/>
        <v>0</v>
      </c>
      <c r="U40" s="158">
        <v>28006.33</v>
      </c>
      <c r="V40" s="158">
        <f>V41+V49+V52+V53+V54+V55+V56+V57</f>
        <v>29734.016007326733</v>
      </c>
      <c r="W40" s="159">
        <f>W41+W49+W52+W53+W54+W55+W56+W57-113</f>
        <v>33704.241618189095</v>
      </c>
    </row>
    <row r="41" spans="1:23" ht="26.25" thickBot="1">
      <c r="A41" s="160" t="s">
        <v>88</v>
      </c>
      <c r="B41" s="161" t="s">
        <v>89</v>
      </c>
      <c r="C41" s="162" t="s">
        <v>27</v>
      </c>
      <c r="D41" s="163">
        <f>SUM(D42:D48)</f>
        <v>3545.04</v>
      </c>
      <c r="E41" s="163">
        <f>SUM(E42:E48)</f>
        <v>2969.7299999999996</v>
      </c>
      <c r="F41" s="163">
        <f>SUM(F42:F48)</f>
        <v>2301.3200000000002</v>
      </c>
      <c r="G41" s="164">
        <f t="shared" ref="G41:W41" si="11">SUM(G42:G48)</f>
        <v>3103.36</v>
      </c>
      <c r="H41" s="164">
        <f t="shared" si="11"/>
        <v>2083.1368000000002</v>
      </c>
      <c r="I41" s="164">
        <f t="shared" si="11"/>
        <v>4786.9289616000005</v>
      </c>
      <c r="J41" s="164">
        <f t="shared" si="11"/>
        <v>4381.9272727999996</v>
      </c>
      <c r="K41" s="164">
        <f t="shared" si="11"/>
        <v>0</v>
      </c>
      <c r="L41" s="164">
        <f t="shared" si="11"/>
        <v>0</v>
      </c>
      <c r="M41" s="164">
        <f t="shared" si="11"/>
        <v>0</v>
      </c>
      <c r="N41" s="164">
        <f t="shared" si="11"/>
        <v>0</v>
      </c>
      <c r="O41" s="164">
        <f t="shared" si="11"/>
        <v>0</v>
      </c>
      <c r="P41" s="164">
        <f t="shared" si="11"/>
        <v>2696.88</v>
      </c>
      <c r="Q41" s="164">
        <f t="shared" si="11"/>
        <v>0</v>
      </c>
      <c r="R41" s="164">
        <f t="shared" si="11"/>
        <v>0</v>
      </c>
      <c r="S41" s="164">
        <f t="shared" si="11"/>
        <v>0</v>
      </c>
      <c r="T41" s="164">
        <f t="shared" si="11"/>
        <v>0</v>
      </c>
      <c r="U41" s="164">
        <f t="shared" si="11"/>
        <v>2812.84584</v>
      </c>
      <c r="V41" s="164">
        <f t="shared" si="11"/>
        <v>2822.2429400000001</v>
      </c>
      <c r="W41" s="165">
        <f t="shared" si="11"/>
        <v>2981.5110112760599</v>
      </c>
    </row>
    <row r="42" spans="1:23" ht="15.75" thickTop="1">
      <c r="A42" s="166" t="s">
        <v>90</v>
      </c>
      <c r="B42" s="84" t="s">
        <v>91</v>
      </c>
      <c r="C42" s="167" t="s">
        <v>27</v>
      </c>
      <c r="D42" s="85">
        <v>1009.51</v>
      </c>
      <c r="E42" s="85">
        <v>769.15</v>
      </c>
      <c r="F42" s="168">
        <v>512.72</v>
      </c>
      <c r="G42" s="85">
        <v>803.77</v>
      </c>
      <c r="H42" s="85">
        <f>'[1]Админ. расх. (2)'!O11</f>
        <v>880.67701</v>
      </c>
      <c r="I42" s="85">
        <f>'[1]Админ. расх. (2)'!P11</f>
        <v>1761.35402</v>
      </c>
      <c r="J42" s="85">
        <f>'[1]Админ. расх. (2)'!Q11</f>
        <v>1840.6149508999999</v>
      </c>
      <c r="K42" s="85">
        <f>'[1]Админ. расх. (2)'!R11</f>
        <v>0</v>
      </c>
      <c r="L42" s="85">
        <f>'[1]Админ. расх. (2)'!S11</f>
        <v>0</v>
      </c>
      <c r="M42" s="168"/>
      <c r="N42" s="85"/>
      <c r="O42" s="85"/>
      <c r="P42" s="85">
        <v>625.80999999999995</v>
      </c>
      <c r="Q42" s="85">
        <f>'[1]Админ. расх. (2)'!AC11</f>
        <v>0</v>
      </c>
      <c r="R42" s="85">
        <f>'[1]Админ. расх. (2)'!AD11</f>
        <v>0</v>
      </c>
      <c r="S42" s="85">
        <f>'[1]Админ. расх. (2)'!AE11</f>
        <v>0</v>
      </c>
      <c r="T42" s="85">
        <f>'[1]Админ. расх. (2)'!AF11</f>
        <v>0</v>
      </c>
      <c r="U42" s="85">
        <f>P42*1.043</f>
        <v>652.71982999999989</v>
      </c>
      <c r="V42" s="85">
        <f>'[3]Админ. расх. (2)'!AE11</f>
        <v>691.35600000000011</v>
      </c>
      <c r="W42" s="89">
        <f>'[3]Админ. расх. (2)'!AH11</f>
        <v>752.09093324399998</v>
      </c>
    </row>
    <row r="43" spans="1:23">
      <c r="A43" s="169" t="s">
        <v>92</v>
      </c>
      <c r="B43" s="84" t="s">
        <v>93</v>
      </c>
      <c r="C43" s="167" t="s">
        <v>27</v>
      </c>
      <c r="D43" s="85">
        <v>882</v>
      </c>
      <c r="E43" s="85">
        <v>286.66000000000003</v>
      </c>
      <c r="F43" s="168">
        <v>605.20000000000005</v>
      </c>
      <c r="G43" s="85">
        <v>299.56</v>
      </c>
      <c r="H43" s="85">
        <f>'[1]Админ. расх. (2)'!O12</f>
        <v>215.07177999999999</v>
      </c>
      <c r="I43" s="85">
        <f>'[1]Админ. расх. (2)'!P12</f>
        <v>430.14355999999998</v>
      </c>
      <c r="J43" s="85">
        <f>'[1]Админ. расх. (2)'!Q12</f>
        <v>449.50002019999994</v>
      </c>
      <c r="K43" s="85">
        <f>'[1]Админ. расх. (2)'!R12</f>
        <v>0</v>
      </c>
      <c r="L43" s="85">
        <f>'[1]Админ. расх. (2)'!S12</f>
        <v>0</v>
      </c>
      <c r="M43" s="168"/>
      <c r="N43" s="85"/>
      <c r="O43" s="85"/>
      <c r="P43" s="85">
        <v>152.83000000000001</v>
      </c>
      <c r="Q43" s="85">
        <f>'[1]Админ. расх. (2)'!AC12</f>
        <v>0</v>
      </c>
      <c r="R43" s="85">
        <f>'[1]Админ. расх. (2)'!AD12</f>
        <v>0</v>
      </c>
      <c r="S43" s="85">
        <f>'[1]Админ. расх. (2)'!AE12</f>
        <v>0</v>
      </c>
      <c r="T43" s="85">
        <f>'[1]Админ. расх. (2)'!AF12</f>
        <v>0</v>
      </c>
      <c r="U43" s="85">
        <f t="shared" ref="U43:U48" si="12">P43*1.043</f>
        <v>159.40169</v>
      </c>
      <c r="V43" s="85">
        <f>'[3]Админ. расх. (2)'!AE12</f>
        <v>9.5308800000000016</v>
      </c>
      <c r="W43" s="89">
        <f>'[3]Админ. расх. (2)'!AH12</f>
        <v>10.368158277119999</v>
      </c>
    </row>
    <row r="44" spans="1:23">
      <c r="A44" s="169" t="s">
        <v>94</v>
      </c>
      <c r="B44" s="84" t="s">
        <v>95</v>
      </c>
      <c r="C44" s="167" t="s">
        <v>27</v>
      </c>
      <c r="D44" s="85">
        <v>504</v>
      </c>
      <c r="E44" s="85">
        <v>460.15</v>
      </c>
      <c r="F44" s="168">
        <v>408</v>
      </c>
      <c r="G44" s="85">
        <v>480.85</v>
      </c>
      <c r="H44" s="85">
        <f>'[1]Админ. расх. (2)'!O13</f>
        <v>0</v>
      </c>
      <c r="I44" s="85">
        <f>'[1]Админ. расх. (2)'!P13</f>
        <v>1475</v>
      </c>
      <c r="J44" s="85">
        <f>'[1]Админ. расх. (2)'!Q13</f>
        <v>1541.375</v>
      </c>
      <c r="K44" s="85">
        <f>'[1]Админ. расх. (2)'!R13</f>
        <v>0</v>
      </c>
      <c r="L44" s="85">
        <f>'[1]Админ. расх. (2)'!S13</f>
        <v>0</v>
      </c>
      <c r="M44" s="168"/>
      <c r="N44" s="85"/>
      <c r="O44" s="85"/>
      <c r="P44" s="85">
        <v>514.54</v>
      </c>
      <c r="Q44" s="85">
        <f>'[1]Админ. расх. (2)'!AC13</f>
        <v>0</v>
      </c>
      <c r="R44" s="85">
        <f>'[1]Админ. расх. (2)'!AD13</f>
        <v>0</v>
      </c>
      <c r="S44" s="85">
        <f>'[1]Админ. расх. (2)'!AE13</f>
        <v>0</v>
      </c>
      <c r="T44" s="85">
        <f>'[1]Админ. расх. (2)'!AF13</f>
        <v>0</v>
      </c>
      <c r="U44" s="85">
        <f t="shared" si="12"/>
        <v>536.66521999999998</v>
      </c>
      <c r="V44" s="85">
        <f>'[3]Админ. расх. (2)'!AE13</f>
        <v>459.00000000000006</v>
      </c>
      <c r="W44" s="89">
        <f>'[3]Админ. расх. (2)'!AH13</f>
        <v>499.32269099999996</v>
      </c>
    </row>
    <row r="45" spans="1:23">
      <c r="A45" s="169" t="s">
        <v>96</v>
      </c>
      <c r="B45" s="84" t="s">
        <v>97</v>
      </c>
      <c r="C45" s="167" t="s">
        <v>27</v>
      </c>
      <c r="D45" s="85">
        <v>273.83</v>
      </c>
      <c r="E45" s="85">
        <v>598.08000000000004</v>
      </c>
      <c r="F45" s="168">
        <v>0</v>
      </c>
      <c r="G45" s="85">
        <v>624.99</v>
      </c>
      <c r="H45" s="85">
        <f>'[1]Админ. расх. (2)'!O14</f>
        <v>263.36713000000003</v>
      </c>
      <c r="I45" s="85">
        <f>'[1]Админ. расх. (2)'!P14</f>
        <v>526.73426000000006</v>
      </c>
      <c r="J45" s="85">
        <f>'[1]Админ. расх. (2)'!Q14</f>
        <v>550.43730170000003</v>
      </c>
      <c r="K45" s="85">
        <f>'[1]Админ. расх. (2)'!R14</f>
        <v>0</v>
      </c>
      <c r="L45" s="85">
        <f>'[1]Админ. расх. (2)'!S14</f>
        <v>0</v>
      </c>
      <c r="M45" s="168"/>
      <c r="N45" s="85"/>
      <c r="O45" s="85"/>
      <c r="P45" s="85">
        <v>187.15</v>
      </c>
      <c r="Q45" s="85">
        <f>'[1]Админ. расх. (2)'!AC14</f>
        <v>0</v>
      </c>
      <c r="R45" s="85">
        <f>'[1]Админ. расх. (2)'!AD14</f>
        <v>0</v>
      </c>
      <c r="S45" s="85">
        <f>'[1]Админ. расх. (2)'!AE14</f>
        <v>0</v>
      </c>
      <c r="T45" s="85">
        <f>'[1]Админ. расх. (2)'!AF14</f>
        <v>0</v>
      </c>
      <c r="U45" s="85">
        <f t="shared" si="12"/>
        <v>195.19745</v>
      </c>
      <c r="V45" s="85">
        <f>'[3]Админ. расх. (2)'!AE14</f>
        <v>303.33746000000002</v>
      </c>
      <c r="W45" s="89">
        <f>'[3]Админ. расх. (2)'!AH14</f>
        <v>329.98535252353997</v>
      </c>
    </row>
    <row r="46" spans="1:23">
      <c r="A46" s="169" t="s">
        <v>98</v>
      </c>
      <c r="B46" s="84" t="s">
        <v>99</v>
      </c>
      <c r="C46" s="167" t="s">
        <v>27</v>
      </c>
      <c r="D46" s="85">
        <v>260.39999999999998</v>
      </c>
      <c r="E46" s="85">
        <v>266.52999999999997</v>
      </c>
      <c r="F46" s="168">
        <v>249.9</v>
      </c>
      <c r="G46" s="85">
        <v>278.52</v>
      </c>
      <c r="H46" s="85">
        <f>'[1]Админ. расх. (2)'!O15</f>
        <v>0</v>
      </c>
      <c r="I46" s="85">
        <f>'[1]Админ. расх. (2)'!P15*0.41</f>
        <v>0</v>
      </c>
      <c r="J46" s="85">
        <f>'[1]Админ. расх. (2)'!S15</f>
        <v>0</v>
      </c>
      <c r="K46" s="85">
        <f>'[1]Админ. расх. (2)'!V15</f>
        <v>0</v>
      </c>
      <c r="L46" s="85">
        <f>'[1]Админ. расх. (2)'!Y15</f>
        <v>0</v>
      </c>
      <c r="M46" s="168"/>
      <c r="N46" s="85"/>
      <c r="O46" s="85"/>
      <c r="P46" s="85">
        <f>'[1]Админ. расх. (2)'!AB15</f>
        <v>0</v>
      </c>
      <c r="Q46" s="85">
        <f>'[1]Админ. расх. (2)'!AC15</f>
        <v>0</v>
      </c>
      <c r="R46" s="85">
        <f>'[1]Админ. расх. (2)'!AD15</f>
        <v>0</v>
      </c>
      <c r="S46" s="85">
        <f>'[1]Админ. расх. (2)'!AE15</f>
        <v>0</v>
      </c>
      <c r="T46" s="85">
        <f>'[1]Админ. расх. (2)'!AF15</f>
        <v>0</v>
      </c>
      <c r="U46" s="85">
        <f t="shared" si="12"/>
        <v>0</v>
      </c>
      <c r="V46" s="85">
        <v>185.24</v>
      </c>
      <c r="W46" s="89">
        <v>112.85</v>
      </c>
    </row>
    <row r="47" spans="1:23">
      <c r="A47" s="169" t="s">
        <v>100</v>
      </c>
      <c r="B47" s="84" t="s">
        <v>101</v>
      </c>
      <c r="C47" s="167" t="s">
        <v>27</v>
      </c>
      <c r="D47" s="85">
        <v>615.29999999999995</v>
      </c>
      <c r="E47" s="85">
        <v>589.16</v>
      </c>
      <c r="F47" s="168">
        <v>525.5</v>
      </c>
      <c r="G47" s="85">
        <v>615.66999999999996</v>
      </c>
      <c r="H47" s="85">
        <f>'[1]Админ. расх. (2)'!O16</f>
        <v>724.02088000000003</v>
      </c>
      <c r="I47" s="85">
        <f>'[1]Админ. расх. (2)'!P16*0.41</f>
        <v>593.69712159999995</v>
      </c>
      <c r="J47" s="85">
        <f>'[1]Админ. расх. (2)'!S16</f>
        <v>0</v>
      </c>
      <c r="K47" s="85">
        <f>'[1]Админ. расх. (2)'!V16</f>
        <v>0</v>
      </c>
      <c r="L47" s="85">
        <f>'[1]Админ. расх. (2)'!Y16</f>
        <v>0</v>
      </c>
      <c r="M47" s="168"/>
      <c r="N47" s="85"/>
      <c r="O47" s="85"/>
      <c r="P47" s="85">
        <v>505.13</v>
      </c>
      <c r="Q47" s="85">
        <f>'[1]Админ. расх. (2)'!AC16</f>
        <v>0</v>
      </c>
      <c r="R47" s="85">
        <f>'[1]Админ. расх. (2)'!AD16</f>
        <v>0</v>
      </c>
      <c r="S47" s="85">
        <f>'[1]Админ. расх. (2)'!AE16</f>
        <v>0</v>
      </c>
      <c r="T47" s="85">
        <f>'[1]Админ. расх. (2)'!AF16</f>
        <v>0</v>
      </c>
      <c r="U47" s="85">
        <f t="shared" si="12"/>
        <v>526.85059000000001</v>
      </c>
      <c r="V47" s="85">
        <f>'[3]Админ. расх. (2)'!AE16</f>
        <v>663.91800000000001</v>
      </c>
      <c r="W47" s="89">
        <f>'[3]Админ. расх. (2)'!AH16</f>
        <v>722.24253238200004</v>
      </c>
    </row>
    <row r="48" spans="1:23" ht="15.75" thickBot="1">
      <c r="A48" s="170" t="s">
        <v>102</v>
      </c>
      <c r="B48" s="84" t="s">
        <v>103</v>
      </c>
      <c r="C48" s="167" t="s">
        <v>27</v>
      </c>
      <c r="D48" s="85"/>
      <c r="E48" s="85"/>
      <c r="F48" s="168"/>
      <c r="G48" s="85"/>
      <c r="H48" s="85"/>
      <c r="I48" s="85"/>
      <c r="J48" s="85"/>
      <c r="K48" s="85"/>
      <c r="L48" s="85"/>
      <c r="M48" s="168"/>
      <c r="N48" s="85"/>
      <c r="O48" s="85"/>
      <c r="P48" s="85">
        <v>711.42</v>
      </c>
      <c r="Q48" s="85">
        <f>'[1]Админ. расх. (2)'!AC18+'[1]Админ. расх. (2)'!AC19</f>
        <v>0</v>
      </c>
      <c r="R48" s="85">
        <f>'[1]Админ. расх. (2)'!AD18+'[1]Админ. расх. (2)'!AD19</f>
        <v>0</v>
      </c>
      <c r="S48" s="85">
        <f>'[1]Админ. расх. (2)'!AE18+'[1]Админ. расх. (2)'!AE19</f>
        <v>0</v>
      </c>
      <c r="T48" s="85">
        <f>'[1]Админ. расх. (2)'!AF18+'[1]Админ. расх. (2)'!AF19</f>
        <v>0</v>
      </c>
      <c r="U48" s="85">
        <f t="shared" si="12"/>
        <v>742.01105999999993</v>
      </c>
      <c r="V48" s="85">
        <f>'[3]Админ. расх. (2)'!AE18</f>
        <v>509.86060000000003</v>
      </c>
      <c r="W48" s="89">
        <f>'[3]Админ. расх. (2)'!AH18</f>
        <v>554.65134384939995</v>
      </c>
    </row>
    <row r="49" spans="1:24" ht="52.5" thickTop="1" thickBot="1">
      <c r="A49" s="171" t="s">
        <v>104</v>
      </c>
      <c r="B49" s="172" t="s">
        <v>105</v>
      </c>
      <c r="C49" s="173" t="s">
        <v>27</v>
      </c>
      <c r="D49" s="71">
        <f>D50+D51</f>
        <v>8716.68</v>
      </c>
      <c r="E49" s="71">
        <f t="shared" ref="E49:W49" si="13">E50+E51</f>
        <v>19693.560000000001</v>
      </c>
      <c r="F49" s="72">
        <f t="shared" si="13"/>
        <v>18038.18</v>
      </c>
      <c r="G49" s="73">
        <f t="shared" si="13"/>
        <v>21870.61</v>
      </c>
      <c r="H49" s="73">
        <f t="shared" si="13"/>
        <v>11763.341499</v>
      </c>
      <c r="I49" s="73">
        <f t="shared" si="13"/>
        <v>24588.16222695</v>
      </c>
      <c r="J49" s="73">
        <f t="shared" si="13"/>
        <v>26974.93989976275</v>
      </c>
      <c r="K49" s="73">
        <f t="shared" si="13"/>
        <v>28230.087305949546</v>
      </c>
      <c r="L49" s="73">
        <f t="shared" si="13"/>
        <v>29443.98106010538</v>
      </c>
      <c r="M49" s="73">
        <f t="shared" si="13"/>
        <v>0</v>
      </c>
      <c r="N49" s="73">
        <f t="shared" si="13"/>
        <v>0</v>
      </c>
      <c r="O49" s="73">
        <f t="shared" si="13"/>
        <v>0</v>
      </c>
      <c r="P49" s="73">
        <f t="shared" si="13"/>
        <v>19092.22</v>
      </c>
      <c r="Q49" s="73">
        <f t="shared" si="13"/>
        <v>0</v>
      </c>
      <c r="R49" s="73">
        <f t="shared" si="13"/>
        <v>0</v>
      </c>
      <c r="S49" s="73">
        <f t="shared" si="13"/>
        <v>0</v>
      </c>
      <c r="T49" s="73">
        <f t="shared" si="13"/>
        <v>0</v>
      </c>
      <c r="U49" s="73">
        <f t="shared" si="13"/>
        <v>19913.181287999996</v>
      </c>
      <c r="V49" s="73">
        <f t="shared" si="13"/>
        <v>17032.104067326731</v>
      </c>
      <c r="W49" s="74">
        <f t="shared" si="13"/>
        <v>20088.142564932037</v>
      </c>
    </row>
    <row r="50" spans="1:24" ht="26.25" thickTop="1">
      <c r="A50" s="166" t="s">
        <v>106</v>
      </c>
      <c r="B50" s="76" t="s">
        <v>107</v>
      </c>
      <c r="C50" s="174" t="s">
        <v>27</v>
      </c>
      <c r="D50" s="78">
        <v>6694.84</v>
      </c>
      <c r="E50" s="78">
        <v>15125.62</v>
      </c>
      <c r="F50" s="175">
        <v>13854.21</v>
      </c>
      <c r="G50" s="176">
        <v>16797.7</v>
      </c>
      <c r="H50" s="176">
        <f>'[1]Админ. расх. (2)'!O22</f>
        <v>9034.8245000000006</v>
      </c>
      <c r="I50" s="176">
        <f>'[1]Админ. расх. (2)'!P22</f>
        <v>18884.917225000001</v>
      </c>
      <c r="J50" s="176">
        <f>'[1]Админ. расх. (2)'!S22</f>
        <v>20718.079800125</v>
      </c>
      <c r="K50" s="176">
        <f>'[1]Админ. расх. (2)'!V22</f>
        <v>21682.094705030373</v>
      </c>
      <c r="L50" s="176">
        <f>'[1]Админ. расх. (2)'!X22</f>
        <v>22614.424777346681</v>
      </c>
      <c r="M50" s="79"/>
      <c r="N50" s="80"/>
      <c r="O50" s="124"/>
      <c r="P50" s="176">
        <v>14463.8</v>
      </c>
      <c r="Q50" s="176">
        <f>'[1]Админ. расх. (2)'!AC22</f>
        <v>0</v>
      </c>
      <c r="R50" s="176">
        <f>'[1]Админ. расх. (2)'!AD22</f>
        <v>0</v>
      </c>
      <c r="S50" s="176">
        <f>'[1]Админ. расх. (2)'!AE22</f>
        <v>0</v>
      </c>
      <c r="T50" s="176">
        <f>'[1]Админ. расх. (2)'!AF22</f>
        <v>0</v>
      </c>
      <c r="U50" s="176">
        <f>P50*1.043</f>
        <v>15085.743399999998</v>
      </c>
      <c r="V50" s="176">
        <f>'[3]Админ. расх. (2)'!AE22</f>
        <v>13081.493139267843</v>
      </c>
      <c r="W50" s="82">
        <f>'[3]Админ. расх. (2)'!AH22</f>
        <v>15428.680925447032</v>
      </c>
    </row>
    <row r="51" spans="1:24" ht="39" thickBot="1">
      <c r="A51" s="170" t="s">
        <v>108</v>
      </c>
      <c r="B51" s="91" t="s">
        <v>109</v>
      </c>
      <c r="C51" s="177" t="s">
        <v>27</v>
      </c>
      <c r="D51" s="78">
        <v>2021.84</v>
      </c>
      <c r="E51" s="78">
        <v>4567.9399999999996</v>
      </c>
      <c r="F51" s="178">
        <v>4183.97</v>
      </c>
      <c r="G51" s="179">
        <v>5072.91</v>
      </c>
      <c r="H51" s="176">
        <f>'[1]Админ. расх. (2)'!O40</f>
        <v>2728.5169989999999</v>
      </c>
      <c r="I51" s="176">
        <f>'[1]Админ. расх. (2)'!P40</f>
        <v>5703.2450019499993</v>
      </c>
      <c r="J51" s="176">
        <f>'[1]Админ. расх. (2)'!S40</f>
        <v>6256.8600996377509</v>
      </c>
      <c r="K51" s="176">
        <f>'[1]Админ. расх. (2)'!V40</f>
        <v>6547.9926009191722</v>
      </c>
      <c r="L51" s="176">
        <f>'[1]Админ. расх. (2)'!Y40</f>
        <v>6829.5562827586973</v>
      </c>
      <c r="M51" s="79"/>
      <c r="N51" s="180"/>
      <c r="O51" s="181"/>
      <c r="P51" s="176">
        <v>4628.42</v>
      </c>
      <c r="Q51" s="176">
        <f t="shared" ref="Q51:T51" si="14">Q50*0.32</f>
        <v>0</v>
      </c>
      <c r="R51" s="176">
        <f t="shared" si="14"/>
        <v>0</v>
      </c>
      <c r="S51" s="176">
        <f t="shared" si="14"/>
        <v>0</v>
      </c>
      <c r="T51" s="176">
        <f t="shared" si="14"/>
        <v>0</v>
      </c>
      <c r="U51" s="176">
        <f>U50*0.32</f>
        <v>4827.4378879999995</v>
      </c>
      <c r="V51" s="176">
        <f>'[3]Админ. расх. (2)'!AE40</f>
        <v>3950.6109280588885</v>
      </c>
      <c r="W51" s="82">
        <f>'[3]Админ. расх. (2)'!AH40</f>
        <v>4659.4616394850036</v>
      </c>
    </row>
    <row r="52" spans="1:24" ht="51.75" customHeight="1" thickTop="1" thickBot="1">
      <c r="A52" s="171" t="s">
        <v>110</v>
      </c>
      <c r="B52" s="182" t="s">
        <v>111</v>
      </c>
      <c r="C52" s="183" t="s">
        <v>27</v>
      </c>
      <c r="D52" s="184">
        <v>63</v>
      </c>
      <c r="E52" s="184">
        <v>24.6</v>
      </c>
      <c r="F52" s="185">
        <v>3.93</v>
      </c>
      <c r="G52" s="186">
        <v>25.71</v>
      </c>
      <c r="H52" s="186">
        <f>'[1]Админ. расх. (2)'!O43*0.41</f>
        <v>2.3615999999999997</v>
      </c>
      <c r="I52" s="186">
        <f>'[1]Админ. расх. (2)'!P43*0.41</f>
        <v>4.7231999999999994</v>
      </c>
      <c r="J52" s="187">
        <f>'[1]Админ. расх. (2)'!S43</f>
        <v>0</v>
      </c>
      <c r="K52" s="188">
        <f>'[1]Админ. расх. (2)'!V43</f>
        <v>0</v>
      </c>
      <c r="L52" s="186">
        <f>'[1]Админ. расх. (2)'!X43</f>
        <v>0</v>
      </c>
      <c r="M52" s="189"/>
      <c r="N52" s="190"/>
      <c r="O52" s="172"/>
      <c r="P52" s="187">
        <v>4.09</v>
      </c>
      <c r="Q52" s="187">
        <f>'[1]Админ. расх. (2)'!AC43</f>
        <v>0</v>
      </c>
      <c r="R52" s="187">
        <f>'[1]Админ. расх. (2)'!AD43</f>
        <v>0</v>
      </c>
      <c r="S52" s="187">
        <f>'[1]Админ. расх. (2)'!AE43</f>
        <v>0</v>
      </c>
      <c r="T52" s="187">
        <f>'[1]Админ. расх. (2)'!AF43</f>
        <v>0</v>
      </c>
      <c r="U52" s="187">
        <f>P52*1.026</f>
        <v>4.1963400000000002</v>
      </c>
      <c r="V52" s="187">
        <f>'[3]Админ. расх. (2)'!AE43</f>
        <v>10.444800000000001</v>
      </c>
      <c r="W52" s="187">
        <f>'[3]Админ. расх. (2)'!AH43</f>
        <v>11.362365235199999</v>
      </c>
    </row>
    <row r="53" spans="1:24" ht="30.75" customHeight="1" thickTop="1" thickBot="1">
      <c r="A53" s="191" t="s">
        <v>112</v>
      </c>
      <c r="B53" s="104" t="s">
        <v>113</v>
      </c>
      <c r="C53" s="183" t="s">
        <v>27</v>
      </c>
      <c r="D53" s="184">
        <v>365.95</v>
      </c>
      <c r="E53" s="184">
        <v>347.61</v>
      </c>
      <c r="F53" s="185">
        <v>179.35</v>
      </c>
      <c r="G53" s="186">
        <v>363.25</v>
      </c>
      <c r="H53" s="186">
        <f>'[1]Админ. расх. (2)'!O44*0.41</f>
        <v>137.89820280000001</v>
      </c>
      <c r="I53" s="186">
        <f>'[1]Админ. расх. (2)'!P44*0.41</f>
        <v>275.79640560000001</v>
      </c>
      <c r="J53" s="187">
        <f>'[1]Админ. расх. (2)'!S44</f>
        <v>0</v>
      </c>
      <c r="K53" s="188">
        <f>'[1]Админ. расх. (2)'!V44</f>
        <v>0</v>
      </c>
      <c r="L53" s="186">
        <f>'[1]Админ. расх. (2)'!X44</f>
        <v>0</v>
      </c>
      <c r="M53" s="192"/>
      <c r="N53" s="190"/>
      <c r="O53" s="172"/>
      <c r="P53" s="187">
        <v>184.19</v>
      </c>
      <c r="Q53" s="187">
        <f>'[1]Админ. расх. (2)'!AC44</f>
        <v>0</v>
      </c>
      <c r="R53" s="187">
        <f>'[1]Админ. расх. (2)'!AD44</f>
        <v>0</v>
      </c>
      <c r="S53" s="187">
        <f>'[1]Админ. расх. (2)'!AE44</f>
        <v>0</v>
      </c>
      <c r="T53" s="187">
        <f>'[1]Админ. расх. (2)'!AF44</f>
        <v>0</v>
      </c>
      <c r="U53" s="187">
        <f>P53*1.043</f>
        <v>192.11016999999998</v>
      </c>
      <c r="V53" s="187">
        <f>'[3]Админ. расх. (2)'!AE44</f>
        <v>497.14800000000002</v>
      </c>
      <c r="W53" s="187">
        <f>'[3]Админ. расх. (2)'!AH44</f>
        <v>540.82195465200004</v>
      </c>
    </row>
    <row r="54" spans="1:24" ht="16.5" thickTop="1" thickBot="1">
      <c r="A54" s="191" t="s">
        <v>114</v>
      </c>
      <c r="B54" s="104" t="s">
        <v>115</v>
      </c>
      <c r="C54" s="183" t="s">
        <v>27</v>
      </c>
      <c r="D54" s="184">
        <v>385.36</v>
      </c>
      <c r="E54" s="184">
        <v>206.24</v>
      </c>
      <c r="F54" s="185">
        <v>552.4</v>
      </c>
      <c r="G54" s="186">
        <v>215.52</v>
      </c>
      <c r="H54" s="186">
        <f>'[1]Админ. расх. (2)'!O45*0.41</f>
        <v>249.25129999999996</v>
      </c>
      <c r="I54" s="186">
        <f>'[1]Админ. расх. (2)'!P45*0.41</f>
        <v>498.50259999999992</v>
      </c>
      <c r="J54" s="187">
        <f>'[1]Админ. расх. (2)'!S45</f>
        <v>0</v>
      </c>
      <c r="K54" s="188">
        <f>'[1]Админ. расх. (2)'!V45</f>
        <v>0</v>
      </c>
      <c r="L54" s="186">
        <f>'[1]Админ. расх. (2)'!Y45</f>
        <v>0</v>
      </c>
      <c r="M54" s="192"/>
      <c r="N54" s="190"/>
      <c r="O54" s="172"/>
      <c r="P54" s="187">
        <v>192.7</v>
      </c>
      <c r="Q54" s="187">
        <f>'[1]Админ. расх. (2)'!AC45</f>
        <v>0</v>
      </c>
      <c r="R54" s="187">
        <f>'[1]Админ. расх. (2)'!AD45</f>
        <v>0</v>
      </c>
      <c r="S54" s="187">
        <f>'[1]Админ. расх. (2)'!AE45</f>
        <v>0</v>
      </c>
      <c r="T54" s="187">
        <f>'[1]Админ. расх. (2)'!AF45</f>
        <v>0</v>
      </c>
      <c r="U54" s="187">
        <f t="shared" ref="U54:U57" si="15">P54*1.043</f>
        <v>200.98609999999996</v>
      </c>
      <c r="V54" s="187">
        <f>'[3]Админ. расх. (2)'!AE45</f>
        <v>529.76080000000002</v>
      </c>
      <c r="W54" s="187">
        <f>'[3]Админ. расх. (2)'!AH45</f>
        <v>576.29975651919995</v>
      </c>
    </row>
    <row r="55" spans="1:24" ht="16.5" thickTop="1" thickBot="1">
      <c r="A55" s="191" t="s">
        <v>116</v>
      </c>
      <c r="B55" s="104" t="s">
        <v>117</v>
      </c>
      <c r="C55" s="183" t="s">
        <v>27</v>
      </c>
      <c r="D55" s="184">
        <v>94.4</v>
      </c>
      <c r="E55" s="184">
        <v>99.63</v>
      </c>
      <c r="F55" s="185">
        <v>45.9</v>
      </c>
      <c r="G55" s="186">
        <v>104.12</v>
      </c>
      <c r="H55" s="186">
        <f>'[1]Админ. расх. (2)'!O46*0.41</f>
        <v>20.419361200000001</v>
      </c>
      <c r="I55" s="186">
        <f>'[1]Админ. расх. (2)'!P46*0.41</f>
        <v>40.838722400000002</v>
      </c>
      <c r="J55" s="187">
        <f>'[1]Админ. расх. (2)'!S46</f>
        <v>0</v>
      </c>
      <c r="K55" s="188">
        <f>'[1]Админ. расх. (2)'!V46</f>
        <v>0</v>
      </c>
      <c r="L55" s="186">
        <f>'[1]Админ. расх. (2)'!Y46</f>
        <v>0</v>
      </c>
      <c r="M55" s="192"/>
      <c r="N55" s="190"/>
      <c r="O55" s="172"/>
      <c r="P55" s="187">
        <v>35.39</v>
      </c>
      <c r="Q55" s="187">
        <f>'[1]Админ. расх. (2)'!AC46</f>
        <v>0</v>
      </c>
      <c r="R55" s="187">
        <f>'[1]Админ. расх. (2)'!AD46</f>
        <v>0</v>
      </c>
      <c r="S55" s="187">
        <f>'[1]Админ. расх. (2)'!AE46</f>
        <v>0</v>
      </c>
      <c r="T55" s="187">
        <f>'[1]Админ. расх. (2)'!AF46</f>
        <v>0</v>
      </c>
      <c r="U55" s="187">
        <f t="shared" si="15"/>
        <v>36.911769999999997</v>
      </c>
      <c r="V55" s="187">
        <f>'[3]Админ. расх. (2)'!AE46</f>
        <v>56.511400000000009</v>
      </c>
      <c r="W55" s="187">
        <f>'[3]Админ. расх. (2)'!AH46</f>
        <v>61.475869978600002</v>
      </c>
    </row>
    <row r="56" spans="1:24" ht="16.5" thickTop="1" thickBot="1">
      <c r="A56" s="193" t="s">
        <v>118</v>
      </c>
      <c r="B56" s="194" t="s">
        <v>119</v>
      </c>
      <c r="C56" s="195" t="s">
        <v>27</v>
      </c>
      <c r="D56" s="184" t="e">
        <f>#REF!+D57</f>
        <v>#REF!</v>
      </c>
      <c r="E56" s="184" t="e">
        <f>#REF!+E57</f>
        <v>#REF!</v>
      </c>
      <c r="F56" s="184" t="e">
        <f>#REF!+F57</f>
        <v>#REF!</v>
      </c>
      <c r="G56" s="184">
        <v>5654.2</v>
      </c>
      <c r="H56" s="184" t="e">
        <f>#REF!+H57</f>
        <v>#REF!</v>
      </c>
      <c r="I56" s="184" t="e">
        <f>#REF!+I57</f>
        <v>#REF!</v>
      </c>
      <c r="J56" s="184">
        <v>0</v>
      </c>
      <c r="K56" s="184" t="e">
        <f>#REF!+K57</f>
        <v>#REF!</v>
      </c>
      <c r="L56" s="184" t="e">
        <f>#REF!+L57</f>
        <v>#REF!</v>
      </c>
      <c r="M56" s="196"/>
      <c r="N56" s="196"/>
      <c r="O56" s="196"/>
      <c r="P56" s="184">
        <v>1353.72</v>
      </c>
      <c r="Q56" s="184">
        <f>'[1]Админ. расх. (2)'!AC47</f>
        <v>0</v>
      </c>
      <c r="R56" s="184">
        <f>'[1]Админ. расх. (2)'!AD47</f>
        <v>0</v>
      </c>
      <c r="S56" s="184">
        <f>'[1]Админ. расх. (2)'!AE47</f>
        <v>0</v>
      </c>
      <c r="T56" s="184">
        <f>'[1]Админ. расх. (2)'!AF47</f>
        <v>0</v>
      </c>
      <c r="U56" s="187">
        <f t="shared" si="15"/>
        <v>1411.9299599999999</v>
      </c>
      <c r="V56" s="187">
        <f>'[3]Админ. расх. (2)'!AE47</f>
        <v>2193.4624000000003</v>
      </c>
      <c r="W56" s="187">
        <f>'[3]Админ. расх. (2)'!AH47</f>
        <v>2386.1558783775999</v>
      </c>
    </row>
    <row r="57" spans="1:24" ht="16.5" thickTop="1" thickBot="1">
      <c r="A57" s="197" t="s">
        <v>120</v>
      </c>
      <c r="B57" s="198" t="s">
        <v>121</v>
      </c>
      <c r="C57" s="199" t="s">
        <v>27</v>
      </c>
      <c r="D57" s="200">
        <v>5600</v>
      </c>
      <c r="E57" s="200">
        <v>4833.13</v>
      </c>
      <c r="F57" s="201">
        <v>4904.16</v>
      </c>
      <c r="G57" s="202">
        <v>5456.76</v>
      </c>
      <c r="H57" s="202">
        <f>'[1]Админ. расх. (2)'!O53*0.41</f>
        <v>2716.1187999999997</v>
      </c>
      <c r="I57" s="202">
        <f>'[1]Админ. расх. (2)'!P53*0.41</f>
        <v>5432.2375999999995</v>
      </c>
      <c r="J57" s="203">
        <f>'[1]Админ. расх. (2)'!S53</f>
        <v>0</v>
      </c>
      <c r="K57" s="200">
        <f>'[1]Админ. расх. (2)'!V53</f>
        <v>0</v>
      </c>
      <c r="L57" s="200">
        <f>'[1]Админ. расх. (2)'!Y53</f>
        <v>0</v>
      </c>
      <c r="M57" s="204"/>
      <c r="N57" s="205"/>
      <c r="O57" s="205"/>
      <c r="P57" s="203">
        <v>4707.5</v>
      </c>
      <c r="Q57" s="203">
        <f>'[1]Админ. расх. (2)'!AC53</f>
        <v>0</v>
      </c>
      <c r="R57" s="203">
        <f>'[1]Админ. расх. (2)'!AD53</f>
        <v>0</v>
      </c>
      <c r="S57" s="203">
        <f>'[1]Админ. расх. (2)'!AE53</f>
        <v>0</v>
      </c>
      <c r="T57" s="203">
        <f>'[1]Админ. расх. (2)'!AF53</f>
        <v>0</v>
      </c>
      <c r="U57" s="203">
        <f t="shared" si="15"/>
        <v>4909.9224999999997</v>
      </c>
      <c r="V57" s="203">
        <f>'[3]Админ. расх. (2)'!AE53</f>
        <v>6592.3416000000007</v>
      </c>
      <c r="W57" s="203">
        <f>'[3]Админ. расх. (2)'!AH53</f>
        <v>7171.4722172184001</v>
      </c>
    </row>
    <row r="58" spans="1:24" ht="31.5" thickTop="1" thickBot="1">
      <c r="A58" s="206" t="s">
        <v>122</v>
      </c>
      <c r="B58" s="207" t="s">
        <v>123</v>
      </c>
      <c r="C58" s="207" t="s">
        <v>27</v>
      </c>
      <c r="D58" s="208">
        <f>D59</f>
        <v>0</v>
      </c>
      <c r="E58" s="208">
        <f t="shared" ref="E58:F58" si="16">E59</f>
        <v>3164.8359999999998</v>
      </c>
      <c r="F58" s="208">
        <f t="shared" si="16"/>
        <v>3100</v>
      </c>
      <c r="G58" s="208">
        <f>'[1]расшифровки ВО_2016'!G497</f>
        <v>3307.2536199999995</v>
      </c>
      <c r="H58" s="208">
        <f>'[1]сбытовые расходы'!H13/2/1000</f>
        <v>1653.6268099999998</v>
      </c>
      <c r="I58" s="208">
        <f>'[1]сбытовые расходы'!H13/1000</f>
        <v>3307.2536199999995</v>
      </c>
      <c r="J58" s="208">
        <f>'[1]расшифровки ВО_2016'!J497</f>
        <v>3449.4655256599995</v>
      </c>
      <c r="K58" s="208">
        <f>'[1]расшифровки ВО_2016'!K497</f>
        <v>3597.7925432633792</v>
      </c>
      <c r="L58" s="208">
        <f>'[1]расшифровки ВО_2016'!L497</f>
        <v>3597.7925432633792</v>
      </c>
      <c r="M58" s="208">
        <f>'[1]расшифровки ВО_2016'!M497</f>
        <v>3449.4655256599995</v>
      </c>
      <c r="N58" s="208">
        <f>'[1]расшифровки ВО_2016'!N497</f>
        <v>3597.7925432633792</v>
      </c>
      <c r="O58" s="208">
        <f>'[1]расшифровки ВО_2016'!O497</f>
        <v>3597.7925432633792</v>
      </c>
      <c r="P58" s="208">
        <f>P59</f>
        <v>3449.47</v>
      </c>
      <c r="Q58" s="208">
        <f t="shared" ref="Q58:U58" si="17">Q59</f>
        <v>3449.47</v>
      </c>
      <c r="R58" s="208">
        <f t="shared" si="17"/>
        <v>3449.47</v>
      </c>
      <c r="S58" s="208">
        <f t="shared" si="17"/>
        <v>3449.47</v>
      </c>
      <c r="T58" s="208">
        <f t="shared" si="17"/>
        <v>3449.47</v>
      </c>
      <c r="U58" s="208">
        <f t="shared" si="17"/>
        <v>3597.79</v>
      </c>
      <c r="V58" s="208">
        <f>V59</f>
        <v>4295.9220000000005</v>
      </c>
      <c r="W58" s="209">
        <f>W59</f>
        <v>4295.9220000000005</v>
      </c>
    </row>
    <row r="59" spans="1:24" ht="26.25" thickBot="1">
      <c r="A59" s="210" t="s">
        <v>124</v>
      </c>
      <c r="B59" s="211" t="s">
        <v>125</v>
      </c>
      <c r="C59" s="212" t="s">
        <v>27</v>
      </c>
      <c r="D59" s="213">
        <f>'[1]расшифровки ВО_2016'!D497</f>
        <v>0</v>
      </c>
      <c r="E59" s="213">
        <f>'[1]сбытовые расходы'!G13/1000</f>
        <v>3164.8359999999998</v>
      </c>
      <c r="F59" s="213">
        <v>3100</v>
      </c>
      <c r="G59" s="213">
        <f>'[1]сбытовые расходы'!H13/1000</f>
        <v>3307.2536199999995</v>
      </c>
      <c r="H59" s="213">
        <f>'[1]сбытовые расходы'!H13/2/1000</f>
        <v>1653.6268099999998</v>
      </c>
      <c r="I59" s="213">
        <f>'[1]сбытовые расходы'!H13/1000</f>
        <v>3307.2536199999995</v>
      </c>
      <c r="J59" s="213">
        <f>'[1]расшифровки ВО_2016'!J497</f>
        <v>3449.4655256599995</v>
      </c>
      <c r="K59" s="213">
        <f>'[1]расшифровки ВО_2016'!K497</f>
        <v>3597.7925432633792</v>
      </c>
      <c r="L59" s="213">
        <f>'[1]расшифровки ВО_2016'!L497</f>
        <v>3597.7925432633792</v>
      </c>
      <c r="M59" s="214"/>
      <c r="N59" s="215"/>
      <c r="O59" s="216"/>
      <c r="P59" s="213">
        <v>3449.47</v>
      </c>
      <c r="Q59" s="213">
        <f t="shared" ref="Q59:T59" si="18">3449.47</f>
        <v>3449.47</v>
      </c>
      <c r="R59" s="213">
        <f t="shared" si="18"/>
        <v>3449.47</v>
      </c>
      <c r="S59" s="213">
        <f t="shared" si="18"/>
        <v>3449.47</v>
      </c>
      <c r="T59" s="213">
        <f t="shared" si="18"/>
        <v>3449.47</v>
      </c>
      <c r="U59" s="213">
        <v>3597.79</v>
      </c>
      <c r="V59" s="213">
        <f>'[3]сбытовые расходы (2)'!L13</f>
        <v>4295.9220000000005</v>
      </c>
      <c r="W59" s="217">
        <f>'[3]сбытовые расходы (2)'!M13</f>
        <v>4295.9220000000005</v>
      </c>
    </row>
    <row r="60" spans="1:24" ht="15.75" thickBot="1">
      <c r="A60" s="218" t="s">
        <v>126</v>
      </c>
      <c r="B60" s="63" t="s">
        <v>127</v>
      </c>
      <c r="C60" s="63" t="s">
        <v>27</v>
      </c>
      <c r="D60" s="219">
        <f t="shared" ref="D60:W60" si="19">D61</f>
        <v>22892</v>
      </c>
      <c r="E60" s="219">
        <f t="shared" si="19"/>
        <v>33784.004999999997</v>
      </c>
      <c r="F60" s="220">
        <f t="shared" si="19"/>
        <v>29290</v>
      </c>
      <c r="G60" s="221">
        <f t="shared" si="19"/>
        <v>60340.37004999999</v>
      </c>
      <c r="H60" s="221">
        <f t="shared" si="19"/>
        <v>15527.570000000002</v>
      </c>
      <c r="I60" s="221">
        <f t="shared" si="19"/>
        <v>31210.415700000001</v>
      </c>
      <c r="J60" s="221">
        <f t="shared" si="19"/>
        <v>41126.863845</v>
      </c>
      <c r="K60" s="221">
        <f t="shared" si="19"/>
        <v>69815.529024999996</v>
      </c>
      <c r="L60" s="221">
        <f t="shared" si="19"/>
        <v>119156.89571999999</v>
      </c>
      <c r="M60" s="221">
        <f t="shared" si="19"/>
        <v>0</v>
      </c>
      <c r="N60" s="221">
        <f t="shared" si="19"/>
        <v>0</v>
      </c>
      <c r="O60" s="221">
        <f t="shared" si="19"/>
        <v>0</v>
      </c>
      <c r="P60" s="221">
        <f>P61</f>
        <v>46484.11</v>
      </c>
      <c r="Q60" s="221">
        <f t="shared" si="19"/>
        <v>46480.11</v>
      </c>
      <c r="R60" s="221">
        <f t="shared" si="19"/>
        <v>46481.11</v>
      </c>
      <c r="S60" s="221">
        <f t="shared" si="19"/>
        <v>46482.11</v>
      </c>
      <c r="T60" s="221">
        <f t="shared" si="19"/>
        <v>46483.11</v>
      </c>
      <c r="U60" s="221">
        <f>U61</f>
        <v>191400.02</v>
      </c>
      <c r="V60" s="221">
        <f t="shared" si="19"/>
        <v>75957.08</v>
      </c>
      <c r="W60" s="222">
        <f t="shared" si="19"/>
        <v>111480.90799999997</v>
      </c>
    </row>
    <row r="61" spans="1:24" ht="79.5" customHeight="1" thickBot="1">
      <c r="A61" s="210" t="s">
        <v>128</v>
      </c>
      <c r="B61" s="223" t="s">
        <v>129</v>
      </c>
      <c r="C61" s="212" t="s">
        <v>27</v>
      </c>
      <c r="D61" s="224">
        <v>22892</v>
      </c>
      <c r="E61" s="224">
        <f>'[1]расшифровки ВО_2016'!E413+'[1]расшифровки ВО_2016'!E414+'[1]расшифровки ВО_2016'!E415</f>
        <v>33784.004999999997</v>
      </c>
      <c r="F61" s="224">
        <v>29290</v>
      </c>
      <c r="G61" s="224">
        <f>'[1]расшифровки ВО_2016'!G413+'[1]расшифровки ВО_2016'!G414+'[1]расшифровки ВО_2016'!G415+'[1]расшифровки ВО_2016'!G417</f>
        <v>60340.37004999999</v>
      </c>
      <c r="H61" s="224">
        <f>'[1]расшифровки ВО_2016'!H413+'[1]расшифровки ВО_2016'!H414+'[1]расшифровки ВО_2016'!H415</f>
        <v>15527.570000000002</v>
      </c>
      <c r="I61" s="224">
        <f>'[1]расшифровки ВО_2016'!I413+'[1]расшифровки ВО_2016'!I414+'[1]расшифровки ВО_2016'!I415</f>
        <v>31210.415700000001</v>
      </c>
      <c r="J61" s="224">
        <f>'[1]расшифровки ВО_2016'!J413+'[1]расшифровки ВО_2016'!J414+'[1]расшифровки ВО_2016'!J415</f>
        <v>41126.863845</v>
      </c>
      <c r="K61" s="224">
        <f>'[1]расшифровки ВО_2016'!K413+'[1]расшифровки ВО_2016'!K414+'[1]расшифровки ВО_2016'!K415</f>
        <v>69815.529024999996</v>
      </c>
      <c r="L61" s="224">
        <f>'[1]расшифровки ВО_2016'!L413+'[1]расшифровки ВО_2016'!L414+'[1]расшифровки ВО_2016'!L415</f>
        <v>119156.89571999999</v>
      </c>
      <c r="M61" s="225"/>
      <c r="N61" s="226"/>
      <c r="O61" s="227"/>
      <c r="P61" s="213">
        <v>46484.11</v>
      </c>
      <c r="Q61" s="224">
        <v>46480.11</v>
      </c>
      <c r="R61" s="224">
        <v>46481.11</v>
      </c>
      <c r="S61" s="224">
        <v>46482.11</v>
      </c>
      <c r="T61" s="224">
        <v>46483.11</v>
      </c>
      <c r="U61" s="224">
        <v>191400.02</v>
      </c>
      <c r="V61" s="224">
        <f>'[3]расшифровки ВО_2016'!V419-'[3]расшифровки ВО_2016'!V420</f>
        <v>75957.08</v>
      </c>
      <c r="W61" s="228">
        <f>'[3]расшифровки ВО_2016'!W407-'[3]расшифровки ВО_2016'!W420</f>
        <v>111480.90799999997</v>
      </c>
      <c r="X61" s="1" t="s">
        <v>30</v>
      </c>
    </row>
    <row r="62" spans="1:24" ht="45.75" hidden="1" thickBot="1">
      <c r="A62" s="229" t="s">
        <v>130</v>
      </c>
      <c r="B62" s="230" t="s">
        <v>131</v>
      </c>
      <c r="C62" s="231" t="s">
        <v>27</v>
      </c>
      <c r="D62" s="232">
        <f t="shared" ref="D62:L62" si="20">D63+D64+D65+D66</f>
        <v>0</v>
      </c>
      <c r="E62" s="232">
        <f t="shared" si="20"/>
        <v>0</v>
      </c>
      <c r="F62" s="233">
        <f t="shared" si="20"/>
        <v>0</v>
      </c>
      <c r="G62" s="234">
        <f t="shared" si="20"/>
        <v>0</v>
      </c>
      <c r="H62" s="234">
        <f t="shared" si="20"/>
        <v>0</v>
      </c>
      <c r="I62" s="234">
        <f t="shared" si="20"/>
        <v>0</v>
      </c>
      <c r="J62" s="234">
        <f t="shared" si="20"/>
        <v>0</v>
      </c>
      <c r="K62" s="234">
        <f t="shared" si="20"/>
        <v>0</v>
      </c>
      <c r="L62" s="234">
        <f t="shared" si="20"/>
        <v>0</v>
      </c>
      <c r="M62" s="235"/>
      <c r="N62" s="236"/>
      <c r="O62" s="237"/>
      <c r="P62" s="234"/>
      <c r="Q62" s="234"/>
      <c r="R62" s="234"/>
      <c r="S62" s="234"/>
      <c r="T62" s="234"/>
      <c r="U62" s="234"/>
      <c r="V62" s="234"/>
      <c r="W62" s="238"/>
    </row>
    <row r="63" spans="1:24" ht="15.75" hidden="1" thickBot="1">
      <c r="A63" s="239" t="s">
        <v>132</v>
      </c>
      <c r="B63" s="146" t="s">
        <v>133</v>
      </c>
      <c r="C63" s="240" t="s">
        <v>27</v>
      </c>
      <c r="D63" s="241">
        <v>0</v>
      </c>
      <c r="E63" s="241">
        <f>'[1]расшифровки ВО_2016'!E436</f>
        <v>0</v>
      </c>
      <c r="F63" s="242">
        <f>'[1]расшифровки ВО_2016'!F436</f>
        <v>0</v>
      </c>
      <c r="G63" s="243">
        <f>'[1]расшифровки ВО_2016'!G436</f>
        <v>0</v>
      </c>
      <c r="H63" s="243">
        <f>'[1]расшифровки ВО_2016'!H436</f>
        <v>0</v>
      </c>
      <c r="I63" s="243">
        <f>'[1]расшифровки ВО_2016'!I436</f>
        <v>0</v>
      </c>
      <c r="J63" s="244">
        <v>0</v>
      </c>
      <c r="K63" s="244">
        <v>0</v>
      </c>
      <c r="L63" s="244">
        <v>0</v>
      </c>
      <c r="M63" s="245"/>
      <c r="N63" s="246"/>
      <c r="O63" s="244"/>
      <c r="P63" s="244"/>
      <c r="Q63" s="244"/>
      <c r="R63" s="244"/>
      <c r="S63" s="244"/>
      <c r="T63" s="244"/>
      <c r="U63" s="244"/>
      <c r="V63" s="244"/>
      <c r="W63" s="244"/>
    </row>
    <row r="64" spans="1:24" ht="16.5" hidden="1" thickTop="1" thickBot="1">
      <c r="A64" s="191" t="s">
        <v>134</v>
      </c>
      <c r="B64" s="104" t="s">
        <v>135</v>
      </c>
      <c r="C64" s="247" t="s">
        <v>27</v>
      </c>
      <c r="D64" s="241">
        <f>'[1]расшифровки ВО_2016'!D437</f>
        <v>0</v>
      </c>
      <c r="E64" s="241">
        <f>'[1]расшифровки ВО_2016'!E437</f>
        <v>0</v>
      </c>
      <c r="F64" s="242">
        <f>'[1]расшифровки ВО_2016'!F437</f>
        <v>0</v>
      </c>
      <c r="G64" s="243">
        <f>'[1]расшифровки ВО_2016'!G437</f>
        <v>0</v>
      </c>
      <c r="H64" s="243">
        <f>'[1]расшифровки ВО_2016'!H437</f>
        <v>0</v>
      </c>
      <c r="I64" s="243">
        <f>'[1]расшифровки ВО_2016'!I437</f>
        <v>0</v>
      </c>
      <c r="J64" s="244">
        <v>0</v>
      </c>
      <c r="K64" s="244">
        <v>0</v>
      </c>
      <c r="L64" s="244">
        <v>0</v>
      </c>
      <c r="M64" s="245"/>
      <c r="N64" s="246"/>
      <c r="O64" s="244"/>
      <c r="P64" s="244"/>
      <c r="Q64" s="244"/>
      <c r="R64" s="244"/>
      <c r="S64" s="244"/>
      <c r="T64" s="244"/>
      <c r="U64" s="244"/>
      <c r="V64" s="244"/>
      <c r="W64" s="244"/>
    </row>
    <row r="65" spans="1:27" ht="16.5" hidden="1" thickTop="1" thickBot="1">
      <c r="A65" s="191" t="s">
        <v>136</v>
      </c>
      <c r="B65" s="104" t="s">
        <v>137</v>
      </c>
      <c r="C65" s="247" t="s">
        <v>27</v>
      </c>
      <c r="D65" s="241">
        <f>'[1]расшифровки ВО_2016'!D438</f>
        <v>0</v>
      </c>
      <c r="E65" s="241">
        <f>'[1]расшифровки ВО_2016'!E438</f>
        <v>0</v>
      </c>
      <c r="F65" s="242">
        <f>'[1]расшифровки ВО_2016'!F438</f>
        <v>0</v>
      </c>
      <c r="G65" s="243">
        <f>'[1]расшифровки ВО_2016'!G438</f>
        <v>0</v>
      </c>
      <c r="H65" s="243">
        <f>'[1]расшифровки ВО_2016'!H438</f>
        <v>0</v>
      </c>
      <c r="I65" s="243">
        <f>'[1]расшифровки ВО_2016'!I438</f>
        <v>0</v>
      </c>
      <c r="J65" s="244">
        <v>0</v>
      </c>
      <c r="K65" s="244">
        <v>0</v>
      </c>
      <c r="L65" s="244">
        <v>0</v>
      </c>
      <c r="M65" s="245"/>
      <c r="N65" s="246"/>
      <c r="O65" s="244"/>
      <c r="P65" s="244"/>
      <c r="Q65" s="244"/>
      <c r="R65" s="244"/>
      <c r="S65" s="244"/>
      <c r="T65" s="244"/>
      <c r="U65" s="244"/>
      <c r="V65" s="244"/>
      <c r="W65" s="244"/>
    </row>
    <row r="66" spans="1:27" ht="15.75" hidden="1" thickBot="1">
      <c r="A66" s="248" t="s">
        <v>138</v>
      </c>
      <c r="B66" s="211" t="s">
        <v>139</v>
      </c>
      <c r="C66" s="249" t="s">
        <v>27</v>
      </c>
      <c r="D66" s="241">
        <f>'[1]расшифровки ВО_2016'!D439</f>
        <v>0</v>
      </c>
      <c r="E66" s="241">
        <f>'[1]расшифровки ВО_2016'!E439</f>
        <v>0</v>
      </c>
      <c r="F66" s="242">
        <f>'[1]расшифровки ВО_2016'!F439</f>
        <v>0</v>
      </c>
      <c r="G66" s="243">
        <f>'[1]расшифровки ВО_2016'!G439</f>
        <v>0</v>
      </c>
      <c r="H66" s="243">
        <f>'[1]расшифровки ВО_2016'!H439</f>
        <v>0</v>
      </c>
      <c r="I66" s="243">
        <f>'[1]расшифровки ВО_2016'!I439</f>
        <v>0</v>
      </c>
      <c r="J66" s="244">
        <v>0</v>
      </c>
      <c r="K66" s="244">
        <v>0</v>
      </c>
      <c r="L66" s="244">
        <v>0</v>
      </c>
      <c r="M66" s="245"/>
      <c r="N66" s="246"/>
      <c r="O66" s="244"/>
      <c r="P66" s="244"/>
      <c r="Q66" s="244"/>
      <c r="R66" s="244"/>
      <c r="S66" s="244"/>
      <c r="T66" s="244"/>
      <c r="U66" s="244"/>
      <c r="V66" s="244"/>
      <c r="W66" s="244"/>
    </row>
    <row r="67" spans="1:27" ht="31.5" customHeight="1" thickBot="1">
      <c r="A67" s="250" t="s">
        <v>140</v>
      </c>
      <c r="B67" s="230" t="s">
        <v>141</v>
      </c>
      <c r="C67" s="251" t="s">
        <v>27</v>
      </c>
      <c r="D67" s="252">
        <f>SUM(D68:D73)</f>
        <v>14808.484912000002</v>
      </c>
      <c r="E67" s="252">
        <f>SUM(E68:E73)</f>
        <v>13536.307879999998</v>
      </c>
      <c r="F67" s="253">
        <f>SUM(F68:F73)+0.34</f>
        <v>17018.75</v>
      </c>
      <c r="G67" s="254">
        <f>SUM(G68:G73)</f>
        <v>14014.248263999998</v>
      </c>
      <c r="H67" s="254">
        <f>SUM(H68:H73)</f>
        <v>7689.1007711999991</v>
      </c>
      <c r="I67" s="254">
        <f>SUM(I68:I73)</f>
        <v>22336.229348066667</v>
      </c>
      <c r="J67" s="254">
        <f t="shared" ref="J67:W67" si="21">SUM(J68:J73)</f>
        <v>51753.20993528</v>
      </c>
      <c r="K67" s="254">
        <f t="shared" si="21"/>
        <v>52299.822748811835</v>
      </c>
      <c r="L67" s="254">
        <f t="shared" si="21"/>
        <v>52871.093995604948</v>
      </c>
      <c r="M67" s="254">
        <f t="shared" si="21"/>
        <v>0</v>
      </c>
      <c r="N67" s="254">
        <f t="shared" si="21"/>
        <v>0</v>
      </c>
      <c r="O67" s="254">
        <f t="shared" si="21"/>
        <v>0</v>
      </c>
      <c r="P67" s="254">
        <f t="shared" si="21"/>
        <v>21363</v>
      </c>
      <c r="Q67" s="254">
        <f t="shared" si="21"/>
        <v>21363</v>
      </c>
      <c r="R67" s="254">
        <f t="shared" si="21"/>
        <v>21363</v>
      </c>
      <c r="S67" s="254">
        <f t="shared" si="21"/>
        <v>21363</v>
      </c>
      <c r="T67" s="254">
        <f t="shared" si="21"/>
        <v>21363</v>
      </c>
      <c r="U67" s="254">
        <f t="shared" si="21"/>
        <v>81458.420000000013</v>
      </c>
      <c r="V67" s="254">
        <f t="shared" si="21"/>
        <v>16372.466432249994</v>
      </c>
      <c r="W67" s="255">
        <f t="shared" si="21"/>
        <v>20503.710000000006</v>
      </c>
      <c r="X67" s="1" t="s">
        <v>30</v>
      </c>
      <c r="AA67" s="83"/>
    </row>
    <row r="68" spans="1:27" ht="16.5" thickTop="1" thickBot="1">
      <c r="A68" s="191" t="s">
        <v>142</v>
      </c>
      <c r="B68" s="256" t="s">
        <v>143</v>
      </c>
      <c r="C68" s="247" t="s">
        <v>27</v>
      </c>
      <c r="D68" s="257">
        <f>'[1]расшифровки ВО_2016'!D460</f>
        <v>10000</v>
      </c>
      <c r="E68" s="257">
        <f>[1]налоги!C112</f>
        <v>9287.7976799999997</v>
      </c>
      <c r="F68" s="257">
        <f>'[1]расшифровки ВО_2016'!F460</f>
        <v>10000</v>
      </c>
      <c r="G68" s="257">
        <f>'[1]расшифровки ВО_2016'!G460</f>
        <v>9752.1875639999998</v>
      </c>
      <c r="H68" s="257">
        <f>'[1]расшифровки ВО_2016'!H460</f>
        <v>4381.9133759999995</v>
      </c>
      <c r="I68" s="257">
        <f>'[1]расшифровки ВО_2016'!I460</f>
        <v>15721.854557666666</v>
      </c>
      <c r="J68" s="257">
        <f>'[1]расшифровки ВО_2016'!J460</f>
        <v>45072.691396975999</v>
      </c>
      <c r="K68" s="257">
        <f>'[1]расшифровки ВО_2016'!K460</f>
        <v>45552.499025124802</v>
      </c>
      <c r="L68" s="257">
        <f>'[1]расшифровки ВО_2016'!L460</f>
        <v>46056.29703468104</v>
      </c>
      <c r="M68" s="258"/>
      <c r="N68" s="259"/>
      <c r="O68" s="260"/>
      <c r="P68" s="257">
        <v>15722</v>
      </c>
      <c r="Q68" s="257">
        <v>15722</v>
      </c>
      <c r="R68" s="257">
        <v>15722</v>
      </c>
      <c r="S68" s="257">
        <v>15722</v>
      </c>
      <c r="T68" s="257">
        <v>15722</v>
      </c>
      <c r="U68" s="257">
        <v>74711.100000000006</v>
      </c>
      <c r="V68" s="257">
        <f>'[3]расшифровки ВО_2016'!V455-'[3]расшифровки ВО_2016'!V456</f>
        <v>14746.816432249994</v>
      </c>
      <c r="W68" s="261">
        <f>'[3]расшифровки ВО_2016'!W455-'[3]расшифровки ВО_2016'!W456</f>
        <v>18878.060000000005</v>
      </c>
    </row>
    <row r="69" spans="1:27" ht="27" hidden="1" thickTop="1" thickBot="1">
      <c r="A69" s="191" t="s">
        <v>144</v>
      </c>
      <c r="B69" s="262" t="s">
        <v>145</v>
      </c>
      <c r="C69" s="247" t="s">
        <v>27</v>
      </c>
      <c r="D69" s="257">
        <f>'[1]расшифровки ВО_2016'!D461-0.87</f>
        <v>417.01</v>
      </c>
      <c r="E69" s="257">
        <v>0</v>
      </c>
      <c r="F69" s="257">
        <f>'[1]расшифровки ВО_2016'!F461</f>
        <v>1475.41</v>
      </c>
      <c r="G69" s="257">
        <f>'[1]расшифровки ВО_2016'!G461</f>
        <v>0</v>
      </c>
      <c r="H69" s="257">
        <f>'[1]расшифровки ВО_2016'!H461</f>
        <v>0</v>
      </c>
      <c r="I69" s="257">
        <f>'[1]расшифровки ВО_2016'!I461</f>
        <v>0</v>
      </c>
      <c r="J69" s="257">
        <f>'[1]расшифровки ВО_2016'!L461</f>
        <v>0</v>
      </c>
      <c r="K69" s="257">
        <f>'[1]расшифровки ВО_2016'!M461</f>
        <v>0</v>
      </c>
      <c r="L69" s="257">
        <f>'[1]расшифровки ВО_2016'!N461</f>
        <v>0</v>
      </c>
      <c r="M69" s="258"/>
      <c r="N69" s="259"/>
      <c r="O69" s="260"/>
      <c r="P69" s="257">
        <v>0</v>
      </c>
      <c r="Q69" s="257">
        <v>0</v>
      </c>
      <c r="R69" s="257">
        <v>0</v>
      </c>
      <c r="S69" s="257">
        <v>0</v>
      </c>
      <c r="T69" s="257">
        <v>0</v>
      </c>
      <c r="U69" s="257">
        <v>0</v>
      </c>
      <c r="V69" s="257">
        <v>0</v>
      </c>
      <c r="W69" s="261">
        <v>0</v>
      </c>
    </row>
    <row r="70" spans="1:27" ht="37.5" hidden="1" customHeight="1" thickTop="1" thickBot="1">
      <c r="A70" s="191" t="s">
        <v>146</v>
      </c>
      <c r="B70" s="262" t="s">
        <v>147</v>
      </c>
      <c r="C70" s="247" t="s">
        <v>27</v>
      </c>
      <c r="D70" s="257">
        <f>'[1]расшифровки ВО_2016'!D462-0.18</f>
        <v>2309.9960000000001</v>
      </c>
      <c r="E70" s="257"/>
      <c r="F70" s="257">
        <v>0</v>
      </c>
      <c r="G70" s="257">
        <f>'[1]расшифровки ВО_2016'!G462</f>
        <v>0</v>
      </c>
      <c r="H70" s="257">
        <f>'[1]расшифровки ВО_2016'!H462</f>
        <v>0</v>
      </c>
      <c r="I70" s="257">
        <f>'[1]расшифровки ВО_2016'!I462</f>
        <v>0</v>
      </c>
      <c r="J70" s="257">
        <f>'[1]расшифровки ВО_2016'!J462</f>
        <v>0</v>
      </c>
      <c r="K70" s="257">
        <f>'[1]расшифровки ВО_2016'!K462</f>
        <v>0</v>
      </c>
      <c r="L70" s="257">
        <f>'[1]расшифровки ВО_2016'!L462</f>
        <v>0</v>
      </c>
      <c r="M70" s="258"/>
      <c r="N70" s="259"/>
      <c r="O70" s="260"/>
      <c r="P70" s="257"/>
      <c r="Q70" s="257"/>
      <c r="R70" s="257"/>
      <c r="S70" s="257"/>
      <c r="T70" s="257"/>
      <c r="U70" s="257"/>
      <c r="V70" s="257"/>
      <c r="W70" s="261"/>
    </row>
    <row r="71" spans="1:27" ht="16.5" thickTop="1" thickBot="1">
      <c r="A71" s="191" t="s">
        <v>148</v>
      </c>
      <c r="B71" s="256" t="s">
        <v>149</v>
      </c>
      <c r="C71" s="247" t="s">
        <v>27</v>
      </c>
      <c r="D71" s="257">
        <f>'[1]расшифровки ВО_2016'!D465</f>
        <v>1893.318912</v>
      </c>
      <c r="E71" s="257">
        <f>[1]налоги!C120</f>
        <v>3977.5001999999995</v>
      </c>
      <c r="F71" s="257">
        <f>'[1]расшифровки ВО_2016'!F465</f>
        <v>5326</v>
      </c>
      <c r="G71" s="257">
        <f>'[1]расшифровки ВО_2016'!G465</f>
        <v>3977.5001999999995</v>
      </c>
      <c r="H71" s="257">
        <f>'[1]расшифровки ВО_2016'!H465</f>
        <v>3151.2009599999997</v>
      </c>
      <c r="I71" s="257">
        <f>'[1]расшифровки ВО_2016'!I465</f>
        <v>6302.4019199999993</v>
      </c>
      <c r="J71" s="257">
        <f>'[1]расшифровки ВО_2016'!J465</f>
        <v>6365.4259391999994</v>
      </c>
      <c r="K71" s="257">
        <f>'[1]расшифровки ВО_2016'!K465</f>
        <v>6429.0801985919998</v>
      </c>
      <c r="L71" s="257">
        <f>'[1]расшифровки ВО_2016'!L465</f>
        <v>6493.3710005779203</v>
      </c>
      <c r="M71" s="258"/>
      <c r="N71" s="259"/>
      <c r="O71" s="260"/>
      <c r="P71" s="257">
        <v>5326</v>
      </c>
      <c r="Q71" s="257">
        <v>5326</v>
      </c>
      <c r="R71" s="257">
        <v>5326</v>
      </c>
      <c r="S71" s="257">
        <v>5326</v>
      </c>
      <c r="T71" s="257">
        <v>5326</v>
      </c>
      <c r="U71" s="257">
        <v>6429.08</v>
      </c>
      <c r="V71" s="257">
        <f>'[3]расшифровки ВО_2016'!V461</f>
        <v>1306.5</v>
      </c>
      <c r="W71" s="261">
        <f>'[3]расшифровки ВО_2016'!W461</f>
        <v>1306.5</v>
      </c>
    </row>
    <row r="72" spans="1:27" ht="16.5" thickTop="1" thickBot="1">
      <c r="A72" s="191" t="s">
        <v>150</v>
      </c>
      <c r="B72" s="256" t="s">
        <v>151</v>
      </c>
      <c r="C72" s="247" t="s">
        <v>27</v>
      </c>
      <c r="D72" s="257">
        <f>'[1]расшифровки ВО_2016'!D466</f>
        <v>188.16</v>
      </c>
      <c r="E72" s="257">
        <f>'[1]расшифровки ВО_2016'!E467</f>
        <v>271.01</v>
      </c>
      <c r="F72" s="257">
        <f>'[1]расшифровки ВО_2016'!F466</f>
        <v>217</v>
      </c>
      <c r="G72" s="257">
        <f>'[1]расшифровки ВО_2016'!G466</f>
        <v>284.56049999999999</v>
      </c>
      <c r="H72" s="257">
        <f>'[1]расшифровки ВО_2016'!H466</f>
        <v>155.98643519999999</v>
      </c>
      <c r="I72" s="257">
        <f>'[1]расшифровки ВО_2016'!I466</f>
        <v>311.97287039999998</v>
      </c>
      <c r="J72" s="257">
        <f>'[1]расшифровки ВО_2016'!J466</f>
        <v>315.09259910399999</v>
      </c>
      <c r="K72" s="257">
        <f>'[1]расшифровки ВО_2016'!K466</f>
        <v>318.24352509504001</v>
      </c>
      <c r="L72" s="257">
        <f>'[1]расшифровки ВО_2016'!L466</f>
        <v>321.42596034599035</v>
      </c>
      <c r="M72" s="258"/>
      <c r="N72" s="259"/>
      <c r="O72" s="260"/>
      <c r="P72" s="257">
        <v>315</v>
      </c>
      <c r="Q72" s="257">
        <v>315</v>
      </c>
      <c r="R72" s="257">
        <v>315</v>
      </c>
      <c r="S72" s="257">
        <v>315</v>
      </c>
      <c r="T72" s="257">
        <v>315</v>
      </c>
      <c r="U72" s="257">
        <v>318.24</v>
      </c>
      <c r="V72" s="257">
        <f>'[3]расшифровки ВО_2016'!V462</f>
        <v>319.14999999999998</v>
      </c>
      <c r="W72" s="261">
        <f>'[3]расшифровки ВО_2016'!W462</f>
        <v>319.14999999999998</v>
      </c>
    </row>
    <row r="73" spans="1:27" ht="49.5" hidden="1" thickTop="1" thickBot="1">
      <c r="A73" s="263" t="s">
        <v>152</v>
      </c>
      <c r="B73" s="264" t="s">
        <v>153</v>
      </c>
      <c r="C73" s="265" t="s">
        <v>27</v>
      </c>
      <c r="D73" s="257">
        <f>'[1]расшифровки ВО_2016'!D471</f>
        <v>0</v>
      </c>
      <c r="E73" s="257">
        <f>'[1]расшифровки ВО_2016'!E471</f>
        <v>0</v>
      </c>
      <c r="F73" s="257">
        <v>0</v>
      </c>
      <c r="G73" s="257">
        <f>'[1]расшифровки ВО_2016'!G471</f>
        <v>0</v>
      </c>
      <c r="H73" s="257">
        <f>'[1]расшифровки ВО_2016'!H471</f>
        <v>0</v>
      </c>
      <c r="I73" s="257">
        <f>'[1]расшифровки ВО_2016'!I471</f>
        <v>0</v>
      </c>
      <c r="J73" s="257">
        <f>'[1]расшифровки ВО_2016'!L471</f>
        <v>0</v>
      </c>
      <c r="K73" s="257">
        <f>'[1]расшифровки ВО_2016'!M471</f>
        <v>0</v>
      </c>
      <c r="L73" s="257">
        <f>'[1]расшифровки ВО_2016'!N471</f>
        <v>0</v>
      </c>
      <c r="M73" s="258"/>
      <c r="N73" s="259"/>
      <c r="O73" s="260"/>
      <c r="P73" s="257"/>
      <c r="Q73" s="257"/>
      <c r="R73" s="257"/>
      <c r="S73" s="257"/>
      <c r="T73" s="257"/>
      <c r="U73" s="257"/>
      <c r="V73" s="257"/>
      <c r="W73" s="261"/>
    </row>
    <row r="74" spans="1:27" ht="16.5" hidden="1" customHeight="1" thickTop="1" thickBot="1">
      <c r="A74" s="266" t="s">
        <v>21</v>
      </c>
      <c r="B74" s="267" t="s">
        <v>154</v>
      </c>
      <c r="C74" s="268" t="s">
        <v>27</v>
      </c>
      <c r="D74" s="269">
        <v>0</v>
      </c>
      <c r="E74" s="270"/>
      <c r="F74" s="270">
        <v>0</v>
      </c>
      <c r="G74" s="270"/>
      <c r="H74" s="270"/>
      <c r="I74" s="270"/>
      <c r="J74" s="270"/>
      <c r="K74" s="270"/>
      <c r="L74" s="270"/>
      <c r="M74" s="271"/>
      <c r="N74" s="271"/>
      <c r="O74" s="272"/>
      <c r="P74" s="270"/>
      <c r="Q74" s="270"/>
      <c r="R74" s="270"/>
      <c r="S74" s="270"/>
      <c r="T74" s="270"/>
      <c r="U74" s="270"/>
      <c r="V74" s="270"/>
      <c r="W74" s="273"/>
    </row>
    <row r="75" spans="1:27" ht="16.5" hidden="1" thickTop="1" thickBot="1">
      <c r="A75" s="274"/>
      <c r="B75" s="267" t="s">
        <v>155</v>
      </c>
      <c r="C75" s="268" t="s">
        <v>27</v>
      </c>
      <c r="D75" s="269">
        <v>0</v>
      </c>
      <c r="E75" s="270"/>
      <c r="F75" s="270">
        <v>0</v>
      </c>
      <c r="G75" s="270"/>
      <c r="H75" s="270"/>
      <c r="I75" s="270"/>
      <c r="J75" s="270"/>
      <c r="K75" s="270"/>
      <c r="L75" s="270"/>
      <c r="M75" s="271"/>
      <c r="N75" s="271"/>
      <c r="O75" s="272"/>
      <c r="P75" s="270"/>
      <c r="Q75" s="270"/>
      <c r="R75" s="270"/>
      <c r="S75" s="270"/>
      <c r="T75" s="270"/>
      <c r="U75" s="270"/>
      <c r="V75" s="270"/>
      <c r="W75" s="273"/>
    </row>
    <row r="76" spans="1:27" ht="27" hidden="1" thickTop="1" thickBot="1">
      <c r="A76" s="275"/>
      <c r="B76" s="267" t="s">
        <v>156</v>
      </c>
      <c r="C76" s="276"/>
      <c r="D76" s="269"/>
      <c r="E76" s="270"/>
      <c r="F76" s="270"/>
      <c r="G76" s="270"/>
      <c r="H76" s="270">
        <f>243461.24/2+80342.21/2</f>
        <v>161901.72500000001</v>
      </c>
      <c r="I76" s="270">
        <f>243461.24+80342.212</f>
        <v>323803.45199999999</v>
      </c>
      <c r="J76" s="270"/>
      <c r="K76" s="270"/>
      <c r="L76" s="270"/>
      <c r="M76" s="270"/>
      <c r="N76" s="270"/>
      <c r="O76" s="270"/>
      <c r="P76" s="270"/>
      <c r="Q76" s="270"/>
      <c r="R76" s="270"/>
      <c r="S76" s="270"/>
      <c r="T76" s="270"/>
      <c r="U76" s="270"/>
      <c r="V76" s="270"/>
      <c r="W76" s="273"/>
    </row>
    <row r="77" spans="1:27" ht="20.25" thickTop="1" thickBot="1">
      <c r="A77" s="277"/>
      <c r="B77" s="278" t="s">
        <v>157</v>
      </c>
      <c r="C77" s="279" t="s">
        <v>27</v>
      </c>
      <c r="D77" s="280" t="e">
        <f t="shared" ref="D77:O77" si="22">D10+D34+D40+D58+D60+D62+D67+D74+D75+D76</f>
        <v>#REF!</v>
      </c>
      <c r="E77" s="280" t="e">
        <f t="shared" si="22"/>
        <v>#REF!</v>
      </c>
      <c r="F77" s="280" t="e">
        <f t="shared" si="22"/>
        <v>#REF!</v>
      </c>
      <c r="G77" s="280">
        <f t="shared" si="22"/>
        <v>420576.13408469886</v>
      </c>
      <c r="H77" s="280" t="e">
        <f t="shared" si="22"/>
        <v>#REF!</v>
      </c>
      <c r="I77" s="280" t="e">
        <f t="shared" si="22"/>
        <v>#REF!</v>
      </c>
      <c r="J77" s="280">
        <f t="shared" si="22"/>
        <v>588354.03036397463</v>
      </c>
      <c r="K77" s="280" t="e">
        <f t="shared" si="22"/>
        <v>#REF!</v>
      </c>
      <c r="L77" s="280" t="e">
        <f t="shared" si="22"/>
        <v>#REF!</v>
      </c>
      <c r="M77" s="280">
        <f t="shared" si="22"/>
        <v>179669.5111585409</v>
      </c>
      <c r="N77" s="280" t="e">
        <f t="shared" si="22"/>
        <v>#VALUE!</v>
      </c>
      <c r="O77" s="280">
        <f t="shared" si="22"/>
        <v>34093.190486369262</v>
      </c>
      <c r="P77" s="280">
        <f>P10+P34+P40+P58+P60+P62+P67+P74+P75+P76-7033.59</f>
        <v>439335.21160489495</v>
      </c>
      <c r="Q77" s="280">
        <f>Q10+Q34+Q40+Q58+Q60+Q62+Q67+Q74+Q75+Q76-7033.59</f>
        <v>406755.97760489502</v>
      </c>
      <c r="R77" s="280">
        <f>R10+R34+R40+R58+R60+R62+R67+R74+R75+R76-7033.59</f>
        <v>406756.97760489502</v>
      </c>
      <c r="S77" s="280">
        <f>S10+S34+S40+S58+S60+S62+S67+S74+S75+S76-7033.59</f>
        <v>406757.97760489502</v>
      </c>
      <c r="T77" s="280">
        <f>T10+T34+T40+T58+T60+T62+T67+T74+T75+T76-7033.59</f>
        <v>406758.97760489502</v>
      </c>
      <c r="U77" s="280">
        <f>U10+U34+U40+U58+U60+U62+U67+U74+U75+U76-3440.52</f>
        <v>880993.56716746825</v>
      </c>
      <c r="V77" s="280">
        <f>V10+V34+V40+V58+V60+V62+V67+V74+V75+V76</f>
        <v>595849.25038385671</v>
      </c>
      <c r="W77" s="281">
        <f>W10+W34+W40+W58+W60+W62+W67+W74+W75+W76</f>
        <v>909918.34415881266</v>
      </c>
    </row>
    <row r="78" spans="1:27" ht="15.75" thickBot="1">
      <c r="A78" s="206" t="s">
        <v>158</v>
      </c>
      <c r="B78" s="282" t="s">
        <v>159</v>
      </c>
      <c r="C78" s="282" t="s">
        <v>27</v>
      </c>
      <c r="D78" s="283">
        <v>16980.5</v>
      </c>
      <c r="E78" s="283" t="e">
        <f t="shared" ref="E78:L78" si="23">SUM(E80:E85)</f>
        <v>#REF!</v>
      </c>
      <c r="F78" s="283">
        <f t="shared" si="23"/>
        <v>16348.869999999999</v>
      </c>
      <c r="G78" s="283">
        <f t="shared" si="23"/>
        <v>17219.050141451371</v>
      </c>
      <c r="H78" s="283" t="e">
        <f t="shared" ref="H78:I78" si="24">SUM(H80:H85)</f>
        <v>#REF!</v>
      </c>
      <c r="I78" s="283" t="e">
        <f t="shared" si="24"/>
        <v>#REF!</v>
      </c>
      <c r="J78" s="283">
        <f t="shared" si="23"/>
        <v>25223.673924303839</v>
      </c>
      <c r="K78" s="283" t="e">
        <f t="shared" si="23"/>
        <v>#REF!</v>
      </c>
      <c r="L78" s="283" t="e">
        <f t="shared" si="23"/>
        <v>#REF!</v>
      </c>
      <c r="M78" s="284"/>
      <c r="N78" s="285"/>
      <c r="O78" s="286"/>
      <c r="P78" s="283">
        <v>9245</v>
      </c>
      <c r="Q78" s="283">
        <v>9246</v>
      </c>
      <c r="R78" s="283">
        <v>9247</v>
      </c>
      <c r="S78" s="283">
        <v>9248</v>
      </c>
      <c r="T78" s="283">
        <v>9249</v>
      </c>
      <c r="U78" s="283">
        <v>15800</v>
      </c>
      <c r="V78" s="283">
        <f>V80+V83</f>
        <v>5400</v>
      </c>
      <c r="W78" s="286">
        <f>W80+W83</f>
        <v>5400</v>
      </c>
    </row>
    <row r="79" spans="1:27" ht="15.75" hidden="1" thickBot="1">
      <c r="A79" s="287"/>
      <c r="B79" s="288"/>
      <c r="C79" s="288"/>
      <c r="D79" s="289"/>
      <c r="E79" s="289"/>
      <c r="F79" s="289"/>
      <c r="G79" s="289"/>
      <c r="H79" s="289"/>
      <c r="I79" s="289"/>
      <c r="J79" s="289"/>
      <c r="K79" s="289"/>
      <c r="L79" s="289"/>
      <c r="M79" s="290"/>
      <c r="N79" s="291"/>
      <c r="O79" s="292"/>
      <c r="P79" s="289"/>
      <c r="Q79" s="289"/>
      <c r="R79" s="289"/>
      <c r="S79" s="289"/>
      <c r="T79" s="289"/>
      <c r="U79" s="289"/>
      <c r="V79" s="289"/>
      <c r="W79" s="293"/>
    </row>
    <row r="80" spans="1:27" ht="15.75" thickBot="1">
      <c r="A80" s="294" t="s">
        <v>160</v>
      </c>
      <c r="B80" s="295" t="s">
        <v>161</v>
      </c>
      <c r="C80" s="296" t="s">
        <v>27</v>
      </c>
      <c r="D80" s="297">
        <v>0</v>
      </c>
      <c r="E80" s="297">
        <v>2410.83</v>
      </c>
      <c r="F80" s="297">
        <v>2724.81</v>
      </c>
      <c r="G80" s="298">
        <v>2869.8416589104017</v>
      </c>
      <c r="H80" s="298">
        <v>2376.4368365100249</v>
      </c>
      <c r="I80" s="298">
        <v>4759.358831670067</v>
      </c>
      <c r="J80" s="299">
        <v>5763.1919526846004</v>
      </c>
      <c r="K80" s="300">
        <v>7359.3921788877042</v>
      </c>
      <c r="L80" s="298">
        <v>6903.6616599371209</v>
      </c>
      <c r="M80" s="301"/>
      <c r="N80" s="302"/>
      <c r="O80" s="299"/>
      <c r="P80" s="299">
        <v>1849</v>
      </c>
      <c r="Q80" s="299">
        <f t="shared" ref="Q80:T80" si="25">Q78*0.2</f>
        <v>1849.2</v>
      </c>
      <c r="R80" s="299">
        <f t="shared" si="25"/>
        <v>1849.4</v>
      </c>
      <c r="S80" s="299">
        <f t="shared" si="25"/>
        <v>1849.6000000000001</v>
      </c>
      <c r="T80" s="299">
        <f t="shared" si="25"/>
        <v>1849.8000000000002</v>
      </c>
      <c r="U80" s="299">
        <v>3160</v>
      </c>
      <c r="V80" s="299">
        <v>3600</v>
      </c>
      <c r="W80" s="299">
        <v>3600</v>
      </c>
    </row>
    <row r="81" spans="1:29" ht="26.25" hidden="1" thickBot="1">
      <c r="A81" s="303" t="s">
        <v>162</v>
      </c>
      <c r="B81" s="304" t="s">
        <v>163</v>
      </c>
      <c r="C81" s="305" t="s">
        <v>27</v>
      </c>
      <c r="D81" s="306"/>
      <c r="E81" s="306"/>
      <c r="F81" s="306"/>
      <c r="G81" s="307"/>
      <c r="H81" s="307"/>
      <c r="I81" s="307"/>
      <c r="J81" s="307"/>
      <c r="K81" s="307"/>
      <c r="L81" s="307"/>
      <c r="M81" s="308"/>
      <c r="N81" s="309"/>
      <c r="O81" s="310"/>
      <c r="P81" s="307"/>
      <c r="Q81" s="307"/>
      <c r="R81" s="307"/>
      <c r="S81" s="307"/>
      <c r="T81" s="307"/>
      <c r="U81" s="307"/>
      <c r="V81" s="307"/>
      <c r="W81" s="311"/>
    </row>
    <row r="82" spans="1:29" ht="16.5" hidden="1" thickTop="1" thickBot="1">
      <c r="A82" s="191" t="s">
        <v>164</v>
      </c>
      <c r="B82" s="256" t="s">
        <v>165</v>
      </c>
      <c r="C82" s="247" t="s">
        <v>27</v>
      </c>
      <c r="D82" s="312">
        <f>[1]Кап.вложения!E25</f>
        <v>0</v>
      </c>
      <c r="E82" s="312">
        <f>[1]Кап.вложения!F25</f>
        <v>0</v>
      </c>
      <c r="F82" s="312">
        <v>0</v>
      </c>
      <c r="G82" s="312">
        <f>[1]Кап.вложения!H25</f>
        <v>0</v>
      </c>
      <c r="H82" s="312">
        <v>0</v>
      </c>
      <c r="I82" s="312">
        <f>[1]Кап.вложения!J25</f>
        <v>0</v>
      </c>
      <c r="J82" s="312">
        <v>0</v>
      </c>
      <c r="K82" s="312">
        <f>[1]Кап.вложения!J25</f>
        <v>0</v>
      </c>
      <c r="L82" s="312">
        <f>[1]Кап.вложения!K25</f>
        <v>0</v>
      </c>
      <c r="M82" s="313"/>
      <c r="N82" s="314"/>
      <c r="O82" s="315"/>
      <c r="P82" s="312"/>
      <c r="Q82" s="312"/>
      <c r="R82" s="312"/>
      <c r="S82" s="312"/>
      <c r="T82" s="312"/>
      <c r="U82" s="312"/>
      <c r="V82" s="312"/>
      <c r="W82" s="316"/>
    </row>
    <row r="83" spans="1:29" ht="54.75" customHeight="1" thickTop="1" thickBot="1">
      <c r="A83" s="317" t="s">
        <v>166</v>
      </c>
      <c r="B83" s="318" t="s">
        <v>167</v>
      </c>
      <c r="C83" s="319" t="s">
        <v>27</v>
      </c>
      <c r="D83" s="320">
        <v>16980.5</v>
      </c>
      <c r="E83" s="320">
        <f>3985.1*0.41</f>
        <v>1633.8909999999998</v>
      </c>
      <c r="F83" s="320">
        <v>1824.06</v>
      </c>
      <c r="G83" s="320">
        <f>E83*1.06</f>
        <v>1731.92446</v>
      </c>
      <c r="H83" s="320">
        <f>F83*1.06</f>
        <v>1933.5036</v>
      </c>
      <c r="I83" s="320">
        <f>G83*1.06</f>
        <v>1835.8399276</v>
      </c>
      <c r="J83" s="320">
        <f>G83*1.045</f>
        <v>1809.8610606999998</v>
      </c>
      <c r="K83" s="320">
        <f>J83*1.043</f>
        <v>1887.6850863100997</v>
      </c>
      <c r="L83" s="321">
        <f>K83*1.043</f>
        <v>1968.8555450214337</v>
      </c>
      <c r="M83" s="313"/>
      <c r="N83" s="314"/>
      <c r="O83" s="315"/>
      <c r="P83" s="320">
        <v>1809.86</v>
      </c>
      <c r="Q83" s="320">
        <v>1810.86</v>
      </c>
      <c r="R83" s="320">
        <v>1811.86</v>
      </c>
      <c r="S83" s="320">
        <v>1812.86</v>
      </c>
      <c r="T83" s="320">
        <v>1813.86</v>
      </c>
      <c r="U83" s="320">
        <v>1877.69</v>
      </c>
      <c r="V83" s="320">
        <f>'[3]Расчёт ВО методом индексаци '!S20</f>
        <v>1800</v>
      </c>
      <c r="W83" s="322">
        <f>'[3]Расчёт ВО методом индексаци '!T20</f>
        <v>1800</v>
      </c>
      <c r="AC83" s="1">
        <v>913646.72</v>
      </c>
    </row>
    <row r="84" spans="1:29" ht="52.5" hidden="1" thickTop="1" thickBot="1">
      <c r="A84" s="171" t="s">
        <v>168</v>
      </c>
      <c r="B84" s="262" t="s">
        <v>169</v>
      </c>
      <c r="C84" s="319" t="s">
        <v>27</v>
      </c>
      <c r="D84" s="312"/>
      <c r="E84" s="312"/>
      <c r="F84" s="323"/>
      <c r="G84" s="324"/>
      <c r="H84" s="324"/>
      <c r="I84" s="324"/>
      <c r="J84" s="315"/>
      <c r="K84" s="325"/>
      <c r="L84" s="324"/>
      <c r="M84" s="313"/>
      <c r="N84" s="314"/>
      <c r="O84" s="315"/>
      <c r="P84" s="315"/>
      <c r="Q84" s="315"/>
      <c r="R84" s="315"/>
      <c r="S84" s="315"/>
      <c r="T84" s="315"/>
      <c r="U84" s="315"/>
      <c r="V84" s="315"/>
      <c r="W84" s="315"/>
    </row>
    <row r="85" spans="1:29" ht="41.25" customHeight="1" thickTop="1" thickBot="1">
      <c r="A85" s="263" t="s">
        <v>168</v>
      </c>
      <c r="B85" s="326" t="s">
        <v>170</v>
      </c>
      <c r="C85" s="327" t="s">
        <v>27</v>
      </c>
      <c r="D85" s="328"/>
      <c r="E85" s="328" t="e">
        <f t="shared" ref="E85:J85" si="26">E77*3/100</f>
        <v>#REF!</v>
      </c>
      <c r="F85" s="328">
        <v>11800</v>
      </c>
      <c r="G85" s="328">
        <f t="shared" si="26"/>
        <v>12617.284022540967</v>
      </c>
      <c r="H85" s="328" t="e">
        <f t="shared" si="26"/>
        <v>#REF!</v>
      </c>
      <c r="I85" s="328" t="e">
        <f t="shared" si="26"/>
        <v>#REF!</v>
      </c>
      <c r="J85" s="328">
        <f t="shared" si="26"/>
        <v>17650.620910919239</v>
      </c>
      <c r="K85" s="328" t="e">
        <f>K77*3.85/100</f>
        <v>#REF!</v>
      </c>
      <c r="L85" s="328" t="e">
        <f>L77*3.4/100</f>
        <v>#REF!</v>
      </c>
      <c r="M85" s="329"/>
      <c r="N85" s="330"/>
      <c r="O85" s="331"/>
      <c r="P85" s="328">
        <f>P78-P83</f>
        <v>7435.14</v>
      </c>
      <c r="Q85" s="328">
        <f t="shared" ref="Q85:U85" si="27">Q78-Q83</f>
        <v>7435.14</v>
      </c>
      <c r="R85" s="328">
        <f t="shared" si="27"/>
        <v>7435.14</v>
      </c>
      <c r="S85" s="328">
        <f t="shared" si="27"/>
        <v>7435.14</v>
      </c>
      <c r="T85" s="328">
        <f t="shared" si="27"/>
        <v>7435.14</v>
      </c>
      <c r="U85" s="328">
        <f t="shared" si="27"/>
        <v>13922.31</v>
      </c>
      <c r="V85" s="328">
        <v>0</v>
      </c>
      <c r="W85" s="332">
        <v>0</v>
      </c>
      <c r="AC85" s="83">
        <f>905220.29-U98</f>
        <v>2.8325318126007915E-3</v>
      </c>
    </row>
    <row r="86" spans="1:29" ht="26.25" hidden="1" thickBot="1">
      <c r="A86" s="333" t="s">
        <v>171</v>
      </c>
      <c r="B86" s="334" t="s">
        <v>172</v>
      </c>
      <c r="C86" s="335" t="s">
        <v>27</v>
      </c>
      <c r="D86" s="336">
        <f t="shared" ref="D86:L86" si="28">SUM(D87:D89)</f>
        <v>0</v>
      </c>
      <c r="E86" s="336">
        <f t="shared" si="28"/>
        <v>0</v>
      </c>
      <c r="F86" s="336">
        <f t="shared" si="28"/>
        <v>0</v>
      </c>
      <c r="G86" s="336">
        <f t="shared" si="28"/>
        <v>0</v>
      </c>
      <c r="H86" s="336">
        <f t="shared" ref="H86:I86" si="29">SUM(H87:H89)</f>
        <v>0</v>
      </c>
      <c r="I86" s="336">
        <f t="shared" si="29"/>
        <v>0</v>
      </c>
      <c r="J86" s="336"/>
      <c r="K86" s="336">
        <f t="shared" si="28"/>
        <v>0</v>
      </c>
      <c r="L86" s="336">
        <f t="shared" si="28"/>
        <v>0</v>
      </c>
      <c r="M86" s="337"/>
      <c r="N86" s="338"/>
      <c r="O86" s="339"/>
      <c r="P86" s="336"/>
      <c r="Q86" s="336"/>
      <c r="R86" s="336"/>
      <c r="S86" s="336"/>
      <c r="T86" s="336"/>
      <c r="U86" s="336"/>
      <c r="V86" s="336"/>
      <c r="W86" s="340"/>
    </row>
    <row r="87" spans="1:29" ht="51.75" hidden="1" thickBot="1">
      <c r="A87" s="341" t="s">
        <v>173</v>
      </c>
      <c r="B87" s="342" t="s">
        <v>174</v>
      </c>
      <c r="C87" s="343" t="s">
        <v>27</v>
      </c>
      <c r="D87" s="344"/>
      <c r="E87" s="344"/>
      <c r="F87" s="345"/>
      <c r="G87" s="346"/>
      <c r="H87" s="346"/>
      <c r="I87" s="346"/>
      <c r="J87" s="310"/>
      <c r="K87" s="347"/>
      <c r="L87" s="346"/>
      <c r="M87" s="308"/>
      <c r="N87" s="348"/>
      <c r="O87" s="310"/>
      <c r="P87" s="310"/>
      <c r="Q87" s="310"/>
      <c r="R87" s="310"/>
      <c r="S87" s="310"/>
      <c r="T87" s="310"/>
      <c r="U87" s="310"/>
      <c r="V87" s="310"/>
      <c r="W87" s="310"/>
    </row>
    <row r="88" spans="1:29" ht="56.25" hidden="1" customHeight="1" thickTop="1">
      <c r="A88" s="349" t="s">
        <v>175</v>
      </c>
      <c r="B88" s="350" t="s">
        <v>176</v>
      </c>
      <c r="C88" s="351" t="s">
        <v>27</v>
      </c>
      <c r="D88" s="352">
        <v>0</v>
      </c>
      <c r="E88" s="352"/>
      <c r="F88" s="353"/>
      <c r="G88" s="354">
        <v>0</v>
      </c>
      <c r="H88" s="354">
        <v>0</v>
      </c>
      <c r="I88" s="354">
        <v>0</v>
      </c>
      <c r="J88" s="355">
        <v>2971.36</v>
      </c>
      <c r="K88" s="356"/>
      <c r="L88" s="354"/>
      <c r="M88" s="357"/>
      <c r="N88" s="358"/>
      <c r="O88" s="355"/>
      <c r="P88" s="355"/>
      <c r="Q88" s="355"/>
      <c r="R88" s="355"/>
      <c r="S88" s="355"/>
      <c r="T88" s="355"/>
      <c r="U88" s="355"/>
      <c r="V88" s="355"/>
      <c r="W88" s="355"/>
    </row>
    <row r="89" spans="1:29" ht="53.25" hidden="1" customHeight="1">
      <c r="A89" s="359" t="s">
        <v>177</v>
      </c>
      <c r="B89" s="360" t="s">
        <v>178</v>
      </c>
      <c r="C89" s="361" t="s">
        <v>27</v>
      </c>
      <c r="D89" s="362"/>
      <c r="E89" s="362"/>
      <c r="F89" s="363"/>
      <c r="G89" s="362"/>
      <c r="H89" s="362"/>
      <c r="I89" s="362"/>
      <c r="J89" s="362"/>
      <c r="K89" s="362"/>
      <c r="L89" s="362"/>
      <c r="M89" s="363"/>
      <c r="N89" s="362"/>
      <c r="O89" s="362"/>
      <c r="P89" s="362"/>
      <c r="Q89" s="362"/>
      <c r="R89" s="362"/>
      <c r="S89" s="362"/>
      <c r="T89" s="362"/>
      <c r="U89" s="362"/>
      <c r="V89" s="362"/>
      <c r="W89" s="364"/>
    </row>
    <row r="90" spans="1:29" ht="26.25" hidden="1" thickBot="1">
      <c r="A90" s="210" t="s">
        <v>179</v>
      </c>
      <c r="B90" s="365" t="s">
        <v>180</v>
      </c>
      <c r="C90" s="366" t="s">
        <v>27</v>
      </c>
      <c r="D90" s="367">
        <v>0</v>
      </c>
      <c r="E90" s="367"/>
      <c r="F90" s="368"/>
      <c r="G90" s="367"/>
      <c r="H90" s="367"/>
      <c r="I90" s="367"/>
      <c r="J90" s="367"/>
      <c r="K90" s="367"/>
      <c r="L90" s="367"/>
      <c r="M90" s="368"/>
      <c r="N90" s="367"/>
      <c r="O90" s="367"/>
      <c r="P90" s="367"/>
      <c r="Q90" s="367"/>
      <c r="R90" s="367"/>
      <c r="S90" s="367"/>
      <c r="T90" s="367"/>
      <c r="U90" s="367"/>
      <c r="V90" s="367"/>
      <c r="W90" s="369"/>
    </row>
    <row r="91" spans="1:29" ht="23.25" customHeight="1" thickBot="1">
      <c r="A91" s="370"/>
      <c r="B91" s="371" t="s">
        <v>181</v>
      </c>
      <c r="C91" s="372" t="s">
        <v>27</v>
      </c>
      <c r="D91" s="373" t="e">
        <f>D86+D78+D77</f>
        <v>#REF!</v>
      </c>
      <c r="E91" s="373" t="e">
        <f>E86+E78+E77</f>
        <v>#REF!</v>
      </c>
      <c r="F91" s="374" t="e">
        <f>F86+F78+F77-22</f>
        <v>#REF!</v>
      </c>
      <c r="G91" s="373">
        <f t="shared" ref="G91:O91" si="30">G86+G78+G77</f>
        <v>437795.18422615022</v>
      </c>
      <c r="H91" s="373" t="e">
        <f t="shared" si="30"/>
        <v>#REF!</v>
      </c>
      <c r="I91" s="373" t="e">
        <f t="shared" si="30"/>
        <v>#REF!</v>
      </c>
      <c r="J91" s="373">
        <f t="shared" si="30"/>
        <v>613577.70428827847</v>
      </c>
      <c r="K91" s="373" t="e">
        <f t="shared" si="30"/>
        <v>#REF!</v>
      </c>
      <c r="L91" s="373" t="e">
        <f t="shared" si="30"/>
        <v>#REF!</v>
      </c>
      <c r="M91" s="373">
        <f t="shared" si="30"/>
        <v>179669.5111585409</v>
      </c>
      <c r="N91" s="373" t="e">
        <f t="shared" si="30"/>
        <v>#VALUE!</v>
      </c>
      <c r="O91" s="373">
        <f t="shared" si="30"/>
        <v>34093.190486369262</v>
      </c>
      <c r="P91" s="373">
        <v>470377.61</v>
      </c>
      <c r="Q91" s="373">
        <v>470377.61</v>
      </c>
      <c r="R91" s="373">
        <v>470377.61</v>
      </c>
      <c r="S91" s="373">
        <v>470377.61</v>
      </c>
      <c r="T91" s="373">
        <v>470377.61</v>
      </c>
      <c r="U91" s="373">
        <f>U86+U78+U77</f>
        <v>896793.56716746825</v>
      </c>
      <c r="V91" s="373">
        <f>V86+V78+V77+721.33</f>
        <v>601970.58038385666</v>
      </c>
      <c r="W91" s="375">
        <f>W86+W78+W77+752.5</f>
        <v>916070.84415881266</v>
      </c>
    </row>
    <row r="92" spans="1:29" ht="15.75" thickBot="1">
      <c r="A92" s="376"/>
      <c r="B92" s="377" t="s">
        <v>182</v>
      </c>
      <c r="C92" s="372" t="s">
        <v>27</v>
      </c>
      <c r="D92" s="378"/>
      <c r="E92" s="378"/>
      <c r="F92" s="379"/>
      <c r="G92" s="378"/>
      <c r="H92" s="378"/>
      <c r="I92" s="378"/>
      <c r="J92" s="378"/>
      <c r="K92" s="378"/>
      <c r="L92" s="378"/>
      <c r="M92" s="379"/>
      <c r="N92" s="378"/>
      <c r="O92" s="380"/>
      <c r="P92" s="378"/>
      <c r="Q92" s="378"/>
      <c r="R92" s="378"/>
      <c r="S92" s="378"/>
      <c r="T92" s="378"/>
      <c r="U92" s="378"/>
      <c r="V92" s="378"/>
      <c r="W92" s="380"/>
    </row>
    <row r="93" spans="1:29" ht="26.25" hidden="1" thickBot="1">
      <c r="A93" s="381" t="s">
        <v>183</v>
      </c>
      <c r="B93" s="360" t="s">
        <v>184</v>
      </c>
      <c r="C93" s="382" t="s">
        <v>27</v>
      </c>
      <c r="D93" s="383"/>
      <c r="E93" s="383"/>
      <c r="F93" s="363">
        <v>87770.2</v>
      </c>
      <c r="G93" s="383"/>
      <c r="H93" s="383"/>
      <c r="I93" s="383"/>
      <c r="J93" s="383"/>
      <c r="K93" s="383"/>
      <c r="L93" s="383"/>
      <c r="M93" s="363"/>
      <c r="N93" s="383"/>
      <c r="O93" s="383"/>
      <c r="P93" s="383"/>
      <c r="Q93" s="383"/>
      <c r="R93" s="383"/>
      <c r="S93" s="383"/>
      <c r="T93" s="383"/>
      <c r="U93" s="383"/>
      <c r="V93" s="383"/>
      <c r="W93" s="384"/>
    </row>
    <row r="94" spans="1:29" ht="26.25" hidden="1" thickBot="1">
      <c r="A94" s="381"/>
      <c r="B94" s="360" t="s">
        <v>185</v>
      </c>
      <c r="C94" s="382" t="s">
        <v>27</v>
      </c>
      <c r="D94" s="383"/>
      <c r="E94" s="383"/>
      <c r="F94" s="363">
        <v>626.14</v>
      </c>
      <c r="G94" s="383"/>
      <c r="H94" s="383"/>
      <c r="I94" s="383"/>
      <c r="J94" s="383"/>
      <c r="K94" s="383"/>
      <c r="L94" s="383"/>
      <c r="M94" s="363"/>
      <c r="N94" s="383"/>
      <c r="O94" s="383"/>
      <c r="P94" s="383"/>
      <c r="Q94" s="383"/>
      <c r="R94" s="383"/>
      <c r="S94" s="383"/>
      <c r="T94" s="383"/>
      <c r="U94" s="383"/>
      <c r="V94" s="383"/>
      <c r="W94" s="384"/>
    </row>
    <row r="95" spans="1:29" ht="26.25" hidden="1" thickBot="1">
      <c r="A95" s="381"/>
      <c r="B95" s="360" t="s">
        <v>186</v>
      </c>
      <c r="C95" s="382" t="s">
        <v>27</v>
      </c>
      <c r="D95" s="383"/>
      <c r="E95" s="383"/>
      <c r="F95" s="363">
        <v>5512.85</v>
      </c>
      <c r="G95" s="383"/>
      <c r="H95" s="383"/>
      <c r="I95" s="383"/>
      <c r="J95" s="383"/>
      <c r="K95" s="383"/>
      <c r="L95" s="383"/>
      <c r="M95" s="363"/>
      <c r="N95" s="383"/>
      <c r="O95" s="383"/>
      <c r="P95" s="383"/>
      <c r="Q95" s="383"/>
      <c r="R95" s="383"/>
      <c r="S95" s="383"/>
      <c r="T95" s="383"/>
      <c r="U95" s="383"/>
      <c r="V95" s="383"/>
      <c r="W95" s="384"/>
    </row>
    <row r="96" spans="1:29" ht="19.5" customHeight="1" thickBot="1">
      <c r="A96" s="381"/>
      <c r="B96" s="360" t="s">
        <v>187</v>
      </c>
      <c r="C96" s="382" t="s">
        <v>27</v>
      </c>
      <c r="D96" s="383"/>
      <c r="E96" s="383"/>
      <c r="F96" s="363">
        <v>5519.5</v>
      </c>
      <c r="G96" s="383"/>
      <c r="H96" s="383"/>
      <c r="I96" s="383"/>
      <c r="J96" s="383"/>
      <c r="K96" s="383"/>
      <c r="L96" s="383"/>
      <c r="M96" s="363"/>
      <c r="N96" s="383"/>
      <c r="O96" s="383"/>
      <c r="P96" s="383"/>
      <c r="Q96" s="383"/>
      <c r="R96" s="383"/>
      <c r="S96" s="383"/>
      <c r="T96" s="383"/>
      <c r="U96" s="383">
        <v>-8426.7199999999993</v>
      </c>
      <c r="V96" s="383"/>
      <c r="W96" s="384"/>
    </row>
    <row r="97" spans="1:24" ht="25.5" customHeight="1" thickBot="1">
      <c r="A97" s="385"/>
      <c r="B97" s="365" t="s">
        <v>188</v>
      </c>
      <c r="C97" s="386" t="s">
        <v>27</v>
      </c>
      <c r="D97" s="387"/>
      <c r="E97" s="387"/>
      <c r="F97" s="368">
        <v>2192.48</v>
      </c>
      <c r="G97" s="387"/>
      <c r="H97" s="387"/>
      <c r="I97" s="387"/>
      <c r="J97" s="387"/>
      <c r="K97" s="387"/>
      <c r="L97" s="387"/>
      <c r="M97" s="368"/>
      <c r="N97" s="387"/>
      <c r="O97" s="387"/>
      <c r="P97" s="387">
        <v>41791.26</v>
      </c>
      <c r="Q97" s="387">
        <v>41791.26</v>
      </c>
      <c r="R97" s="387">
        <v>41791.26</v>
      </c>
      <c r="S97" s="387">
        <v>41791.26</v>
      </c>
      <c r="T97" s="387">
        <v>41791.26</v>
      </c>
      <c r="U97" s="387"/>
      <c r="V97" s="387"/>
      <c r="W97" s="388"/>
    </row>
    <row r="98" spans="1:24" ht="16.5" thickBot="1">
      <c r="A98" s="370"/>
      <c r="B98" s="389" t="s">
        <v>189</v>
      </c>
      <c r="C98" s="382" t="s">
        <v>27</v>
      </c>
      <c r="D98" s="373"/>
      <c r="E98" s="373"/>
      <c r="F98" s="374" t="e">
        <f>F91-F93-F94-F95-F96-F97</f>
        <v>#REF!</v>
      </c>
      <c r="G98" s="373"/>
      <c r="H98" s="373"/>
      <c r="I98" s="373"/>
      <c r="J98" s="373"/>
      <c r="K98" s="373"/>
      <c r="L98" s="373"/>
      <c r="M98" s="373"/>
      <c r="N98" s="373"/>
      <c r="O98" s="373"/>
      <c r="P98" s="373">
        <v>438045.15</v>
      </c>
      <c r="Q98" s="373">
        <v>438045.15</v>
      </c>
      <c r="R98" s="373">
        <v>438045.15</v>
      </c>
      <c r="S98" s="373">
        <v>438045.15</v>
      </c>
      <c r="T98" s="373">
        <v>438045.15</v>
      </c>
      <c r="U98" s="373">
        <f>U91-U96</f>
        <v>905220.28716746822</v>
      </c>
      <c r="V98" s="373">
        <f t="shared" ref="V98:W98" si="31">V91-V96</f>
        <v>601970.58038385666</v>
      </c>
      <c r="W98" s="375">
        <f t="shared" si="31"/>
        <v>916070.84415881266</v>
      </c>
    </row>
    <row r="99" spans="1:24">
      <c r="A99" s="390"/>
      <c r="B99" s="391" t="s">
        <v>190</v>
      </c>
      <c r="C99" s="392" t="s">
        <v>191</v>
      </c>
      <c r="D99" s="393">
        <v>48843.7</v>
      </c>
      <c r="E99" s="393">
        <f>E100+E101</f>
        <v>43904.82</v>
      </c>
      <c r="F99" s="394">
        <v>48985.701000000001</v>
      </c>
      <c r="G99" s="393">
        <f>G100+G101</f>
        <v>42331.974000000002</v>
      </c>
      <c r="H99" s="393">
        <f t="shared" ref="H99:L99" si="32">H100+H101</f>
        <v>21487.02</v>
      </c>
      <c r="I99" s="393">
        <f t="shared" si="32"/>
        <v>42331.974000000002</v>
      </c>
      <c r="J99" s="393">
        <f>F99</f>
        <v>48985.701000000001</v>
      </c>
      <c r="K99" s="393">
        <f t="shared" si="32"/>
        <v>42598.718999999997</v>
      </c>
      <c r="L99" s="393">
        <f t="shared" si="32"/>
        <v>43182.115000000005</v>
      </c>
      <c r="M99" s="395"/>
      <c r="N99" s="393"/>
      <c r="O99" s="393"/>
      <c r="P99" s="393">
        <v>53901.84</v>
      </c>
      <c r="Q99" s="393">
        <v>53901.84</v>
      </c>
      <c r="R99" s="393">
        <v>53901.84</v>
      </c>
      <c r="S99" s="393">
        <v>53901.84</v>
      </c>
      <c r="T99" s="393">
        <v>53901.84</v>
      </c>
      <c r="U99" s="393">
        <v>54662.45</v>
      </c>
      <c r="V99" s="393">
        <f>V100+V101</f>
        <v>45377.021999999997</v>
      </c>
      <c r="W99" s="396">
        <f>W100+W101</f>
        <v>45580.427000000003</v>
      </c>
      <c r="X99" s="397" t="s">
        <v>192</v>
      </c>
    </row>
    <row r="100" spans="1:24">
      <c r="A100" s="197"/>
      <c r="B100" s="398" t="s">
        <v>193</v>
      </c>
      <c r="C100" s="399"/>
      <c r="D100" s="400"/>
      <c r="E100" s="383">
        <v>32552.418000000001</v>
      </c>
      <c r="F100" s="401"/>
      <c r="G100" s="400">
        <v>30920.879000000001</v>
      </c>
      <c r="H100" s="383">
        <v>15781.47</v>
      </c>
      <c r="I100" s="400">
        <v>30920.879000000001</v>
      </c>
      <c r="J100" s="400">
        <v>31459.056</v>
      </c>
      <c r="K100" s="400">
        <v>31170.923999999999</v>
      </c>
      <c r="L100" s="400">
        <v>31744.043000000001</v>
      </c>
      <c r="M100" s="402"/>
      <c r="N100" s="400"/>
      <c r="O100" s="400"/>
      <c r="P100" s="403"/>
      <c r="Q100" s="403"/>
      <c r="R100" s="403"/>
      <c r="S100" s="403"/>
      <c r="T100" s="403"/>
      <c r="U100" s="403"/>
      <c r="V100" s="404">
        <v>33178.93</v>
      </c>
      <c r="W100" s="405">
        <v>33387.01</v>
      </c>
      <c r="X100" s="406">
        <f>U99</f>
        <v>54662.45</v>
      </c>
    </row>
    <row r="101" spans="1:24">
      <c r="A101" s="197"/>
      <c r="B101" s="398" t="s">
        <v>194</v>
      </c>
      <c r="C101" s="399"/>
      <c r="D101" s="400"/>
      <c r="E101" s="400">
        <v>11352.402</v>
      </c>
      <c r="F101" s="401"/>
      <c r="G101" s="400">
        <v>11411.094999999999</v>
      </c>
      <c r="H101" s="400">
        <f>11411.1/2</f>
        <v>5705.55</v>
      </c>
      <c r="I101" s="400">
        <v>11411.094999999999</v>
      </c>
      <c r="J101" s="400">
        <v>11439.414000000001</v>
      </c>
      <c r="K101" s="400">
        <v>11427.795</v>
      </c>
      <c r="L101" s="400">
        <v>11438.072</v>
      </c>
      <c r="M101" s="402"/>
      <c r="N101" s="400"/>
      <c r="O101" s="400"/>
      <c r="P101" s="403"/>
      <c r="Q101" s="403"/>
      <c r="R101" s="403"/>
      <c r="S101" s="403"/>
      <c r="T101" s="403"/>
      <c r="U101" s="403"/>
      <c r="V101" s="404">
        <v>12198.092000000001</v>
      </c>
      <c r="W101" s="405">
        <v>12193.416999999999</v>
      </c>
      <c r="X101" s="406"/>
    </row>
    <row r="102" spans="1:24" ht="15.75" thickBot="1">
      <c r="A102" s="407"/>
      <c r="B102" s="408" t="s">
        <v>195</v>
      </c>
      <c r="C102" s="408" t="s">
        <v>196</v>
      </c>
      <c r="D102" s="409" t="e">
        <f>D91/D99</f>
        <v>#REF!</v>
      </c>
      <c r="E102" s="409" t="e">
        <f t="shared" ref="E102:L102" si="33">E91/E99</f>
        <v>#REF!</v>
      </c>
      <c r="F102" s="410" t="e">
        <f>F98/F99</f>
        <v>#REF!</v>
      </c>
      <c r="G102" s="409">
        <f>G91/G99</f>
        <v>10.341950607504158</v>
      </c>
      <c r="H102" s="409" t="e">
        <f t="shared" ref="H102:I102" si="34">H91/H99</f>
        <v>#REF!</v>
      </c>
      <c r="I102" s="409" t="e">
        <f t="shared" si="34"/>
        <v>#REF!</v>
      </c>
      <c r="J102" s="409">
        <f t="shared" si="33"/>
        <v>12.525649153990436</v>
      </c>
      <c r="K102" s="409" t="e">
        <f t="shared" si="33"/>
        <v>#REF!</v>
      </c>
      <c r="L102" s="409" t="e">
        <f t="shared" si="33"/>
        <v>#REF!</v>
      </c>
      <c r="M102" s="410"/>
      <c r="N102" s="409"/>
      <c r="O102" s="409"/>
      <c r="P102" s="409">
        <f>P98/P99</f>
        <v>8.1267197928679256</v>
      </c>
      <c r="Q102" s="409">
        <f t="shared" ref="Q102:W102" si="35">Q98/Q99</f>
        <v>8.1267197928679256</v>
      </c>
      <c r="R102" s="409">
        <f t="shared" si="35"/>
        <v>8.1267197928679256</v>
      </c>
      <c r="S102" s="409">
        <f t="shared" si="35"/>
        <v>8.1267197928679256</v>
      </c>
      <c r="T102" s="409">
        <f t="shared" si="35"/>
        <v>8.1267197928679256</v>
      </c>
      <c r="U102" s="409">
        <f t="shared" si="35"/>
        <v>16.560185047824756</v>
      </c>
      <c r="V102" s="409">
        <f t="shared" si="35"/>
        <v>13.265978106360896</v>
      </c>
      <c r="W102" s="411">
        <f t="shared" si="35"/>
        <v>20.097899569014846</v>
      </c>
      <c r="X102" s="412">
        <f>W98/X100</f>
        <v>16.758686157660563</v>
      </c>
    </row>
    <row r="103" spans="1:24" ht="15.75" thickBot="1">
      <c r="A103" s="413"/>
      <c r="B103" s="414" t="s">
        <v>197</v>
      </c>
      <c r="C103" s="415" t="s">
        <v>198</v>
      </c>
      <c r="D103" s="416"/>
      <c r="E103" s="416"/>
      <c r="F103" s="417"/>
      <c r="G103" s="416" t="e">
        <f>(G102/F102-1)*100</f>
        <v>#REF!</v>
      </c>
      <c r="H103" s="416" t="e">
        <f>(H102/F102-1)*100</f>
        <v>#REF!</v>
      </c>
      <c r="I103" s="416" t="e">
        <f>(I102/H102-1)*100</f>
        <v>#REF!</v>
      </c>
      <c r="J103" s="416"/>
      <c r="K103" s="416" t="e">
        <f>(K102/J102-1)*100</f>
        <v>#REF!</v>
      </c>
      <c r="L103" s="416" t="e">
        <f>(L102/K102-1)*100</f>
        <v>#REF!</v>
      </c>
      <c r="M103" s="417"/>
      <c r="N103" s="416"/>
      <c r="O103" s="416"/>
      <c r="P103" s="418"/>
      <c r="Q103" s="418"/>
      <c r="R103" s="418"/>
      <c r="S103" s="418"/>
      <c r="T103" s="418"/>
      <c r="U103" s="418"/>
      <c r="V103" s="418"/>
      <c r="W103" s="419">
        <f>W102/U102</f>
        <v>1.2136277167781275</v>
      </c>
      <c r="X103" s="412">
        <f>X102/U102</f>
        <v>1.011986648051489</v>
      </c>
    </row>
    <row r="104" spans="1:24" ht="15.75" thickBot="1">
      <c r="A104" s="50"/>
      <c r="B104" s="420"/>
      <c r="C104" s="421"/>
      <c r="D104" s="422"/>
      <c r="E104" s="422"/>
      <c r="F104" s="423" t="s">
        <v>199</v>
      </c>
      <c r="G104" s="424" t="e">
        <f>(G102/F102-1)*100</f>
        <v>#REF!</v>
      </c>
      <c r="H104" s="424" t="e">
        <f>(H102/F102-1)*100</f>
        <v>#REF!</v>
      </c>
      <c r="I104" s="424" t="e">
        <f>(I102/F102-1)*100</f>
        <v>#REF!</v>
      </c>
      <c r="K104" s="424" t="e">
        <f>(K102/F102-1)*100</f>
        <v>#REF!</v>
      </c>
      <c r="L104" s="424" t="e">
        <f>(L102/F102-1)*100</f>
        <v>#REF!</v>
      </c>
      <c r="M104" s="422"/>
    </row>
    <row r="105" spans="1:24">
      <c r="A105" s="50"/>
      <c r="B105" s="420"/>
      <c r="C105" s="421"/>
      <c r="D105" s="422"/>
      <c r="E105" s="422"/>
      <c r="F105" s="422" t="s">
        <v>200</v>
      </c>
      <c r="G105" s="425">
        <f>G102*1.18</f>
        <v>12.203501716854905</v>
      </c>
      <c r="H105" s="425" t="e">
        <f>H102*1.18</f>
        <v>#REF!</v>
      </c>
      <c r="I105" s="425" t="e">
        <f>I102*1.18</f>
        <v>#REF!</v>
      </c>
      <c r="J105" s="425">
        <f>J102*1.18</f>
        <v>14.780266001708714</v>
      </c>
      <c r="K105" s="425" t="e">
        <f t="shared" ref="K105:L105" si="36">K102*1.18</f>
        <v>#REF!</v>
      </c>
      <c r="L105" s="425" t="e">
        <f t="shared" si="36"/>
        <v>#REF!</v>
      </c>
      <c r="M105" s="422"/>
      <c r="V105" s="83"/>
      <c r="W105" s="83"/>
    </row>
    <row r="106" spans="1:24" ht="276.75" hidden="1">
      <c r="B106" s="426" t="s">
        <v>201</v>
      </c>
      <c r="C106" s="427" t="s">
        <v>202</v>
      </c>
      <c r="D106" s="427" t="s">
        <v>203</v>
      </c>
      <c r="E106" s="427" t="s">
        <v>204</v>
      </c>
      <c r="F106" s="428"/>
      <c r="G106" s="429"/>
      <c r="H106" s="430"/>
      <c r="I106" s="430"/>
      <c r="J106" s="430"/>
      <c r="K106" s="430"/>
      <c r="L106" s="428"/>
      <c r="M106" s="426" t="s">
        <v>201</v>
      </c>
      <c r="N106" s="427" t="s">
        <v>202</v>
      </c>
      <c r="O106" s="427" t="s">
        <v>203</v>
      </c>
      <c r="P106" s="427" t="s">
        <v>204</v>
      </c>
      <c r="Q106" s="427" t="s">
        <v>205</v>
      </c>
    </row>
    <row r="107" spans="1:24" hidden="1">
      <c r="B107" s="431" t="s">
        <v>206</v>
      </c>
      <c r="C107" s="432">
        <v>26950.92</v>
      </c>
      <c r="D107" s="432">
        <v>26950.92</v>
      </c>
      <c r="E107" s="433">
        <v>53901.84</v>
      </c>
      <c r="F107" s="83"/>
      <c r="G107" s="83"/>
      <c r="H107" s="434"/>
      <c r="I107" s="434"/>
      <c r="J107" s="434"/>
      <c r="K107" s="434"/>
      <c r="L107" s="83"/>
      <c r="M107" s="431" t="s">
        <v>206</v>
      </c>
      <c r="N107" s="432">
        <f>P99/2</f>
        <v>26950.92</v>
      </c>
      <c r="O107" s="432">
        <f>P99/2</f>
        <v>26950.92</v>
      </c>
      <c r="P107" s="433">
        <f>N107+O107</f>
        <v>53901.84</v>
      </c>
      <c r="Q107" s="403"/>
    </row>
    <row r="108" spans="1:24" ht="18.75" hidden="1" customHeight="1">
      <c r="B108" s="431" t="s">
        <v>207</v>
      </c>
      <c r="C108" s="435">
        <v>6.35</v>
      </c>
      <c r="D108" s="436">
        <v>9.8977700204668349</v>
      </c>
      <c r="E108" s="436">
        <v>8.1238850102334172</v>
      </c>
      <c r="H108" s="434"/>
      <c r="I108" s="434"/>
      <c r="J108" s="434"/>
      <c r="K108" s="434"/>
      <c r="M108" s="431" t="s">
        <v>207</v>
      </c>
      <c r="N108" s="435">
        <v>6.35</v>
      </c>
      <c r="O108" s="436">
        <f>O109/O107</f>
        <v>9.9034395857358515</v>
      </c>
      <c r="P108" s="436">
        <f>P109/P107</f>
        <v>8.1267197928679256</v>
      </c>
      <c r="Q108" s="437"/>
    </row>
    <row r="109" spans="1:24" hidden="1">
      <c r="B109" s="431" t="s">
        <v>208</v>
      </c>
      <c r="C109" s="438">
        <v>171138.34199999998</v>
      </c>
      <c r="D109" s="432">
        <v>266754.00800000003</v>
      </c>
      <c r="E109" s="433">
        <v>437892.35</v>
      </c>
      <c r="F109" s="83"/>
      <c r="G109" s="83"/>
      <c r="H109" s="83"/>
      <c r="I109" s="83"/>
      <c r="J109" s="83"/>
      <c r="K109" s="83"/>
      <c r="L109" s="83"/>
      <c r="M109" s="431" t="s">
        <v>208</v>
      </c>
      <c r="N109" s="438">
        <f>N107*N108</f>
        <v>171138.34199999998</v>
      </c>
      <c r="O109" s="432">
        <f>P98-N109</f>
        <v>266906.80800000008</v>
      </c>
      <c r="P109" s="433">
        <f>N109+O109</f>
        <v>438045.15</v>
      </c>
      <c r="Q109" s="403"/>
    </row>
    <row r="110" spans="1:24" hidden="1">
      <c r="B110" s="426" t="s">
        <v>209</v>
      </c>
      <c r="C110" s="427"/>
      <c r="D110" s="427"/>
      <c r="E110" s="439">
        <v>1.5587039402309977</v>
      </c>
      <c r="G110" s="83"/>
      <c r="H110" s="83"/>
      <c r="I110" s="83"/>
      <c r="J110" s="83"/>
      <c r="K110" s="83"/>
      <c r="L110" s="83"/>
      <c r="N110" s="440"/>
    </row>
    <row r="111" spans="1:24" hidden="1">
      <c r="C111" s="1" t="s">
        <v>210</v>
      </c>
      <c r="D111" s="83"/>
    </row>
    <row r="112" spans="1:24" hidden="1">
      <c r="P112" s="83"/>
      <c r="Q112" s="441"/>
      <c r="R112" s="441"/>
      <c r="S112" s="441"/>
      <c r="T112" s="441"/>
      <c r="U112" s="441"/>
      <c r="V112" s="441"/>
      <c r="W112" s="441"/>
    </row>
    <row r="113" spans="4:23" ht="24.75" hidden="1">
      <c r="N113" s="442"/>
      <c r="O113" s="442"/>
      <c r="Q113" s="443" t="s">
        <v>201</v>
      </c>
      <c r="R113" s="444" t="s">
        <v>202</v>
      </c>
      <c r="S113" s="444" t="s">
        <v>203</v>
      </c>
      <c r="T113" s="444" t="s">
        <v>204</v>
      </c>
      <c r="U113" s="444" t="s">
        <v>205</v>
      </c>
      <c r="V113" s="443"/>
      <c r="W113" s="441"/>
    </row>
    <row r="114" spans="4:23">
      <c r="D114" s="83"/>
      <c r="O114" s="442"/>
      <c r="Q114" s="445" t="s">
        <v>206</v>
      </c>
      <c r="R114" s="446">
        <v>26950.92</v>
      </c>
      <c r="S114" s="446">
        <v>26950.92</v>
      </c>
      <c r="T114" s="447">
        <v>53901.84</v>
      </c>
      <c r="U114" s="448"/>
      <c r="V114" s="445"/>
      <c r="W114" s="441"/>
    </row>
    <row r="115" spans="4:23">
      <c r="Q115" s="445" t="s">
        <v>207</v>
      </c>
      <c r="R115" s="449">
        <v>6.35</v>
      </c>
      <c r="S115" s="450">
        <v>9.8977700204668349</v>
      </c>
      <c r="T115" s="450">
        <v>8.1238850102334172</v>
      </c>
      <c r="U115" s="451"/>
      <c r="V115" s="445"/>
      <c r="W115" s="441"/>
    </row>
    <row r="116" spans="4:23">
      <c r="Q116" s="445" t="s">
        <v>208</v>
      </c>
      <c r="R116" s="452">
        <v>171138.34199999998</v>
      </c>
      <c r="S116" s="446">
        <v>266754.00800000003</v>
      </c>
      <c r="T116" s="447">
        <v>437892.35</v>
      </c>
      <c r="U116" s="448"/>
      <c r="V116" s="445"/>
      <c r="W116" s="441"/>
    </row>
    <row r="117" spans="4:23">
      <c r="Q117" s="453" t="s">
        <v>209</v>
      </c>
      <c r="R117" s="448"/>
      <c r="S117" s="448"/>
      <c r="T117" s="454"/>
      <c r="U117" s="448"/>
      <c r="V117" s="441"/>
      <c r="W117" s="441"/>
    </row>
    <row r="118" spans="4:23">
      <c r="Q118" s="441"/>
      <c r="R118" s="448"/>
      <c r="S118" s="448"/>
      <c r="T118" s="448"/>
      <c r="U118" s="448"/>
      <c r="V118" s="441"/>
      <c r="W118" s="441"/>
    </row>
    <row r="119" spans="4:23">
      <c r="Q119" s="441"/>
      <c r="R119" s="448"/>
      <c r="S119" s="448"/>
      <c r="T119" s="448"/>
      <c r="U119" s="448"/>
      <c r="V119" s="441"/>
      <c r="W119" s="441"/>
    </row>
    <row r="120" spans="4:23">
      <c r="Q120" s="441"/>
      <c r="R120" s="448"/>
      <c r="S120" s="448"/>
      <c r="T120" s="448"/>
      <c r="U120" s="448"/>
      <c r="V120" s="441"/>
      <c r="W120" s="441"/>
    </row>
    <row r="121" spans="4:23">
      <c r="R121" s="455"/>
      <c r="S121" s="455"/>
      <c r="T121" s="455"/>
      <c r="U121" s="455"/>
    </row>
    <row r="122" spans="4:23">
      <c r="T122" s="1">
        <f>(6.1+6.34)/2</f>
        <v>6.22</v>
      </c>
    </row>
  </sheetData>
  <mergeCells count="25">
    <mergeCell ref="Q6:Q7"/>
    <mergeCell ref="R6:R7"/>
    <mergeCell ref="S6:S7"/>
    <mergeCell ref="T6:T7"/>
    <mergeCell ref="A74:A75"/>
    <mergeCell ref="P5:P7"/>
    <mergeCell ref="U5:U7"/>
    <mergeCell ref="V5:V6"/>
    <mergeCell ref="W5:W6"/>
    <mergeCell ref="D6:E6"/>
    <mergeCell ref="F6:G6"/>
    <mergeCell ref="H6:H7"/>
    <mergeCell ref="I6:I7"/>
    <mergeCell ref="J6:J7"/>
    <mergeCell ref="K6:K7"/>
    <mergeCell ref="C4:F4"/>
    <mergeCell ref="A5:A7"/>
    <mergeCell ref="B5:B7"/>
    <mergeCell ref="C5:C7"/>
    <mergeCell ref="D5:L5"/>
    <mergeCell ref="M5:O5"/>
    <mergeCell ref="L6:L7"/>
    <mergeCell ref="M6:M7"/>
    <mergeCell ref="N6:N7"/>
    <mergeCell ref="O6:O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Смета ВО_2018 (2)</vt:lpstr>
      <vt:lpstr>Лист1</vt:lpstr>
      <vt:lpstr>Лист2</vt:lpstr>
      <vt:lpstr>Лист3</vt:lpstr>
      <vt:lpstr>'Смета ВО_2018 (2)'!Заголовки_для_печати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2017-12-25T13:26:46Z</dcterms:modified>
</cp:coreProperties>
</file>